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wAmp\www\integratome\generator\doc\"/>
    </mc:Choice>
  </mc:AlternateContent>
  <xr:revisionPtr revIDLastSave="0" documentId="8_{6ABB3AF0-CA16-43D2-B010-264CC0ADEDF5}" xr6:coauthVersionLast="47" xr6:coauthVersionMax="47" xr10:uidLastSave="{00000000-0000-0000-0000-000000000000}"/>
  <bookViews>
    <workbookView xWindow="-108" yWindow="-108" windowWidth="23256" windowHeight="12576" tabRatio="788" firstSheet="1" activeTab="2" xr2:uid="{00000000-000D-0000-FFFF-FFFF00000000}"/>
  </bookViews>
  <sheets>
    <sheet name="AUTOQUESTIONNAIRE" sheetId="33" r:id="rId1"/>
    <sheet name="ImportBiologie" sheetId="22" r:id="rId2"/>
    <sheet name="RRImmédiat" sheetId="42" r:id="rId3"/>
    <sheet name="AFaire" sheetId="38" r:id="rId4"/>
    <sheet name="Integratome_AugmentV2" sheetId="49" r:id="rId5"/>
    <sheet name="CommentairesAnalyses" sheetId="28" r:id="rId6"/>
    <sheet name="SIMULATEUR" sheetId="25" r:id="rId7"/>
    <sheet name="ImportQuestion" sheetId="21" r:id="rId8"/>
    <sheet name="calculRISKS" sheetId="2" r:id="rId9"/>
    <sheet name="RESULTATS" sheetId="20" r:id="rId10"/>
    <sheet name="ACTIONS" sheetId="24" r:id="rId11"/>
    <sheet name="Options Réponses" sheetId="44" r:id="rId12"/>
    <sheet name="Systemes" sheetId="43" r:id="rId13"/>
    <sheet name="CLINIQUE&amp;Radiologie" sheetId="34" r:id="rId14"/>
    <sheet name="BIOLOGIE" sheetId="35" r:id="rId15"/>
    <sheet name="ANOMALIEBIOLOGIQUE" sheetId="37" r:id="rId16"/>
    <sheet name="CommentairesRésultats" sheetId="27" r:id="rId17"/>
    <sheet name="RapportPharmacie" sheetId="40" r:id="rId18"/>
    <sheet name="Analyse Globale Q" sheetId="39" r:id="rId19"/>
    <sheet name="Alerte&amp;Vigilances" sheetId="45" r:id="rId20"/>
  </sheets>
  <definedNames>
    <definedName name="_xlnm._FilterDatabase" localSheetId="5" hidden="1">CommentairesAnalyses!$A$1:$H$115</definedName>
    <definedName name="_xlnm._FilterDatabase" localSheetId="2" hidden="1">RRImmédiat!$A$1:$R$66</definedName>
    <definedName name="_xlnm.Print_Area" localSheetId="5">CommentairesAnalyses!$A$1:$H$52</definedName>
    <definedName name="_xlnm.Print_Area" localSheetId="16">CommentairesRésultats!$A$1:$C$42</definedName>
    <definedName name="_xlnm.Print_Area" localSheetId="9">RESULTATS!$A$1:$N$23</definedName>
    <definedName name="_xlnm.Print_Area" localSheetId="6">SIMULATEUR!$A$1:$L$40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5" i="42" l="1"/>
  <c r="H35" i="22"/>
  <c r="BN45" i="33"/>
  <c r="BN44" i="33"/>
  <c r="D6" i="42"/>
  <c r="F6" i="42"/>
  <c r="G219" i="33"/>
  <c r="G218" i="33"/>
  <c r="D38" i="42"/>
  <c r="F38" i="42"/>
  <c r="G38" i="42" s="1"/>
  <c r="I251" i="33"/>
  <c r="BH183" i="33"/>
  <c r="BH31" i="33"/>
  <c r="BI32" i="33"/>
  <c r="BI31" i="33"/>
  <c r="AF97" i="33"/>
  <c r="B106" i="42"/>
  <c r="C104" i="42"/>
  <c r="D104" i="42"/>
  <c r="C105" i="42"/>
  <c r="C99" i="42"/>
  <c r="C88" i="42"/>
  <c r="F57" i="42"/>
  <c r="F13" i="42"/>
  <c r="F12" i="42"/>
  <c r="D12" i="42"/>
  <c r="D13" i="42"/>
  <c r="B105" i="42"/>
  <c r="B94" i="42"/>
  <c r="A107" i="42"/>
  <c r="A106" i="42"/>
  <c r="A105" i="42"/>
  <c r="A104" i="42"/>
  <c r="A103" i="42"/>
  <c r="A102" i="42"/>
  <c r="A101" i="42"/>
  <c r="A100" i="42"/>
  <c r="A99" i="42"/>
  <c r="A98" i="42"/>
  <c r="A97" i="42"/>
  <c r="A96" i="42"/>
  <c r="A95" i="42"/>
  <c r="A94" i="42"/>
  <c r="A93" i="42"/>
  <c r="A92" i="42"/>
  <c r="A91" i="42"/>
  <c r="A90" i="42"/>
  <c r="A89" i="42"/>
  <c r="A88" i="42"/>
  <c r="A87" i="42"/>
  <c r="C33" i="42"/>
  <c r="W10" i="2"/>
  <c r="P20" i="21"/>
  <c r="AF7" i="2"/>
  <c r="AF6" i="2"/>
  <c r="AF5" i="2"/>
  <c r="D33" i="42"/>
  <c r="F91" i="20"/>
  <c r="F90" i="20"/>
  <c r="F86" i="20"/>
  <c r="F79" i="20"/>
  <c r="F77" i="20"/>
  <c r="F74" i="20"/>
  <c r="F73" i="20"/>
  <c r="F72" i="20"/>
  <c r="F69" i="20"/>
  <c r="F68" i="20"/>
  <c r="F60" i="20"/>
  <c r="F58" i="20"/>
  <c r="F57" i="20"/>
  <c r="F56" i="20"/>
  <c r="F55" i="20"/>
  <c r="F54" i="20"/>
  <c r="F53" i="20"/>
  <c r="F52" i="20"/>
  <c r="F51" i="20"/>
  <c r="F50" i="20"/>
  <c r="F49" i="20"/>
  <c r="F44" i="20"/>
  <c r="F43" i="20"/>
  <c r="F41" i="20"/>
  <c r="F36" i="20"/>
  <c r="F35" i="20"/>
  <c r="F29" i="20"/>
  <c r="F27" i="20"/>
  <c r="E91" i="20"/>
  <c r="E90" i="20"/>
  <c r="E86" i="20"/>
  <c r="E84" i="20"/>
  <c r="E83" i="20"/>
  <c r="E82" i="20"/>
  <c r="E79" i="20"/>
  <c r="E77" i="20"/>
  <c r="E74" i="20"/>
  <c r="E73" i="20"/>
  <c r="E72" i="20"/>
  <c r="E69" i="20"/>
  <c r="E68" i="20"/>
  <c r="E64" i="20"/>
  <c r="E60" i="20"/>
  <c r="E58" i="20"/>
  <c r="E57" i="20"/>
  <c r="E56" i="20"/>
  <c r="E55" i="20"/>
  <c r="E54" i="20"/>
  <c r="E53" i="20"/>
  <c r="E52" i="20"/>
  <c r="E51" i="20"/>
  <c r="E50" i="20"/>
  <c r="E49" i="20"/>
  <c r="E44" i="20"/>
  <c r="E43" i="20"/>
  <c r="E41" i="20"/>
  <c r="E39" i="20"/>
  <c r="E36" i="20"/>
  <c r="E35" i="20"/>
  <c r="E33" i="20"/>
  <c r="E29" i="20"/>
  <c r="E28" i="20"/>
  <c r="E27" i="20"/>
  <c r="D91" i="20"/>
  <c r="D90" i="20"/>
  <c r="D89" i="20"/>
  <c r="D88" i="20"/>
  <c r="D87" i="20"/>
  <c r="D86" i="20"/>
  <c r="D85" i="20"/>
  <c r="D84" i="20"/>
  <c r="D83" i="20"/>
  <c r="D82" i="20"/>
  <c r="D81" i="20"/>
  <c r="D80" i="20"/>
  <c r="D79" i="20"/>
  <c r="D78" i="20"/>
  <c r="D77" i="20"/>
  <c r="D76" i="20"/>
  <c r="D75" i="20"/>
  <c r="D74" i="20"/>
  <c r="D73" i="20"/>
  <c r="D72" i="20"/>
  <c r="D71" i="20"/>
  <c r="D70" i="20"/>
  <c r="D69" i="20"/>
  <c r="D68" i="20"/>
  <c r="D67" i="20"/>
  <c r="D66" i="20"/>
  <c r="D65" i="20"/>
  <c r="D64" i="20"/>
  <c r="D63" i="20"/>
  <c r="D62" i="20"/>
  <c r="D61" i="20"/>
  <c r="D60" i="20"/>
  <c r="D59" i="20"/>
  <c r="D58" i="20"/>
  <c r="D57" i="20"/>
  <c r="D56" i="20"/>
  <c r="D55" i="20"/>
  <c r="D54" i="20"/>
  <c r="D53" i="20"/>
  <c r="D52" i="20"/>
  <c r="D51" i="20"/>
  <c r="D50" i="20"/>
  <c r="D49" i="20"/>
  <c r="D48" i="20"/>
  <c r="D47" i="20"/>
  <c r="D46" i="20"/>
  <c r="D45" i="20"/>
  <c r="D44" i="20"/>
  <c r="D43" i="20"/>
  <c r="D42" i="20"/>
  <c r="D41" i="20"/>
  <c r="D40" i="20"/>
  <c r="D39" i="20"/>
  <c r="D38" i="20"/>
  <c r="D37" i="20"/>
  <c r="D36" i="20"/>
  <c r="D35" i="20"/>
  <c r="D34" i="20"/>
  <c r="D33" i="20"/>
  <c r="D32" i="20"/>
  <c r="D31" i="20"/>
  <c r="D30" i="20"/>
  <c r="D29" i="20"/>
  <c r="D28" i="20"/>
  <c r="D27" i="20"/>
  <c r="O8" i="22"/>
  <c r="O5" i="22"/>
  <c r="O4" i="22"/>
  <c r="C58" i="22"/>
  <c r="C57" i="22"/>
  <c r="C56" i="22"/>
  <c r="L25" i="22" s="1"/>
  <c r="M25" i="22"/>
  <c r="M16" i="22"/>
  <c r="L16" i="22"/>
  <c r="L51" i="22"/>
  <c r="L50" i="22"/>
  <c r="L49" i="22"/>
  <c r="L29" i="22"/>
  <c r="M21" i="22"/>
  <c r="L21" i="22"/>
  <c r="M20" i="22"/>
  <c r="L20" i="22"/>
  <c r="M18" i="22"/>
  <c r="L18" i="22"/>
  <c r="M17" i="22"/>
  <c r="L17" i="22"/>
  <c r="H29" i="22"/>
  <c r="G241" i="33"/>
  <c r="H170" i="33"/>
  <c r="C153" i="38"/>
  <c r="C152" i="38"/>
  <c r="B27" i="49"/>
  <c r="B12" i="49"/>
  <c r="AV152" i="38"/>
  <c r="AW153" i="38"/>
  <c r="B149" i="28"/>
  <c r="B150" i="28"/>
  <c r="B151" i="28"/>
  <c r="B158" i="28"/>
  <c r="B159" i="28"/>
  <c r="B160" i="28"/>
  <c r="B161" i="28"/>
  <c r="B162" i="28"/>
  <c r="B163" i="28"/>
  <c r="B164" i="28"/>
  <c r="B155" i="28"/>
  <c r="B156" i="28"/>
  <c r="B157" i="28"/>
  <c r="B154" i="28"/>
  <c r="B153" i="28"/>
  <c r="B152" i="28"/>
  <c r="B3" i="28"/>
  <c r="B84" i="28"/>
  <c r="B83" i="28"/>
  <c r="B82" i="28"/>
  <c r="B80" i="28"/>
  <c r="B81" i="28"/>
  <c r="B79" i="28"/>
  <c r="B78" i="28"/>
  <c r="B77" i="28"/>
  <c r="F41" i="42"/>
  <c r="B5" i="28"/>
  <c r="H22" i="22"/>
  <c r="H24" i="22"/>
  <c r="B85" i="28"/>
  <c r="B75" i="28"/>
  <c r="B87" i="28"/>
  <c r="B89" i="28" s="1"/>
  <c r="B86" i="28"/>
  <c r="B76" i="28"/>
  <c r="B74" i="28"/>
  <c r="B8" i="28"/>
  <c r="B7" i="28"/>
  <c r="C186" i="49"/>
  <c r="C192" i="49"/>
  <c r="C180" i="49"/>
  <c r="C179" i="49"/>
  <c r="C178" i="49"/>
  <c r="C177" i="49"/>
  <c r="B178" i="49"/>
  <c r="B180" i="49" s="1"/>
  <c r="B177" i="49"/>
  <c r="B179" i="49" s="1"/>
  <c r="B161" i="49"/>
  <c r="B162" i="49" s="1"/>
  <c r="B159" i="49"/>
  <c r="B169" i="49" s="1"/>
  <c r="B132" i="49"/>
  <c r="B145" i="49"/>
  <c r="F145" i="49" s="1"/>
  <c r="B140" i="49"/>
  <c r="F140" i="49" s="1"/>
  <c r="B124" i="49"/>
  <c r="B123" i="49"/>
  <c r="B119" i="49"/>
  <c r="B117" i="49"/>
  <c r="B116" i="49"/>
  <c r="B115" i="49"/>
  <c r="B106" i="49"/>
  <c r="B97" i="49"/>
  <c r="F97" i="49" s="1"/>
  <c r="B94" i="49"/>
  <c r="F94" i="49" s="1"/>
  <c r="B93" i="49"/>
  <c r="F93" i="49" s="1"/>
  <c r="B92" i="49"/>
  <c r="F92" i="49" s="1"/>
  <c r="B8" i="49"/>
  <c r="B7" i="49"/>
  <c r="B6" i="49"/>
  <c r="B4" i="49"/>
  <c r="B3" i="49"/>
  <c r="B30" i="49"/>
  <c r="B88" i="28" l="1"/>
  <c r="B160" i="49"/>
  <c r="B163" i="49"/>
  <c r="H74" i="33" l="1"/>
  <c r="G233" i="33"/>
  <c r="C196" i="38" s="1"/>
  <c r="AV196" i="38" s="1"/>
  <c r="AV207" i="38" s="1"/>
  <c r="G234" i="33"/>
  <c r="G235" i="33"/>
  <c r="G236" i="33"/>
  <c r="H236" i="33" s="1"/>
  <c r="B56" i="39" s="1"/>
  <c r="G152" i="33"/>
  <c r="H152" i="33" s="1"/>
  <c r="G153" i="33"/>
  <c r="H153" i="33" s="1"/>
  <c r="H154" i="33"/>
  <c r="H155" i="33"/>
  <c r="H156" i="33"/>
  <c r="H157" i="33"/>
  <c r="H158" i="33"/>
  <c r="H159" i="33"/>
  <c r="H160" i="33"/>
  <c r="H161" i="33"/>
  <c r="H162" i="33"/>
  <c r="H163" i="33"/>
  <c r="H164" i="33"/>
  <c r="H165" i="33"/>
  <c r="H166" i="33"/>
  <c r="H167" i="33"/>
  <c r="H169" i="33"/>
  <c r="H172" i="33"/>
  <c r="H173" i="33"/>
  <c r="G151" i="33"/>
  <c r="M186" i="33"/>
  <c r="E79" i="38"/>
  <c r="AT79" i="38" s="1"/>
  <c r="K19" i="33"/>
  <c r="G16" i="33"/>
  <c r="G13" i="33"/>
  <c r="C193" i="38"/>
  <c r="BL193" i="38" s="1"/>
  <c r="BL207" i="38" s="1"/>
  <c r="BL208" i="38" s="1"/>
  <c r="B193" i="38"/>
  <c r="H193" i="33"/>
  <c r="G193" i="33"/>
  <c r="I135" i="33"/>
  <c r="G53" i="33"/>
  <c r="G52" i="33"/>
  <c r="G231" i="33"/>
  <c r="G230" i="33"/>
  <c r="F246" i="21" s="1"/>
  <c r="F250" i="21"/>
  <c r="F248" i="21"/>
  <c r="F245" i="21"/>
  <c r="F244" i="21"/>
  <c r="F243" i="21"/>
  <c r="F242" i="21"/>
  <c r="F241" i="21"/>
  <c r="F240" i="21"/>
  <c r="F239" i="21"/>
  <c r="F238" i="21"/>
  <c r="F237" i="21"/>
  <c r="F236" i="21"/>
  <c r="F235" i="21"/>
  <c r="B148" i="28"/>
  <c r="C30" i="40"/>
  <c r="I245" i="33"/>
  <c r="B58" i="39" s="1"/>
  <c r="B57" i="39"/>
  <c r="B55" i="39"/>
  <c r="B54" i="39"/>
  <c r="B52" i="39"/>
  <c r="B51" i="39"/>
  <c r="B49" i="39"/>
  <c r="B50" i="39"/>
  <c r="C28" i="40"/>
  <c r="G347" i="33"/>
  <c r="H346" i="33"/>
  <c r="G346" i="33"/>
  <c r="G222" i="33"/>
  <c r="G179" i="33"/>
  <c r="G187" i="33"/>
  <c r="G191" i="33"/>
  <c r="G190" i="33"/>
  <c r="G189" i="33"/>
  <c r="G188" i="33"/>
  <c r="G192" i="33"/>
  <c r="G67" i="33"/>
  <c r="G66" i="33"/>
  <c r="G65" i="33"/>
  <c r="G64" i="33"/>
  <c r="G63" i="33"/>
  <c r="G62" i="33"/>
  <c r="G61" i="33"/>
  <c r="K72" i="33" s="1"/>
  <c r="G60" i="33"/>
  <c r="G59" i="33"/>
  <c r="G58" i="33"/>
  <c r="G57" i="33"/>
  <c r="G56" i="33"/>
  <c r="G55" i="33"/>
  <c r="G54" i="33"/>
  <c r="H347" i="33" l="1"/>
  <c r="B31" i="49"/>
  <c r="B53" i="39"/>
  <c r="J235" i="33"/>
  <c r="K153" i="33" s="1"/>
  <c r="B76" i="49" s="1"/>
  <c r="F76" i="49" s="1"/>
  <c r="C29" i="40"/>
  <c r="G147" i="33"/>
  <c r="B30" i="39" l="1"/>
  <c r="C22" i="40"/>
  <c r="G115" i="33"/>
  <c r="G114" i="33"/>
  <c r="G86" i="33"/>
  <c r="H86" i="33"/>
  <c r="G11" i="33"/>
  <c r="G10" i="33"/>
  <c r="G17" i="33"/>
  <c r="F7" i="21"/>
  <c r="I3" i="33"/>
  <c r="H3" i="33"/>
  <c r="B171" i="49" s="1"/>
  <c r="F3" i="21"/>
  <c r="J2" i="2" s="1"/>
  <c r="K147" i="33"/>
  <c r="K146" i="33"/>
  <c r="K145" i="33"/>
  <c r="K144" i="33"/>
  <c r="C37" i="40" s="1"/>
  <c r="K143" i="33"/>
  <c r="C36" i="40" s="1"/>
  <c r="K142" i="33"/>
  <c r="C35" i="40" s="1"/>
  <c r="K141" i="33"/>
  <c r="G248" i="33"/>
  <c r="G247" i="33"/>
  <c r="G246" i="33"/>
  <c r="G245" i="33"/>
  <c r="G244" i="33"/>
  <c r="G243" i="33"/>
  <c r="G242" i="33"/>
  <c r="H192" i="33"/>
  <c r="H191" i="33"/>
  <c r="BM183" i="33"/>
  <c r="BK183" i="33"/>
  <c r="BI183" i="33"/>
  <c r="BG183" i="33"/>
  <c r="BF183" i="33"/>
  <c r="BE183" i="33"/>
  <c r="BD183" i="33"/>
  <c r="BC183" i="33"/>
  <c r="BA183" i="33"/>
  <c r="AZ183" i="33"/>
  <c r="AF183" i="33"/>
  <c r="N183" i="33"/>
  <c r="BO182" i="33"/>
  <c r="BL182" i="33"/>
  <c r="BK182" i="33"/>
  <c r="BJ182" i="33"/>
  <c r="BI182" i="33"/>
  <c r="BH182" i="33"/>
  <c r="BF182" i="33"/>
  <c r="BE182" i="33"/>
  <c r="BB182" i="33"/>
  <c r="BA182" i="33"/>
  <c r="AZ182" i="33"/>
  <c r="AY182" i="33"/>
  <c r="AW182" i="33"/>
  <c r="AV182" i="33"/>
  <c r="AS182" i="33"/>
  <c r="AR182" i="33"/>
  <c r="AQ182" i="33"/>
  <c r="AK182" i="33"/>
  <c r="AJ182" i="33"/>
  <c r="AI182" i="33"/>
  <c r="AH182" i="33"/>
  <c r="AG182" i="33"/>
  <c r="AF182" i="33"/>
  <c r="AE182" i="33"/>
  <c r="AD182" i="33"/>
  <c r="AC182" i="33"/>
  <c r="AA182" i="33"/>
  <c r="Z182" i="33"/>
  <c r="X182" i="33"/>
  <c r="R182" i="33"/>
  <c r="O182" i="33"/>
  <c r="G101" i="33"/>
  <c r="I100" i="33"/>
  <c r="G100" i="33"/>
  <c r="I73" i="33"/>
  <c r="I72" i="33"/>
  <c r="F231" i="21"/>
  <c r="F206" i="21"/>
  <c r="F203" i="21"/>
  <c r="F200" i="21"/>
  <c r="F197" i="21"/>
  <c r="F194" i="21"/>
  <c r="F191" i="21"/>
  <c r="F188" i="21"/>
  <c r="F154" i="21"/>
  <c r="F151" i="21"/>
  <c r="F148" i="21"/>
  <c r="F146" i="21"/>
  <c r="F145" i="21"/>
  <c r="F144" i="21"/>
  <c r="F143" i="21"/>
  <c r="F142" i="21"/>
  <c r="F141" i="21"/>
  <c r="F125" i="21"/>
  <c r="F122" i="21"/>
  <c r="F120" i="21"/>
  <c r="F119" i="21"/>
  <c r="F118" i="21"/>
  <c r="F117" i="21"/>
  <c r="F113" i="21"/>
  <c r="F110" i="21"/>
  <c r="F107" i="21"/>
  <c r="F104" i="21"/>
  <c r="F101" i="21"/>
  <c r="F98" i="21"/>
  <c r="F95" i="21"/>
  <c r="F92" i="21"/>
  <c r="F89" i="21"/>
  <c r="F86" i="21"/>
  <c r="F82" i="21"/>
  <c r="F74" i="21"/>
  <c r="F71" i="21"/>
  <c r="F68" i="21"/>
  <c r="F65" i="21"/>
  <c r="F62" i="21"/>
  <c r="F53" i="21"/>
  <c r="F59" i="21"/>
  <c r="F50" i="21"/>
  <c r="F47" i="21"/>
  <c r="F44" i="21"/>
  <c r="F41" i="21"/>
  <c r="F38" i="21"/>
  <c r="F35" i="21"/>
  <c r="F32" i="21"/>
  <c r="F29" i="21"/>
  <c r="F26" i="21"/>
  <c r="F23" i="21"/>
  <c r="F20" i="21"/>
  <c r="F17" i="21"/>
  <c r="F14" i="21"/>
  <c r="F11" i="21"/>
  <c r="G254" i="33"/>
  <c r="G211" i="33"/>
  <c r="G210" i="33"/>
  <c r="G206" i="33"/>
  <c r="G205" i="33"/>
  <c r="G204" i="33"/>
  <c r="G203" i="33"/>
  <c r="G202" i="33"/>
  <c r="G201" i="33"/>
  <c r="G200" i="33"/>
  <c r="G199" i="33"/>
  <c r="G198" i="33"/>
  <c r="G197" i="33"/>
  <c r="G196" i="33"/>
  <c r="G195" i="33"/>
  <c r="G194" i="33"/>
  <c r="G186" i="33"/>
  <c r="G184" i="33"/>
  <c r="G183" i="33"/>
  <c r="G182" i="33"/>
  <c r="G180" i="33"/>
  <c r="G178" i="33"/>
  <c r="G177" i="33"/>
  <c r="I170" i="33"/>
  <c r="G174" i="33"/>
  <c r="H174" i="33" s="1"/>
  <c r="G173" i="33"/>
  <c r="G172" i="33"/>
  <c r="G171" i="33"/>
  <c r="H171" i="33" s="1"/>
  <c r="G170" i="33"/>
  <c r="AJ170" i="33" s="1"/>
  <c r="G169" i="33"/>
  <c r="G168" i="33"/>
  <c r="H168" i="33" s="1"/>
  <c r="G165" i="33"/>
  <c r="G164" i="33"/>
  <c r="G163" i="33"/>
  <c r="G162" i="33"/>
  <c r="G161" i="33"/>
  <c r="G160" i="33"/>
  <c r="G159" i="33"/>
  <c r="G158" i="33"/>
  <c r="G157" i="33"/>
  <c r="G156" i="33"/>
  <c r="G155" i="33"/>
  <c r="G154" i="33"/>
  <c r="G150" i="33"/>
  <c r="G149" i="33"/>
  <c r="H142" i="33"/>
  <c r="H141" i="33"/>
  <c r="H140" i="33"/>
  <c r="H139" i="33"/>
  <c r="H138" i="33"/>
  <c r="H137" i="33"/>
  <c r="K139" i="33" s="1"/>
  <c r="E142" i="38" s="1"/>
  <c r="G142" i="33"/>
  <c r="G141" i="33"/>
  <c r="G140" i="33"/>
  <c r="G139" i="33"/>
  <c r="G138" i="33"/>
  <c r="G137" i="33"/>
  <c r="G136" i="33"/>
  <c r="I136" i="33" s="1"/>
  <c r="G135" i="33"/>
  <c r="I131" i="33"/>
  <c r="I130" i="33"/>
  <c r="I129" i="33"/>
  <c r="I128" i="33"/>
  <c r="I127" i="33"/>
  <c r="I126" i="33"/>
  <c r="I125" i="33"/>
  <c r="I124" i="33"/>
  <c r="I123" i="33"/>
  <c r="I122" i="33"/>
  <c r="I121" i="33"/>
  <c r="H121" i="33"/>
  <c r="G131" i="33"/>
  <c r="H131" i="33" s="1"/>
  <c r="G130" i="33"/>
  <c r="H130" i="33" s="1"/>
  <c r="G129" i="33"/>
  <c r="H129" i="33" s="1"/>
  <c r="G128" i="33"/>
  <c r="H128" i="33" s="1"/>
  <c r="G127" i="33"/>
  <c r="H127" i="33" s="1"/>
  <c r="G126" i="33"/>
  <c r="H126" i="33" s="1"/>
  <c r="G125" i="33"/>
  <c r="H125" i="33" s="1"/>
  <c r="G124" i="33"/>
  <c r="H124" i="33" s="1"/>
  <c r="G123" i="33"/>
  <c r="H123" i="33" s="1"/>
  <c r="G122" i="33"/>
  <c r="H122" i="33" s="1"/>
  <c r="AF109" i="33" s="1"/>
  <c r="G113" i="33"/>
  <c r="G112" i="33"/>
  <c r="H112" i="33" s="1"/>
  <c r="G111" i="33"/>
  <c r="H111" i="33" s="1"/>
  <c r="G110" i="33"/>
  <c r="H110" i="33" s="1"/>
  <c r="G109" i="33"/>
  <c r="H109" i="33" s="1"/>
  <c r="I113" i="33"/>
  <c r="I112" i="33"/>
  <c r="I111" i="33"/>
  <c r="I110" i="33"/>
  <c r="I109" i="33"/>
  <c r="I108" i="33"/>
  <c r="H113" i="33"/>
  <c r="H108" i="33"/>
  <c r="H100" i="33"/>
  <c r="G108" i="33"/>
  <c r="G107" i="33"/>
  <c r="G106" i="33"/>
  <c r="G105" i="33"/>
  <c r="G104" i="33"/>
  <c r="G103" i="33"/>
  <c r="G102" i="33"/>
  <c r="G99" i="33"/>
  <c r="G98" i="33"/>
  <c r="G97" i="33"/>
  <c r="H97" i="33" s="1"/>
  <c r="G96" i="33"/>
  <c r="G95" i="33"/>
  <c r="G94" i="33"/>
  <c r="G93" i="33"/>
  <c r="G91" i="33"/>
  <c r="I91" i="33"/>
  <c r="C91" i="38" s="1"/>
  <c r="H91" i="33"/>
  <c r="H83" i="33"/>
  <c r="H73" i="33"/>
  <c r="H72" i="33"/>
  <c r="H63" i="33"/>
  <c r="H64" i="33"/>
  <c r="H65" i="33"/>
  <c r="H66" i="33"/>
  <c r="H67" i="33"/>
  <c r="H71" i="33"/>
  <c r="H70" i="33"/>
  <c r="H69" i="33"/>
  <c r="H68" i="33"/>
  <c r="H75" i="33"/>
  <c r="H81" i="33"/>
  <c r="H80" i="33"/>
  <c r="H79" i="33"/>
  <c r="H78" i="33"/>
  <c r="H77" i="33"/>
  <c r="H82" i="33"/>
  <c r="G73" i="33"/>
  <c r="G72" i="33"/>
  <c r="G71" i="33"/>
  <c r="G70" i="33"/>
  <c r="G69" i="33"/>
  <c r="G68" i="33"/>
  <c r="G83" i="33"/>
  <c r="G82" i="33"/>
  <c r="G81" i="33"/>
  <c r="G80" i="33"/>
  <c r="G79" i="33"/>
  <c r="G78" i="33"/>
  <c r="G77" i="33"/>
  <c r="G75" i="33"/>
  <c r="G74" i="33"/>
  <c r="H51" i="33"/>
  <c r="H50" i="33"/>
  <c r="H49" i="33"/>
  <c r="H48" i="33"/>
  <c r="H47" i="33"/>
  <c r="H46" i="33"/>
  <c r="H45" i="33"/>
  <c r="H44" i="33"/>
  <c r="H43" i="33"/>
  <c r="H42" i="33"/>
  <c r="H41" i="33"/>
  <c r="H40" i="33"/>
  <c r="H39" i="33"/>
  <c r="H38" i="33"/>
  <c r="H37" i="33"/>
  <c r="H36" i="33"/>
  <c r="H35" i="33"/>
  <c r="H34" i="33"/>
  <c r="H33" i="33"/>
  <c r="H32" i="33"/>
  <c r="H31" i="33"/>
  <c r="H30" i="33"/>
  <c r="H29" i="33"/>
  <c r="H28" i="33"/>
  <c r="H27" i="33"/>
  <c r="H26" i="33"/>
  <c r="H25" i="33"/>
  <c r="H24" i="33"/>
  <c r="H23" i="33"/>
  <c r="H22" i="33"/>
  <c r="H2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G22" i="33"/>
  <c r="G21" i="33"/>
  <c r="G51" i="33"/>
  <c r="I51" i="33"/>
  <c r="I50" i="33"/>
  <c r="I49" i="33"/>
  <c r="I48" i="33"/>
  <c r="I47" i="33"/>
  <c r="I46" i="33"/>
  <c r="I45" i="33"/>
  <c r="I44" i="33"/>
  <c r="I43" i="33"/>
  <c r="I42" i="33"/>
  <c r="I41" i="33"/>
  <c r="I40" i="33"/>
  <c r="I39" i="33"/>
  <c r="I38" i="33"/>
  <c r="I37" i="33"/>
  <c r="I36" i="33"/>
  <c r="I35" i="33"/>
  <c r="I34" i="33"/>
  <c r="I33" i="33"/>
  <c r="I32" i="33"/>
  <c r="I31" i="33"/>
  <c r="I30" i="33"/>
  <c r="I29" i="33"/>
  <c r="I28" i="33"/>
  <c r="I27" i="33"/>
  <c r="I26" i="33"/>
  <c r="I25" i="33"/>
  <c r="I24" i="33"/>
  <c r="I23" i="33"/>
  <c r="I22" i="33"/>
  <c r="H61" i="33"/>
  <c r="H60" i="33"/>
  <c r="H59" i="33"/>
  <c r="H58" i="33"/>
  <c r="H57" i="33"/>
  <c r="H56" i="33"/>
  <c r="H55" i="33"/>
  <c r="H54" i="33"/>
  <c r="H53" i="33"/>
  <c r="H52" i="33"/>
  <c r="H62" i="33"/>
  <c r="G19" i="33"/>
  <c r="G18" i="33"/>
  <c r="K18" i="33" s="1"/>
  <c r="G15" i="33"/>
  <c r="G14" i="33"/>
  <c r="G9" i="33"/>
  <c r="G8" i="33"/>
  <c r="I250" i="33" l="1"/>
  <c r="C34" i="40"/>
  <c r="B91" i="49"/>
  <c r="F91" i="49" s="1"/>
  <c r="C41" i="40"/>
  <c r="B98" i="49"/>
  <c r="F98" i="49" s="1"/>
  <c r="B139" i="49"/>
  <c r="F139" i="49" s="1"/>
  <c r="B16" i="39"/>
  <c r="B46" i="39" s="1"/>
  <c r="D41" i="42"/>
  <c r="C38" i="40"/>
  <c r="B95" i="49"/>
  <c r="F95" i="49" s="1"/>
  <c r="C40" i="40"/>
  <c r="K96" i="33"/>
  <c r="K58" i="33"/>
  <c r="K57" i="33"/>
  <c r="B138" i="49" s="1"/>
  <c r="F138" i="49" s="1"/>
  <c r="K60" i="33"/>
  <c r="I87" i="33"/>
  <c r="H90" i="33"/>
  <c r="H89" i="33"/>
  <c r="H88" i="33"/>
  <c r="H87" i="33"/>
  <c r="H85" i="33"/>
  <c r="H84" i="33"/>
  <c r="D24" i="42"/>
  <c r="D25" i="42"/>
  <c r="K70" i="33" l="1"/>
  <c r="B137" i="49" s="1"/>
  <c r="F137" i="49" s="1"/>
  <c r="BL180" i="33"/>
  <c r="BH180" i="33"/>
  <c r="K81" i="33"/>
  <c r="L81" i="33" s="1"/>
  <c r="AR88" i="33" s="1"/>
  <c r="K83" i="33"/>
  <c r="C115" i="38"/>
  <c r="C114" i="38"/>
  <c r="O65" i="42"/>
  <c r="O32" i="42"/>
  <c r="O25" i="42"/>
  <c r="O24" i="42"/>
  <c r="G90" i="33"/>
  <c r="G89" i="33"/>
  <c r="G88" i="33"/>
  <c r="G87" i="33"/>
  <c r="G85" i="33"/>
  <c r="G84" i="33"/>
  <c r="B142" i="49" l="1"/>
  <c r="F142" i="49" s="1"/>
  <c r="L83" i="33"/>
  <c r="AQ87" i="33" s="1"/>
  <c r="B136" i="49"/>
  <c r="F136" i="49" s="1"/>
  <c r="AF87" i="33"/>
  <c r="P24" i="42"/>
  <c r="P65" i="42"/>
  <c r="P32" i="42"/>
  <c r="P25" i="42"/>
  <c r="B104" i="28"/>
  <c r="B145" i="28"/>
  <c r="B144" i="28"/>
  <c r="B110" i="28"/>
  <c r="B109" i="28"/>
  <c r="B108" i="28"/>
  <c r="B107" i="28"/>
  <c r="B106" i="28"/>
  <c r="B143" i="28"/>
  <c r="B135" i="28"/>
  <c r="B142" i="28"/>
  <c r="B141" i="28"/>
  <c r="B140" i="28"/>
  <c r="B139" i="28"/>
  <c r="B138" i="28"/>
  <c r="B137" i="28"/>
  <c r="B136" i="28"/>
  <c r="B134" i="28"/>
  <c r="B133" i="28"/>
  <c r="B132" i="28"/>
  <c r="B131" i="28"/>
  <c r="B130" i="28"/>
  <c r="B129" i="28"/>
  <c r="B128" i="28"/>
  <c r="B127" i="28"/>
  <c r="B126" i="28"/>
  <c r="B125" i="28"/>
  <c r="B124" i="28"/>
  <c r="B123" i="28"/>
  <c r="B122" i="28"/>
  <c r="B121" i="28"/>
  <c r="B120" i="28"/>
  <c r="B119" i="28"/>
  <c r="B118" i="28"/>
  <c r="B116" i="28"/>
  <c r="B114" i="28"/>
  <c r="B113" i="28"/>
  <c r="B117" i="28"/>
  <c r="B15" i="38"/>
  <c r="C67" i="38"/>
  <c r="BF67" i="38" s="1"/>
  <c r="BF207" i="38" s="1"/>
  <c r="C66" i="38"/>
  <c r="BH66" i="38" s="1"/>
  <c r="BH207" i="38" s="1"/>
  <c r="BH208" i="38" s="1"/>
  <c r="BE207" i="38"/>
  <c r="B67" i="38"/>
  <c r="B66" i="38"/>
  <c r="B192" i="38"/>
  <c r="B191" i="38"/>
  <c r="B190" i="38"/>
  <c r="B189" i="38"/>
  <c r="B188" i="38"/>
  <c r="C188" i="38"/>
  <c r="C190" i="38"/>
  <c r="BJ190" i="38" s="1"/>
  <c r="BJ207" i="38" s="1"/>
  <c r="BJ208" i="38" s="1"/>
  <c r="C189" i="38"/>
  <c r="BI189" i="38" s="1"/>
  <c r="BI207" i="38" s="1"/>
  <c r="BI208" i="38" s="1"/>
  <c r="H147" i="33"/>
  <c r="C100" i="22"/>
  <c r="F115" i="22"/>
  <c r="F118" i="22" s="1"/>
  <c r="F117" i="22"/>
  <c r="F116" i="22"/>
  <c r="B178" i="38"/>
  <c r="C178" i="38"/>
  <c r="D23" i="42"/>
  <c r="O23" i="42" s="1"/>
  <c r="P23" i="42" s="1"/>
  <c r="F23" i="42"/>
  <c r="G23" i="42" s="1"/>
  <c r="F35" i="42"/>
  <c r="F22" i="42"/>
  <c r="F20" i="42"/>
  <c r="F32" i="42"/>
  <c r="F31" i="42"/>
  <c r="F30" i="42"/>
  <c r="F29" i="42"/>
  <c r="F28" i="42"/>
  <c r="F27" i="42"/>
  <c r="F26" i="42"/>
  <c r="F25" i="42"/>
  <c r="C25" i="40"/>
  <c r="C26" i="40"/>
  <c r="BO186" i="33"/>
  <c r="C192" i="38"/>
  <c r="BM192" i="38" s="1"/>
  <c r="BM207" i="38" s="1"/>
  <c r="BM208" i="38" s="1"/>
  <c r="C191" i="38"/>
  <c r="BK191" i="38" s="1"/>
  <c r="BK207" i="38" s="1"/>
  <c r="BK208" i="38" s="1"/>
  <c r="D2" i="22"/>
  <c r="F65" i="42"/>
  <c r="F64" i="42"/>
  <c r="F33" i="42"/>
  <c r="B112" i="28"/>
  <c r="B99" i="28"/>
  <c r="B111" i="28"/>
  <c r="B105" i="28"/>
  <c r="I120" i="33"/>
  <c r="C120" i="38" s="1"/>
  <c r="I119" i="33"/>
  <c r="C119" i="38" s="1"/>
  <c r="I118" i="33"/>
  <c r="C118" i="38" s="1"/>
  <c r="I117" i="33"/>
  <c r="C117" i="38" s="1"/>
  <c r="I116" i="33"/>
  <c r="C116" i="38" s="1"/>
  <c r="C121" i="38"/>
  <c r="C113" i="38"/>
  <c r="C112" i="38"/>
  <c r="C111" i="38"/>
  <c r="C110" i="38"/>
  <c r="C109" i="38"/>
  <c r="AC46" i="33"/>
  <c r="C131" i="38"/>
  <c r="C130" i="38"/>
  <c r="C129" i="38"/>
  <c r="Z129" i="38" s="1"/>
  <c r="C128" i="38"/>
  <c r="C127" i="38"/>
  <c r="C126" i="38"/>
  <c r="C125" i="38"/>
  <c r="C124" i="38"/>
  <c r="C123" i="38"/>
  <c r="C122" i="38"/>
  <c r="F24" i="42"/>
  <c r="C99" i="22"/>
  <c r="C98" i="22"/>
  <c r="AP87" i="33" l="1"/>
  <c r="AG87" i="33"/>
  <c r="M23" i="42"/>
  <c r="N23" i="42" s="1"/>
  <c r="E23" i="45"/>
  <c r="B14" i="39"/>
  <c r="D98" i="22"/>
  <c r="BF186" i="33"/>
  <c r="C100" i="38"/>
  <c r="BM100" i="33"/>
  <c r="CD23" i="38"/>
  <c r="BE186" i="33"/>
  <c r="BG186" i="33"/>
  <c r="BH186" i="33"/>
  <c r="BI186" i="33"/>
  <c r="AZ186" i="33"/>
  <c r="BJ186" i="33"/>
  <c r="BC186" i="33"/>
  <c r="BL186" i="33"/>
  <c r="BD186" i="33"/>
  <c r="I178" i="38"/>
  <c r="F178" i="38"/>
  <c r="H23" i="42"/>
  <c r="I23" i="42" s="1"/>
  <c r="J23" i="42" s="1"/>
  <c r="BK186" i="33"/>
  <c r="BA186" i="33"/>
  <c r="BM186" i="33"/>
  <c r="BB186" i="33"/>
  <c r="H246" i="33"/>
  <c r="H243" i="33"/>
  <c r="H242" i="33"/>
  <c r="H248" i="33"/>
  <c r="H247" i="33"/>
  <c r="H245" i="33"/>
  <c r="H244" i="33"/>
  <c r="H249" i="33"/>
  <c r="F247" i="21"/>
  <c r="D7" i="42"/>
  <c r="D31" i="42"/>
  <c r="D30" i="42"/>
  <c r="D29" i="42"/>
  <c r="D28" i="42"/>
  <c r="D27" i="42"/>
  <c r="D26" i="42"/>
  <c r="G25" i="42"/>
  <c r="G24" i="42"/>
  <c r="E24" i="45" s="1"/>
  <c r="D32" i="42"/>
  <c r="G32" i="42" s="1"/>
  <c r="E32" i="45" s="1"/>
  <c r="D36" i="42"/>
  <c r="D65" i="42"/>
  <c r="G65" i="42" s="1"/>
  <c r="D64" i="42"/>
  <c r="D22" i="42"/>
  <c r="F56" i="42"/>
  <c r="AC185" i="33"/>
  <c r="C18" i="42" s="1"/>
  <c r="O18" i="42" s="1"/>
  <c r="F6" i="21"/>
  <c r="F232" i="21"/>
  <c r="F229" i="21"/>
  <c r="F224" i="21"/>
  <c r="F219" i="21"/>
  <c r="F214" i="21"/>
  <c r="F209" i="21"/>
  <c r="F135" i="21"/>
  <c r="F130" i="21"/>
  <c r="F81" i="21"/>
  <c r="F80" i="21"/>
  <c r="F79" i="21"/>
  <c r="F78" i="21"/>
  <c r="F77" i="21"/>
  <c r="C71" i="38"/>
  <c r="K71" i="38" s="1"/>
  <c r="AX91" i="38"/>
  <c r="B91" i="38"/>
  <c r="BL26" i="33"/>
  <c r="BJ22" i="33"/>
  <c r="N48" i="33"/>
  <c r="AH39" i="33"/>
  <c r="S38" i="33"/>
  <c r="B102" i="28"/>
  <c r="B101" i="28"/>
  <c r="B10" i="49" l="1"/>
  <c r="M65" i="42"/>
  <c r="N65" i="42" s="1"/>
  <c r="E65" i="45"/>
  <c r="M25" i="42"/>
  <c r="N25" i="42" s="1"/>
  <c r="E25" i="45"/>
  <c r="B147" i="28"/>
  <c r="C27" i="40"/>
  <c r="K62" i="33"/>
  <c r="I54" i="33" s="1"/>
  <c r="K63" i="33"/>
  <c r="I55" i="33" s="1"/>
  <c r="G215" i="33"/>
  <c r="C73" i="38"/>
  <c r="C72" i="38"/>
  <c r="G31" i="42"/>
  <c r="O31" i="42"/>
  <c r="P31" i="42" s="1"/>
  <c r="G26" i="42"/>
  <c r="E26" i="45" s="1"/>
  <c r="O26" i="42"/>
  <c r="P26" i="42" s="1"/>
  <c r="G27" i="42"/>
  <c r="O27" i="42"/>
  <c r="P27" i="42" s="1"/>
  <c r="G30" i="42"/>
  <c r="O30" i="42"/>
  <c r="P30" i="42" s="1"/>
  <c r="G28" i="42"/>
  <c r="O28" i="42"/>
  <c r="P28" i="42" s="1"/>
  <c r="G29" i="42"/>
  <c r="O29" i="42"/>
  <c r="P29" i="42" s="1"/>
  <c r="H215" i="33"/>
  <c r="M24" i="42"/>
  <c r="N24" i="42" s="1"/>
  <c r="CE24" i="38"/>
  <c r="G18" i="42"/>
  <c r="P18" i="42"/>
  <c r="H32" i="42"/>
  <c r="I32" i="42" s="1"/>
  <c r="J32" i="42" s="1"/>
  <c r="M32" i="42"/>
  <c r="N32" i="42" s="1"/>
  <c r="F2" i="42"/>
  <c r="D2" i="42"/>
  <c r="G216" i="33"/>
  <c r="K3" i="38"/>
  <c r="H216" i="33"/>
  <c r="L3" i="38"/>
  <c r="BS3" i="38"/>
  <c r="AP3" i="38"/>
  <c r="R184" i="33"/>
  <c r="N3" i="38"/>
  <c r="C71" i="22"/>
  <c r="C16" i="40"/>
  <c r="T184" i="33"/>
  <c r="J242" i="33"/>
  <c r="H24" i="42"/>
  <c r="I24" i="42" s="1"/>
  <c r="H25" i="42"/>
  <c r="I25" i="42" s="1"/>
  <c r="H219" i="33"/>
  <c r="BE184" i="33"/>
  <c r="AZ184" i="33"/>
  <c r="BM184" i="33"/>
  <c r="BF184" i="33"/>
  <c r="BG184" i="33"/>
  <c r="U184" i="33"/>
  <c r="O184" i="33"/>
  <c r="H65" i="42"/>
  <c r="I65" i="42" s="1"/>
  <c r="J65" i="42" s="1"/>
  <c r="C9" i="40"/>
  <c r="C15" i="40" s="1"/>
  <c r="B46" i="38"/>
  <c r="B45" i="38"/>
  <c r="B131" i="38"/>
  <c r="B130" i="38"/>
  <c r="B129" i="38"/>
  <c r="B128" i="38"/>
  <c r="B127" i="38"/>
  <c r="B126" i="38"/>
  <c r="B125" i="38"/>
  <c r="B124" i="38"/>
  <c r="B123" i="38"/>
  <c r="B122" i="38"/>
  <c r="B121" i="38"/>
  <c r="B120" i="38"/>
  <c r="B119" i="38"/>
  <c r="B118" i="38"/>
  <c r="B117" i="38"/>
  <c r="B116" i="38"/>
  <c r="B115" i="38"/>
  <c r="B114" i="38"/>
  <c r="B113" i="38"/>
  <c r="B112" i="38"/>
  <c r="B111" i="38"/>
  <c r="B110" i="38"/>
  <c r="B109" i="38"/>
  <c r="B108" i="38"/>
  <c r="B106" i="38"/>
  <c r="B105" i="38"/>
  <c r="B104" i="38"/>
  <c r="B103" i="38"/>
  <c r="B102" i="38"/>
  <c r="B101" i="38"/>
  <c r="B100" i="38"/>
  <c r="B99" i="38"/>
  <c r="B98" i="38"/>
  <c r="B97" i="38"/>
  <c r="B96" i="38"/>
  <c r="B95" i="38"/>
  <c r="B94" i="38"/>
  <c r="B93" i="38"/>
  <c r="B90" i="38"/>
  <c r="B89" i="38"/>
  <c r="B88" i="38"/>
  <c r="B87" i="38"/>
  <c r="B86" i="38"/>
  <c r="B85" i="38"/>
  <c r="B84" i="38"/>
  <c r="B83" i="38"/>
  <c r="B82" i="38"/>
  <c r="B81" i="38"/>
  <c r="B80" i="38"/>
  <c r="B79" i="38"/>
  <c r="B78" i="38"/>
  <c r="B77" i="38"/>
  <c r="B76" i="38"/>
  <c r="B75" i="38"/>
  <c r="B74" i="38"/>
  <c r="B73" i="38"/>
  <c r="B72" i="38"/>
  <c r="B71" i="38"/>
  <c r="B70" i="38"/>
  <c r="B69" i="38"/>
  <c r="B68" i="38"/>
  <c r="B65" i="38"/>
  <c r="B64" i="38"/>
  <c r="B63" i="38"/>
  <c r="B62" i="38"/>
  <c r="B61" i="38"/>
  <c r="B60" i="38"/>
  <c r="B59" i="38"/>
  <c r="B58" i="38"/>
  <c r="B57" i="38"/>
  <c r="B56" i="38"/>
  <c r="B55" i="38"/>
  <c r="B54" i="38"/>
  <c r="B53" i="38"/>
  <c r="B52" i="38"/>
  <c r="B49" i="38"/>
  <c r="B48" i="38"/>
  <c r="B47" i="38"/>
  <c r="B44" i="38"/>
  <c r="B43" i="38"/>
  <c r="B42" i="38"/>
  <c r="B41" i="38"/>
  <c r="B40" i="38"/>
  <c r="B39" i="38"/>
  <c r="B38" i="38"/>
  <c r="B37" i="38"/>
  <c r="B36" i="38"/>
  <c r="B35" i="38"/>
  <c r="B34" i="38"/>
  <c r="B33" i="38"/>
  <c r="B32" i="38"/>
  <c r="B31" i="38"/>
  <c r="B30" i="38"/>
  <c r="B29" i="38"/>
  <c r="B28" i="38"/>
  <c r="B27" i="38"/>
  <c r="B26" i="38"/>
  <c r="B25" i="38"/>
  <c r="B24" i="38"/>
  <c r="B23" i="38"/>
  <c r="B22" i="38"/>
  <c r="B21" i="38"/>
  <c r="B18" i="38"/>
  <c r="B17" i="38"/>
  <c r="B16" i="38"/>
  <c r="B14" i="38"/>
  <c r="B13" i="38"/>
  <c r="B12" i="38"/>
  <c r="B11" i="38"/>
  <c r="B10" i="38"/>
  <c r="B9" i="38"/>
  <c r="B8" i="38"/>
  <c r="B7" i="38"/>
  <c r="B6" i="38"/>
  <c r="B5" i="38"/>
  <c r="B4" i="38"/>
  <c r="B3" i="38"/>
  <c r="B2" i="38"/>
  <c r="B19" i="38"/>
  <c r="C77" i="38"/>
  <c r="C76" i="38"/>
  <c r="C75" i="38"/>
  <c r="C74" i="38"/>
  <c r="C70" i="38"/>
  <c r="C69" i="38"/>
  <c r="B29" i="49" l="1"/>
  <c r="B28" i="49"/>
  <c r="CE26" i="38"/>
  <c r="M29" i="42"/>
  <c r="N29" i="42" s="1"/>
  <c r="E29" i="45"/>
  <c r="M26" i="42"/>
  <c r="N26" i="42" s="1"/>
  <c r="M28" i="42"/>
  <c r="N28" i="42" s="1"/>
  <c r="E28" i="45"/>
  <c r="M31" i="42"/>
  <c r="N31" i="42" s="1"/>
  <c r="E31" i="45"/>
  <c r="M18" i="42"/>
  <c r="N18" i="42" s="1"/>
  <c r="E18" i="45"/>
  <c r="H26" i="42"/>
  <c r="I26" i="42" s="1"/>
  <c r="J26" i="42" s="1"/>
  <c r="M30" i="42"/>
  <c r="N30" i="42" s="1"/>
  <c r="E30" i="45"/>
  <c r="M27" i="42"/>
  <c r="N27" i="42" s="1"/>
  <c r="E27" i="45"/>
  <c r="K79" i="33"/>
  <c r="K68" i="33"/>
  <c r="B143" i="49" s="1"/>
  <c r="F143" i="49" s="1"/>
  <c r="B10" i="39"/>
  <c r="B42" i="39" s="1"/>
  <c r="B15" i="39"/>
  <c r="B45" i="39" s="1"/>
  <c r="C83" i="38"/>
  <c r="H31" i="42"/>
  <c r="I31" i="42" s="1"/>
  <c r="J31" i="42" s="1"/>
  <c r="H29" i="42"/>
  <c r="I29" i="42" s="1"/>
  <c r="J29" i="42" s="1"/>
  <c r="H30" i="42"/>
  <c r="I30" i="42" s="1"/>
  <c r="J30" i="42" s="1"/>
  <c r="H28" i="42"/>
  <c r="I28" i="42" s="1"/>
  <c r="J28" i="42" s="1"/>
  <c r="H27" i="42"/>
  <c r="I27" i="42" s="1"/>
  <c r="J27" i="42" s="1"/>
  <c r="H18" i="42"/>
  <c r="I18" i="42" s="1"/>
  <c r="J18" i="42" s="1"/>
  <c r="C78" i="38"/>
  <c r="C23" i="40"/>
  <c r="C24" i="40"/>
  <c r="J25" i="42"/>
  <c r="J24" i="42"/>
  <c r="C68" i="38"/>
  <c r="C45" i="38"/>
  <c r="AN45" i="38" s="1"/>
  <c r="C46" i="38"/>
  <c r="AU46" i="38" s="1"/>
  <c r="B98" i="28"/>
  <c r="B97" i="28"/>
  <c r="B96" i="28"/>
  <c r="B95" i="28"/>
  <c r="B94" i="28"/>
  <c r="B92" i="28"/>
  <c r="B93" i="28"/>
  <c r="B90" i="28"/>
  <c r="E89" i="22"/>
  <c r="H6" i="33"/>
  <c r="B4" i="28" s="1"/>
  <c r="C64" i="38"/>
  <c r="BC64" i="38" s="1"/>
  <c r="C63" i="38"/>
  <c r="BB63" i="38" s="1"/>
  <c r="C62" i="38"/>
  <c r="BD62" i="38" s="1"/>
  <c r="C60" i="38"/>
  <c r="AG85" i="33"/>
  <c r="BA84" i="33"/>
  <c r="N77" i="33"/>
  <c r="BL69" i="33"/>
  <c r="H120" i="33"/>
  <c r="H119" i="33"/>
  <c r="H118" i="33"/>
  <c r="H117" i="33"/>
  <c r="BS117" i="38" s="1"/>
  <c r="H116" i="33"/>
  <c r="O33" i="42" l="1"/>
  <c r="P33" i="42" s="1"/>
  <c r="E59" i="20"/>
  <c r="AG6" i="33"/>
  <c r="AG181" i="33" s="1"/>
  <c r="B9" i="49"/>
  <c r="AT6" i="33"/>
  <c r="B48" i="39"/>
  <c r="L79" i="33"/>
  <c r="BJ80" i="33" s="1"/>
  <c r="M79" i="33"/>
  <c r="B12" i="39"/>
  <c r="B44" i="39" s="1"/>
  <c r="L139" i="33"/>
  <c r="G33" i="42"/>
  <c r="BI71" i="33"/>
  <c r="BI68" i="33"/>
  <c r="BH68" i="33"/>
  <c r="BH181" i="33" s="1"/>
  <c r="AF68" i="33"/>
  <c r="BL68" i="33"/>
  <c r="BL181" i="33" s="1"/>
  <c r="AE68" i="33"/>
  <c r="J220" i="33"/>
  <c r="V6" i="33"/>
  <c r="S6" i="33"/>
  <c r="AS6" i="33"/>
  <c r="C7" i="38"/>
  <c r="E7" i="38" s="1"/>
  <c r="L7" i="38" s="1"/>
  <c r="BM6" i="33"/>
  <c r="AK6" i="33"/>
  <c r="Y6" i="33"/>
  <c r="U6" i="33"/>
  <c r="R6" i="33"/>
  <c r="BK6" i="33"/>
  <c r="AJ6" i="33"/>
  <c r="BA6" i="33"/>
  <c r="AF6" i="33"/>
  <c r="BD6" i="33"/>
  <c r="AU6" i="33"/>
  <c r="X6" i="33"/>
  <c r="T6" i="33"/>
  <c r="AR6" i="33"/>
  <c r="AQ6" i="33"/>
  <c r="BE6" i="33"/>
  <c r="AE6" i="33"/>
  <c r="AA6" i="33"/>
  <c r="AL6" i="33"/>
  <c r="AP6" i="33"/>
  <c r="BO6" i="33"/>
  <c r="F45" i="38"/>
  <c r="F46" i="38"/>
  <c r="Z45" i="38"/>
  <c r="C65" i="38"/>
  <c r="AP65" i="38" s="1"/>
  <c r="C54" i="38"/>
  <c r="C170" i="38"/>
  <c r="M170" i="38" s="1"/>
  <c r="AT118" i="38"/>
  <c r="C55" i="38"/>
  <c r="BG55" i="38" s="1"/>
  <c r="C171" i="38"/>
  <c r="Q171" i="38" s="1"/>
  <c r="N78" i="33"/>
  <c r="N181" i="33" s="1"/>
  <c r="N185" i="33" s="1"/>
  <c r="BG77" i="33"/>
  <c r="C56" i="38"/>
  <c r="C172" i="38"/>
  <c r="I172" i="38" s="1"/>
  <c r="C173" i="38"/>
  <c r="AM173" i="38" s="1"/>
  <c r="C168" i="38"/>
  <c r="F168" i="38" s="1"/>
  <c r="C174" i="38"/>
  <c r="AH174" i="38" s="1"/>
  <c r="R87" i="33"/>
  <c r="C169" i="38"/>
  <c r="AU169" i="38" s="1"/>
  <c r="AX70" i="33"/>
  <c r="AW70" i="33"/>
  <c r="V71" i="33"/>
  <c r="Y71" i="33"/>
  <c r="W71" i="33"/>
  <c r="W181" i="33" s="1"/>
  <c r="W185" i="33" s="1"/>
  <c r="C13" i="42" s="1"/>
  <c r="AT72" i="33"/>
  <c r="AS72" i="33"/>
  <c r="BA72" i="33"/>
  <c r="AZ72" i="33"/>
  <c r="BE72" i="33"/>
  <c r="BK72" i="33"/>
  <c r="BB35" i="33"/>
  <c r="C106" i="38"/>
  <c r="BO106" i="33"/>
  <c r="BE73" i="33"/>
  <c r="BA73" i="33"/>
  <c r="AZ73" i="33"/>
  <c r="E90" i="38"/>
  <c r="C61" i="38"/>
  <c r="C52" i="38"/>
  <c r="C53" i="38"/>
  <c r="N117" i="38"/>
  <c r="C57" i="38"/>
  <c r="C58" i="38"/>
  <c r="C59" i="38"/>
  <c r="AK59" i="38" s="1"/>
  <c r="BN117" i="38"/>
  <c r="B91" i="28"/>
  <c r="BC207" i="38"/>
  <c r="BC208" i="38" s="1"/>
  <c r="BD207" i="38"/>
  <c r="BD208" i="38" s="1"/>
  <c r="AJ104" i="33"/>
  <c r="AI102" i="33"/>
  <c r="K73" i="33"/>
  <c r="L74" i="33" s="1"/>
  <c r="AV109" i="33"/>
  <c r="BK109" i="33"/>
  <c r="C5" i="38"/>
  <c r="C35" i="38"/>
  <c r="H114" i="33"/>
  <c r="AJ75" i="38"/>
  <c r="AH47" i="33"/>
  <c r="C105" i="38"/>
  <c r="C103" i="38"/>
  <c r="H98" i="33"/>
  <c r="G167" i="33"/>
  <c r="G166" i="33"/>
  <c r="K149" i="33" s="1"/>
  <c r="B2" i="39" s="1"/>
  <c r="B31" i="39" s="1"/>
  <c r="B18" i="45" s="1"/>
  <c r="G134" i="33"/>
  <c r="G146" i="33"/>
  <c r="G145" i="33"/>
  <c r="G144" i="33"/>
  <c r="I144" i="33" s="1"/>
  <c r="G143" i="33"/>
  <c r="I143" i="33" s="1"/>
  <c r="C88" i="35"/>
  <c r="C85" i="35"/>
  <c r="C83" i="35"/>
  <c r="C82" i="35"/>
  <c r="C81" i="35"/>
  <c r="C80" i="35"/>
  <c r="C79" i="35"/>
  <c r="C78" i="35"/>
  <c r="C77" i="35"/>
  <c r="C72" i="35"/>
  <c r="C70" i="35"/>
  <c r="C69" i="35"/>
  <c r="D68" i="35"/>
  <c r="C68" i="35"/>
  <c r="C67" i="35"/>
  <c r="C66" i="35"/>
  <c r="C64" i="35"/>
  <c r="C63" i="35"/>
  <c r="C62" i="35"/>
  <c r="C61" i="35"/>
  <c r="C60" i="35"/>
  <c r="C58" i="35"/>
  <c r="E57" i="35" s="1"/>
  <c r="E70" i="35" s="1"/>
  <c r="C57" i="35"/>
  <c r="B65" i="35" s="1"/>
  <c r="C65" i="35" s="1"/>
  <c r="L51" i="35"/>
  <c r="L50" i="35"/>
  <c r="D48" i="35"/>
  <c r="H47" i="35"/>
  <c r="D47" i="35"/>
  <c r="D44" i="35"/>
  <c r="L43" i="35"/>
  <c r="J42" i="35"/>
  <c r="D42" i="35"/>
  <c r="J39" i="35"/>
  <c r="F37" i="35"/>
  <c r="D36" i="35"/>
  <c r="D33" i="35"/>
  <c r="K32" i="35"/>
  <c r="D32" i="35"/>
  <c r="L29" i="35"/>
  <c r="H29" i="35"/>
  <c r="H28" i="35"/>
  <c r="H27" i="35"/>
  <c r="H26" i="35"/>
  <c r="H25" i="35"/>
  <c r="H24" i="35"/>
  <c r="H22" i="35"/>
  <c r="M21" i="35"/>
  <c r="L21" i="35"/>
  <c r="H21" i="35"/>
  <c r="M20" i="35"/>
  <c r="L20" i="35"/>
  <c r="J40" i="35" s="1"/>
  <c r="H20" i="35"/>
  <c r="H19" i="35"/>
  <c r="M18" i="35"/>
  <c r="L18" i="35"/>
  <c r="H18" i="35"/>
  <c r="M17" i="35"/>
  <c r="L17" i="35"/>
  <c r="H17" i="35"/>
  <c r="H16" i="35"/>
  <c r="H15" i="35"/>
  <c r="H14" i="35"/>
  <c r="H13" i="35"/>
  <c r="H12" i="35"/>
  <c r="H10" i="35"/>
  <c r="H9" i="35"/>
  <c r="H34" i="35" s="1"/>
  <c r="D9" i="35"/>
  <c r="D8" i="35"/>
  <c r="H7" i="35"/>
  <c r="D6" i="35"/>
  <c r="H11" i="35" s="1"/>
  <c r="O5" i="35"/>
  <c r="H5" i="35"/>
  <c r="H35" i="35" s="1"/>
  <c r="D5" i="35"/>
  <c r="O4" i="35"/>
  <c r="J4" i="35"/>
  <c r="H4" i="35"/>
  <c r="D4" i="35"/>
  <c r="H8" i="35" s="1"/>
  <c r="O7" i="35" s="1"/>
  <c r="J3" i="35"/>
  <c r="H3" i="35"/>
  <c r="D3" i="35"/>
  <c r="H6" i="35" s="1"/>
  <c r="G24" i="34"/>
  <c r="G23" i="34"/>
  <c r="G22" i="34"/>
  <c r="G2" i="34"/>
  <c r="H1" i="34"/>
  <c r="H151" i="33"/>
  <c r="AI109" i="33"/>
  <c r="X109" i="33"/>
  <c r="H150" i="33"/>
  <c r="F2" i="33"/>
  <c r="J21" i="21"/>
  <c r="J22" i="21"/>
  <c r="H3" i="22"/>
  <c r="E33" i="45" l="1"/>
  <c r="F59" i="20"/>
  <c r="C161" i="49"/>
  <c r="C163" i="49"/>
  <c r="C162" i="49"/>
  <c r="B5" i="49"/>
  <c r="AE90" i="38"/>
  <c r="V90" i="38"/>
  <c r="K159" i="33"/>
  <c r="K137" i="33"/>
  <c r="K93" i="33"/>
  <c r="B9" i="39"/>
  <c r="B17" i="45"/>
  <c r="K134" i="33"/>
  <c r="B3" i="39" s="1"/>
  <c r="H145" i="33"/>
  <c r="I145" i="33"/>
  <c r="AK109" i="33"/>
  <c r="AQ94" i="33"/>
  <c r="K184" i="33"/>
  <c r="H134" i="33"/>
  <c r="I134" i="33"/>
  <c r="U109" i="33"/>
  <c r="T109" i="33"/>
  <c r="AW109" i="33"/>
  <c r="AY109" i="33"/>
  <c r="AY181" i="33" s="1"/>
  <c r="AY185" i="33" s="1"/>
  <c r="C48" i="42" s="1"/>
  <c r="O48" i="42" s="1"/>
  <c r="H146" i="33"/>
  <c r="I146" i="33"/>
  <c r="BO181" i="33"/>
  <c r="BO185" i="33" s="1"/>
  <c r="C22" i="42" s="1"/>
  <c r="E48" i="20" s="1"/>
  <c r="M33" i="42"/>
  <c r="N33" i="42" s="1"/>
  <c r="H33" i="42"/>
  <c r="I33" i="42" s="1"/>
  <c r="J33" i="42" s="1"/>
  <c r="AM135" i="33"/>
  <c r="G13" i="42"/>
  <c r="F39" i="20" s="1"/>
  <c r="AN172" i="33"/>
  <c r="AN181" i="33" s="1"/>
  <c r="AN185" i="33" s="1"/>
  <c r="C43" i="42"/>
  <c r="O43" i="42" s="1"/>
  <c r="K108" i="33"/>
  <c r="K110" i="33" s="1"/>
  <c r="BL109" i="33"/>
  <c r="BA109" i="33"/>
  <c r="BB109" i="33"/>
  <c r="BE109" i="33"/>
  <c r="BF109" i="33"/>
  <c r="V181" i="33"/>
  <c r="V185" i="33" s="1"/>
  <c r="C12" i="42" s="1"/>
  <c r="E38" i="20" s="1"/>
  <c r="F7" i="38"/>
  <c r="I7" i="38"/>
  <c r="J7" i="38"/>
  <c r="AT91" i="33"/>
  <c r="AS91" i="33"/>
  <c r="C64" i="42"/>
  <c r="O64" i="42" s="1"/>
  <c r="AK207" i="38"/>
  <c r="AK208" i="38" s="1"/>
  <c r="S7" i="38"/>
  <c r="H144" i="33"/>
  <c r="H143" i="33"/>
  <c r="K183" i="33"/>
  <c r="K7" i="38"/>
  <c r="Q7" i="38"/>
  <c r="AE7" i="38"/>
  <c r="G7" i="38"/>
  <c r="H7" i="38"/>
  <c r="AQ7" i="38"/>
  <c r="AQ207" i="38" s="1"/>
  <c r="AQ208" i="38" s="1"/>
  <c r="V7" i="38"/>
  <c r="AG185" i="33"/>
  <c r="C6" i="42" s="1"/>
  <c r="M171" i="38"/>
  <c r="C99" i="38"/>
  <c r="H99" i="33"/>
  <c r="AH99" i="33" s="1"/>
  <c r="V86" i="38"/>
  <c r="C86" i="38"/>
  <c r="C96" i="38"/>
  <c r="H96" i="33"/>
  <c r="AH96" i="33" s="1"/>
  <c r="J29" i="35"/>
  <c r="C86" i="35"/>
  <c r="C59" i="35"/>
  <c r="AV157" i="33"/>
  <c r="AZ109" i="33"/>
  <c r="H149" i="33"/>
  <c r="U159" i="33"/>
  <c r="Q166" i="33"/>
  <c r="Q181" i="33" s="1"/>
  <c r="Q185" i="33" s="1"/>
  <c r="C60" i="42" s="1"/>
  <c r="O60" i="42" s="1"/>
  <c r="H115" i="33"/>
  <c r="AH171" i="38"/>
  <c r="M173" i="38"/>
  <c r="K171" i="38"/>
  <c r="S173" i="38"/>
  <c r="I171" i="38"/>
  <c r="L170" i="38"/>
  <c r="T168" i="38"/>
  <c r="T207" i="38" s="1"/>
  <c r="T208" i="38" s="1"/>
  <c r="Q173" i="38"/>
  <c r="L171" i="38"/>
  <c r="AX151" i="33"/>
  <c r="BH151" i="33"/>
  <c r="C22" i="38"/>
  <c r="P22" i="38" s="1"/>
  <c r="AE83" i="38"/>
  <c r="AM174" i="33"/>
  <c r="AJ174" i="33"/>
  <c r="C145" i="38"/>
  <c r="E145" i="38" s="1"/>
  <c r="L145" i="38" s="1"/>
  <c r="C41" i="38"/>
  <c r="I41" i="38" s="1"/>
  <c r="C23" i="38"/>
  <c r="AM170" i="33"/>
  <c r="C154" i="38"/>
  <c r="K154" i="38" s="1"/>
  <c r="C98" i="38"/>
  <c r="C24" i="38"/>
  <c r="BS112" i="38"/>
  <c r="C25" i="38"/>
  <c r="C156" i="38"/>
  <c r="P156" i="33"/>
  <c r="C26" i="38"/>
  <c r="W26" i="38" s="1"/>
  <c r="BI26" i="33"/>
  <c r="C160" i="38"/>
  <c r="Y160" i="38" s="1"/>
  <c r="C161" i="38"/>
  <c r="Y161" i="38" s="1"/>
  <c r="AF173" i="33"/>
  <c r="AE173" i="33"/>
  <c r="AE181" i="33" s="1"/>
  <c r="AE185" i="33" s="1"/>
  <c r="C4" i="42" s="1"/>
  <c r="AD173" i="33"/>
  <c r="AD181" i="33" s="1"/>
  <c r="AD185" i="33" s="1"/>
  <c r="C3" i="42" s="1"/>
  <c r="O3" i="42" s="1"/>
  <c r="C162" i="38"/>
  <c r="AH162" i="38" s="1"/>
  <c r="P162" i="33"/>
  <c r="C33" i="38"/>
  <c r="C32" i="38"/>
  <c r="W32" i="38" s="1"/>
  <c r="C36" i="38"/>
  <c r="C29" i="38"/>
  <c r="BA29" i="33"/>
  <c r="Q172" i="38"/>
  <c r="L174" i="38"/>
  <c r="AM171" i="33"/>
  <c r="AJ171" i="33"/>
  <c r="C165" i="38"/>
  <c r="C38" i="38"/>
  <c r="C44" i="38"/>
  <c r="C95" i="38"/>
  <c r="AC95" i="38" s="1"/>
  <c r="AR95" i="33"/>
  <c r="C39" i="38"/>
  <c r="C21" i="38"/>
  <c r="V21" i="38" s="1"/>
  <c r="AW150" i="33"/>
  <c r="AF150" i="33"/>
  <c r="AX150" i="33"/>
  <c r="BA144" i="33"/>
  <c r="AB144" i="33"/>
  <c r="C40" i="38"/>
  <c r="O40" i="38" s="1"/>
  <c r="C158" i="38"/>
  <c r="AM158" i="38" s="1"/>
  <c r="AF158" i="33"/>
  <c r="C146" i="38"/>
  <c r="E146" i="38" s="1"/>
  <c r="AH146" i="38" s="1"/>
  <c r="C42" i="38"/>
  <c r="L42" i="38" s="1"/>
  <c r="AT42" i="33"/>
  <c r="C155" i="38"/>
  <c r="AS155" i="38" s="1"/>
  <c r="C43" i="38"/>
  <c r="AN43" i="38" s="1"/>
  <c r="C48" i="38"/>
  <c r="F48" i="38" s="1"/>
  <c r="B11" i="39"/>
  <c r="B43" i="39" s="1"/>
  <c r="BO110" i="38"/>
  <c r="Q170" i="38"/>
  <c r="K170" i="38"/>
  <c r="C49" i="38"/>
  <c r="C28" i="38"/>
  <c r="L28" i="38" s="1"/>
  <c r="AZ28" i="33"/>
  <c r="C167" i="38"/>
  <c r="O167" i="33"/>
  <c r="O181" i="33" s="1"/>
  <c r="C31" i="38"/>
  <c r="C27" i="38"/>
  <c r="L27" i="38" s="1"/>
  <c r="AZ27" i="33"/>
  <c r="Q174" i="38"/>
  <c r="C163" i="38"/>
  <c r="C136" i="38"/>
  <c r="C30" i="38"/>
  <c r="M172" i="38"/>
  <c r="S172" i="38"/>
  <c r="K174" i="38"/>
  <c r="C164" i="38"/>
  <c r="J164" i="38" s="1"/>
  <c r="AO164" i="33"/>
  <c r="C37" i="38"/>
  <c r="Q37" i="38" s="1"/>
  <c r="C143" i="38"/>
  <c r="E143" i="38" s="1"/>
  <c r="L143" i="38" s="1"/>
  <c r="R143" i="33"/>
  <c r="R181" i="33" s="1"/>
  <c r="R185" i="33" s="1"/>
  <c r="C61" i="42" s="1"/>
  <c r="C47" i="38"/>
  <c r="C97" i="38"/>
  <c r="BG207" i="38"/>
  <c r="BG208" i="38" s="1"/>
  <c r="C34" i="38"/>
  <c r="H34" i="38" s="1"/>
  <c r="C150" i="38"/>
  <c r="C93" i="38"/>
  <c r="C151" i="38"/>
  <c r="AN151" i="38" s="1"/>
  <c r="C144" i="38"/>
  <c r="E144" i="38" s="1"/>
  <c r="AU144" i="38" s="1"/>
  <c r="C157" i="38"/>
  <c r="AR157" i="38" s="1"/>
  <c r="C159" i="38"/>
  <c r="L159" i="38" s="1"/>
  <c r="C166" i="38"/>
  <c r="AO166" i="38" s="1"/>
  <c r="L100" i="38"/>
  <c r="BQ68" i="38"/>
  <c r="C134" i="38"/>
  <c r="U134" i="38" s="1"/>
  <c r="N116" i="38"/>
  <c r="BP116" i="38"/>
  <c r="BR35" i="38"/>
  <c r="C135" i="38"/>
  <c r="L68" i="38"/>
  <c r="AJ68" i="38"/>
  <c r="AG74" i="38"/>
  <c r="AG207" i="38" s="1"/>
  <c r="AG208" i="38" s="1"/>
  <c r="AJ74" i="38"/>
  <c r="L71" i="38"/>
  <c r="AF71" i="38"/>
  <c r="AF207" i="38" s="1"/>
  <c r="AF208" i="38" s="1"/>
  <c r="AB69" i="38"/>
  <c r="K109" i="33"/>
  <c r="I100" i="38"/>
  <c r="H100" i="38"/>
  <c r="G100" i="38"/>
  <c r="F100" i="38"/>
  <c r="Q100" i="38"/>
  <c r="K100" i="38"/>
  <c r="J100" i="38"/>
  <c r="H71" i="38"/>
  <c r="AB71" i="38"/>
  <c r="X77" i="38"/>
  <c r="U77" i="38"/>
  <c r="AB74" i="38"/>
  <c r="U78" i="38"/>
  <c r="X78" i="38"/>
  <c r="I78" i="38"/>
  <c r="F78" i="38"/>
  <c r="I90" i="38"/>
  <c r="S90" i="38"/>
  <c r="J90" i="38"/>
  <c r="G90" i="38"/>
  <c r="H90" i="38"/>
  <c r="F90" i="38"/>
  <c r="C149" i="38"/>
  <c r="Y149" i="38" s="1"/>
  <c r="AB68" i="38"/>
  <c r="W68" i="38"/>
  <c r="U68" i="38"/>
  <c r="H68" i="38"/>
  <c r="Q71" i="38"/>
  <c r="C94" i="38"/>
  <c r="L96" i="33"/>
  <c r="L73" i="33"/>
  <c r="F35" i="38"/>
  <c r="F74" i="38"/>
  <c r="I74" i="38"/>
  <c r="S103" i="38"/>
  <c r="F68" i="38"/>
  <c r="S68" i="38"/>
  <c r="Q68" i="38"/>
  <c r="AA68" i="38"/>
  <c r="AA71" i="38"/>
  <c r="M71" i="38"/>
  <c r="I71" i="38"/>
  <c r="J71" i="38"/>
  <c r="F71" i="38"/>
  <c r="F70" i="38"/>
  <c r="I70" i="38"/>
  <c r="AH109" i="33"/>
  <c r="K68" i="38"/>
  <c r="AQ109" i="33"/>
  <c r="AR109" i="33"/>
  <c r="P68" i="38"/>
  <c r="I69" i="38"/>
  <c r="F69" i="38"/>
  <c r="AA69" i="38"/>
  <c r="Q69" i="38"/>
  <c r="I103" i="38"/>
  <c r="Q103" i="38"/>
  <c r="I77" i="38"/>
  <c r="M68" i="38"/>
  <c r="I68" i="38"/>
  <c r="S109" i="33"/>
  <c r="AA74" i="38"/>
  <c r="BJ109" i="33"/>
  <c r="F77" i="38"/>
  <c r="F103" i="38"/>
  <c r="L52" i="35"/>
  <c r="M19" i="35"/>
  <c r="L19" i="35"/>
  <c r="H33" i="35"/>
  <c r="J41" i="35" s="1"/>
  <c r="O6" i="35"/>
  <c r="E73" i="35"/>
  <c r="G264" i="21"/>
  <c r="B31" i="27" s="1"/>
  <c r="G261" i="21"/>
  <c r="B30" i="27" s="1"/>
  <c r="G273" i="21"/>
  <c r="G270" i="21"/>
  <c r="B28" i="27" s="1"/>
  <c r="G267" i="21"/>
  <c r="B25" i="27" s="1"/>
  <c r="G258" i="21"/>
  <c r="G143" i="21"/>
  <c r="O4" i="42" l="1"/>
  <c r="P4" i="42" s="1"/>
  <c r="E30" i="20"/>
  <c r="O61" i="42"/>
  <c r="P61" i="42" s="1"/>
  <c r="E87" i="20"/>
  <c r="O6" i="42"/>
  <c r="E32" i="20"/>
  <c r="AO167" i="38"/>
  <c r="W167" i="38"/>
  <c r="B96" i="49"/>
  <c r="F96" i="49" s="1"/>
  <c r="B146" i="49"/>
  <c r="F146" i="49" s="1"/>
  <c r="B8" i="39"/>
  <c r="B40" i="39" s="1"/>
  <c r="B141" i="49"/>
  <c r="F141" i="49" s="1"/>
  <c r="B13" i="39"/>
  <c r="B41" i="39" s="1"/>
  <c r="B144" i="49"/>
  <c r="F144" i="49" s="1"/>
  <c r="H13" i="42"/>
  <c r="I13" i="42" s="1"/>
  <c r="J13" i="42" s="1"/>
  <c r="E13" i="45"/>
  <c r="C39" i="40"/>
  <c r="AM137" i="33"/>
  <c r="AJ137" i="33"/>
  <c r="AL207" i="38"/>
  <c r="AL208" i="38" s="1"/>
  <c r="AJ135" i="33"/>
  <c r="G22" i="42"/>
  <c r="O22" i="42"/>
  <c r="P22" i="42" s="1"/>
  <c r="AL139" i="33"/>
  <c r="AL181" i="33" s="1"/>
  <c r="AL185" i="33" s="1"/>
  <c r="C41" i="42" s="1"/>
  <c r="AK139" i="33"/>
  <c r="AF139" i="33"/>
  <c r="K185" i="33"/>
  <c r="K186" i="33" s="1"/>
  <c r="K187" i="33" s="1"/>
  <c r="AM109" i="33"/>
  <c r="AJ109" i="33"/>
  <c r="O185" i="33"/>
  <c r="C57" i="42" s="1"/>
  <c r="O57" i="42" s="1"/>
  <c r="AO155" i="33"/>
  <c r="AO181" i="33" s="1"/>
  <c r="AO185" i="33" s="1"/>
  <c r="K164" i="33"/>
  <c r="G61" i="42"/>
  <c r="F87" i="20" s="1"/>
  <c r="G48" i="42"/>
  <c r="P48" i="42"/>
  <c r="G60" i="42"/>
  <c r="P60" i="42"/>
  <c r="G43" i="42"/>
  <c r="P43" i="42"/>
  <c r="G3" i="42"/>
  <c r="P3" i="42"/>
  <c r="G64" i="42"/>
  <c r="P64" i="42"/>
  <c r="G4" i="42"/>
  <c r="F30" i="20" s="1"/>
  <c r="G6" i="42"/>
  <c r="F32" i="20" s="1"/>
  <c r="P6" i="42"/>
  <c r="M13" i="42"/>
  <c r="N13" i="42" s="1"/>
  <c r="CE13" i="38"/>
  <c r="BE110" i="33"/>
  <c r="BB110" i="33"/>
  <c r="AZ110" i="33"/>
  <c r="BD110" i="33"/>
  <c r="BA110" i="33"/>
  <c r="BM110" i="33"/>
  <c r="BL110" i="33"/>
  <c r="BK110" i="33"/>
  <c r="BH110" i="33"/>
  <c r="BF110" i="33"/>
  <c r="AS181" i="33"/>
  <c r="AS185" i="33" s="1"/>
  <c r="C35" i="42" s="1"/>
  <c r="AT181" i="33"/>
  <c r="AT185" i="33" s="1"/>
  <c r="C36" i="42" s="1"/>
  <c r="P21" i="38"/>
  <c r="U181" i="33"/>
  <c r="U185" i="33" s="1"/>
  <c r="C63" i="42" s="1"/>
  <c r="K21" i="38"/>
  <c r="Q96" i="38"/>
  <c r="T159" i="33"/>
  <c r="T181" i="33" s="1"/>
  <c r="T185" i="33" s="1"/>
  <c r="C62" i="42" s="1"/>
  <c r="I96" i="38"/>
  <c r="AR181" i="33"/>
  <c r="AR185" i="33" s="1"/>
  <c r="C19" i="42" s="1"/>
  <c r="E45" i="20" s="1"/>
  <c r="S96" i="38"/>
  <c r="L99" i="38"/>
  <c r="F96" i="38"/>
  <c r="AW181" i="33"/>
  <c r="AW185" i="33" s="1"/>
  <c r="C46" i="42" s="1"/>
  <c r="O46" i="42" s="1"/>
  <c r="F162" i="38"/>
  <c r="I160" i="38"/>
  <c r="AI181" i="33"/>
  <c r="AI185" i="33" s="1"/>
  <c r="C7" i="42" s="1"/>
  <c r="O7" i="42" s="1"/>
  <c r="S163" i="38"/>
  <c r="BN181" i="33"/>
  <c r="BN185" i="33" s="1"/>
  <c r="C49" i="42" s="1"/>
  <c r="P181" i="33"/>
  <c r="P185" i="33" s="1"/>
  <c r="C58" i="42" s="1"/>
  <c r="G99" i="38"/>
  <c r="H99" i="38"/>
  <c r="AX181" i="33"/>
  <c r="AX185" i="33" s="1"/>
  <c r="C47" i="42" s="1"/>
  <c r="O47" i="42" s="1"/>
  <c r="I99" i="38"/>
  <c r="G162" i="38"/>
  <c r="P162" i="38"/>
  <c r="J99" i="38"/>
  <c r="V162" i="38"/>
  <c r="F165" i="38"/>
  <c r="J165" i="38"/>
  <c r="H21" i="38"/>
  <c r="Q99" i="38"/>
  <c r="I165" i="38"/>
  <c r="K99" i="38"/>
  <c r="N167" i="38"/>
  <c r="AU157" i="33"/>
  <c r="L162" i="38"/>
  <c r="F99" i="38"/>
  <c r="M162" i="38"/>
  <c r="S21" i="38"/>
  <c r="Q162" i="38"/>
  <c r="AU165" i="38"/>
  <c r="P163" i="38"/>
  <c r="U167" i="38"/>
  <c r="G167" i="38"/>
  <c r="AH207" i="38"/>
  <c r="AH208" i="38" s="1"/>
  <c r="Q167" i="38"/>
  <c r="AN207" i="38"/>
  <c r="AN208" i="38" s="1"/>
  <c r="F43" i="38"/>
  <c r="I162" i="38"/>
  <c r="J162" i="38"/>
  <c r="I167" i="38"/>
  <c r="BM109" i="33"/>
  <c r="S167" i="38"/>
  <c r="S162" i="38"/>
  <c r="K162" i="38"/>
  <c r="X167" i="38"/>
  <c r="Z43" i="38"/>
  <c r="Q163" i="38"/>
  <c r="F41" i="38"/>
  <c r="AB22" i="38"/>
  <c r="O83" i="38"/>
  <c r="Q83" i="38"/>
  <c r="F36" i="38"/>
  <c r="I48" i="38"/>
  <c r="S22" i="38"/>
  <c r="I43" i="38"/>
  <c r="H143" i="38"/>
  <c r="I143" i="38"/>
  <c r="P164" i="38"/>
  <c r="J22" i="38"/>
  <c r="I22" i="38"/>
  <c r="M21" i="38"/>
  <c r="Q164" i="38"/>
  <c r="L21" i="38"/>
  <c r="F158" i="38"/>
  <c r="I21" i="38"/>
  <c r="N23" i="38"/>
  <c r="G21" i="38"/>
  <c r="Q21" i="38"/>
  <c r="I163" i="38"/>
  <c r="K23" i="38"/>
  <c r="R158" i="38"/>
  <c r="S161" i="38"/>
  <c r="S158" i="38"/>
  <c r="F22" i="38"/>
  <c r="F160" i="38"/>
  <c r="M83" i="38"/>
  <c r="I95" i="38"/>
  <c r="L155" i="38"/>
  <c r="I154" i="38"/>
  <c r="L154" i="38"/>
  <c r="F164" i="38"/>
  <c r="M23" i="38"/>
  <c r="AA22" i="38"/>
  <c r="K37" i="38"/>
  <c r="Q22" i="38"/>
  <c r="S143" i="38"/>
  <c r="P95" i="38"/>
  <c r="M145" i="38"/>
  <c r="V156" i="38"/>
  <c r="I145" i="38"/>
  <c r="Q160" i="38"/>
  <c r="K42" i="38"/>
  <c r="AM156" i="38"/>
  <c r="X48" i="38"/>
  <c r="BA95" i="38"/>
  <c r="BA207" i="38" s="1"/>
  <c r="BA208" i="38" s="1"/>
  <c r="F21" i="38"/>
  <c r="I158" i="38"/>
  <c r="I164" i="38"/>
  <c r="J163" i="38"/>
  <c r="Q155" i="38"/>
  <c r="G98" i="38"/>
  <c r="G143" i="38"/>
  <c r="L95" i="38"/>
  <c r="AH181" i="33"/>
  <c r="AH185" i="33" s="1"/>
  <c r="C2" i="42" s="1"/>
  <c r="O2" i="42" s="1"/>
  <c r="AV145" i="33"/>
  <c r="AV181" i="33" s="1"/>
  <c r="AV185" i="33" s="1"/>
  <c r="C38" i="42" s="1"/>
  <c r="O38" i="42" s="1"/>
  <c r="AU145" i="33"/>
  <c r="M155" i="38"/>
  <c r="R156" i="38"/>
  <c r="H98" i="38"/>
  <c r="H95" i="38"/>
  <c r="AW207" i="38"/>
  <c r="AW208" i="38" s="1"/>
  <c r="I161" i="38"/>
  <c r="P145" i="38"/>
  <c r="AM146" i="33"/>
  <c r="AJ146" i="33"/>
  <c r="AK33" i="33"/>
  <c r="AF33" i="33"/>
  <c r="G156" i="38"/>
  <c r="L72" i="33"/>
  <c r="N143" i="38"/>
  <c r="K95" i="38"/>
  <c r="S155" i="38"/>
  <c r="I156" i="38"/>
  <c r="Q95" i="38"/>
  <c r="X37" i="38"/>
  <c r="AM136" i="33"/>
  <c r="AJ136" i="33"/>
  <c r="Q156" i="38"/>
  <c r="P160" i="38"/>
  <c r="F39" i="38"/>
  <c r="Q146" i="38"/>
  <c r="M40" i="38"/>
  <c r="AS164" i="38"/>
  <c r="AS207" i="38" s="1"/>
  <c r="AS208" i="38" s="1"/>
  <c r="G126" i="38"/>
  <c r="K155" i="38"/>
  <c r="Y113" i="38"/>
  <c r="J21" i="38"/>
  <c r="F163" i="38"/>
  <c r="F40" i="38"/>
  <c r="O22" i="38"/>
  <c r="V40" i="38"/>
  <c r="AY83" i="38"/>
  <c r="AY207" i="38" s="1"/>
  <c r="AY208" i="38" s="1"/>
  <c r="L146" i="38"/>
  <c r="AU160" i="38"/>
  <c r="BB165" i="33"/>
  <c r="AA165" i="33"/>
  <c r="AA181" i="33" s="1"/>
  <c r="AA185" i="33" s="1"/>
  <c r="C16" i="42" s="1"/>
  <c r="Z165" i="33"/>
  <c r="Z181" i="33" s="1"/>
  <c r="Z185" i="33" s="1"/>
  <c r="C15" i="42" s="1"/>
  <c r="O15" i="42" s="1"/>
  <c r="G155" i="38"/>
  <c r="BA40" i="33"/>
  <c r="S40" i="33"/>
  <c r="Y161" i="33"/>
  <c r="Y181" i="33" s="1"/>
  <c r="Y185" i="33" s="1"/>
  <c r="X161" i="33"/>
  <c r="X181" i="33" s="1"/>
  <c r="X185" i="33" s="1"/>
  <c r="C14" i="42" s="1"/>
  <c r="AB161" i="33"/>
  <c r="BA161" i="33"/>
  <c r="F156" i="38"/>
  <c r="F161" i="38"/>
  <c r="I98" i="38"/>
  <c r="K143" i="38"/>
  <c r="J95" i="38"/>
  <c r="AB160" i="33"/>
  <c r="BA160" i="33"/>
  <c r="Q145" i="38"/>
  <c r="AZ22" i="33"/>
  <c r="BA22" i="33"/>
  <c r="BL22" i="33"/>
  <c r="BK22" i="33"/>
  <c r="BG22" i="33"/>
  <c r="BG181" i="33" s="1"/>
  <c r="BF22" i="33"/>
  <c r="BE22" i="33"/>
  <c r="BD22" i="33"/>
  <c r="BC22" i="33"/>
  <c r="BC181" i="33" s="1"/>
  <c r="BB22" i="33"/>
  <c r="BI22" i="33"/>
  <c r="BI181" i="33" s="1"/>
  <c r="I155" i="38"/>
  <c r="J156" i="38"/>
  <c r="K146" i="38"/>
  <c r="I44" i="38"/>
  <c r="AR145" i="38"/>
  <c r="AR207" i="38" s="1"/>
  <c r="AR208" i="38" s="1"/>
  <c r="AU161" i="38"/>
  <c r="L37" i="38"/>
  <c r="F155" i="38"/>
  <c r="S160" i="38"/>
  <c r="Q161" i="38"/>
  <c r="Q98" i="38"/>
  <c r="M22" i="38"/>
  <c r="G95" i="38"/>
  <c r="AI142" i="38"/>
  <c r="M146" i="38"/>
  <c r="Y22" i="38"/>
  <c r="I40" i="38"/>
  <c r="S95" i="38"/>
  <c r="V42" i="38"/>
  <c r="AX83" i="38"/>
  <c r="AX207" i="38" s="1"/>
  <c r="AX208" i="38" s="1"/>
  <c r="G158" i="38"/>
  <c r="S156" i="38"/>
  <c r="J161" i="38"/>
  <c r="F44" i="38"/>
  <c r="F83" i="38"/>
  <c r="Q143" i="38"/>
  <c r="M42" i="38"/>
  <c r="AZ83" i="38"/>
  <c r="AZ207" i="38" s="1"/>
  <c r="AZ208" i="38" s="1"/>
  <c r="I97" i="38"/>
  <c r="Q97" i="38"/>
  <c r="S97" i="38"/>
  <c r="AV208" i="38"/>
  <c r="AM150" i="38"/>
  <c r="Q150" i="38"/>
  <c r="J34" i="38"/>
  <c r="P150" i="38"/>
  <c r="S150" i="38"/>
  <c r="I150" i="38"/>
  <c r="J150" i="38"/>
  <c r="R150" i="38"/>
  <c r="F150" i="38"/>
  <c r="F157" i="38"/>
  <c r="I157" i="38"/>
  <c r="S166" i="38"/>
  <c r="M157" i="38"/>
  <c r="Q166" i="38"/>
  <c r="S159" i="38"/>
  <c r="F151" i="38"/>
  <c r="AO159" i="38"/>
  <c r="AO207" i="38" s="1"/>
  <c r="AO208" i="38" s="1"/>
  <c r="I151" i="38"/>
  <c r="F159" i="38"/>
  <c r="F144" i="38"/>
  <c r="AP159" i="38"/>
  <c r="I159" i="38"/>
  <c r="H127" i="38"/>
  <c r="I144" i="38"/>
  <c r="P157" i="38"/>
  <c r="Z151" i="38"/>
  <c r="Y144" i="38"/>
  <c r="U166" i="38"/>
  <c r="Q157" i="38"/>
  <c r="I166" i="38"/>
  <c r="S157" i="38"/>
  <c r="G150" i="38"/>
  <c r="I149" i="38"/>
  <c r="AE149" i="38"/>
  <c r="AE207" i="38" s="1"/>
  <c r="AE208" i="38" s="1"/>
  <c r="Y120" i="38"/>
  <c r="BO120" i="38"/>
  <c r="N109" i="38"/>
  <c r="BP109" i="38"/>
  <c r="N112" i="38"/>
  <c r="BN112" i="38"/>
  <c r="AI207" i="38"/>
  <c r="AI208" i="38" s="1"/>
  <c r="B4" i="39"/>
  <c r="B36" i="39" s="1"/>
  <c r="AJ207" i="38"/>
  <c r="AJ208" i="38" s="1"/>
  <c r="AC122" i="38"/>
  <c r="AC207" i="38" s="1"/>
  <c r="AC208" i="38" s="1"/>
  <c r="Q149" i="38"/>
  <c r="G149" i="38"/>
  <c r="P149" i="38"/>
  <c r="S149" i="38"/>
  <c r="F149" i="38"/>
  <c r="J149" i="38"/>
  <c r="J94" i="38"/>
  <c r="Q94" i="38"/>
  <c r="G94" i="38"/>
  <c r="S94" i="38"/>
  <c r="H94" i="38"/>
  <c r="I94" i="38"/>
  <c r="B5" i="39"/>
  <c r="B37" i="39" s="1"/>
  <c r="AT111" i="38"/>
  <c r="AT207" i="38" s="1"/>
  <c r="AT208" i="38" s="1"/>
  <c r="Y110" i="38"/>
  <c r="B7" i="39"/>
  <c r="B39" i="39" s="1"/>
  <c r="B6" i="39"/>
  <c r="B38" i="39" s="1"/>
  <c r="H184" i="21"/>
  <c r="H176" i="21"/>
  <c r="H172" i="21"/>
  <c r="Z20" i="21"/>
  <c r="Z19" i="21"/>
  <c r="Y19" i="21"/>
  <c r="AO4" i="2" s="1"/>
  <c r="J254" i="21"/>
  <c r="H252" i="21"/>
  <c r="H251" i="21"/>
  <c r="H250" i="21"/>
  <c r="O49" i="42" l="1"/>
  <c r="P49" i="42" s="1"/>
  <c r="E75" i="20"/>
  <c r="B205" i="49"/>
  <c r="C205" i="49" s="1"/>
  <c r="E67" i="20"/>
  <c r="O14" i="42"/>
  <c r="E40" i="20"/>
  <c r="O62" i="42"/>
  <c r="E88" i="20"/>
  <c r="F48" i="20"/>
  <c r="C94" i="42"/>
  <c r="O63" i="42"/>
  <c r="E89" i="20"/>
  <c r="O36" i="42"/>
  <c r="P36" i="42" s="1"/>
  <c r="E62" i="20"/>
  <c r="O16" i="42"/>
  <c r="P16" i="42" s="1"/>
  <c r="E42" i="20"/>
  <c r="O35" i="42"/>
  <c r="P35" i="42" s="1"/>
  <c r="E61" i="20"/>
  <c r="O41" i="42"/>
  <c r="C4" i="40"/>
  <c r="B32" i="49"/>
  <c r="G223" i="49" s="1"/>
  <c r="B26" i="49"/>
  <c r="C2" i="40"/>
  <c r="B146" i="28"/>
  <c r="J76" i="49"/>
  <c r="I76" i="49"/>
  <c r="M48" i="42"/>
  <c r="N48" i="42" s="1"/>
  <c r="E48" i="45"/>
  <c r="H64" i="42"/>
  <c r="I64" i="42" s="1"/>
  <c r="J64" i="42" s="1"/>
  <c r="E64" i="45"/>
  <c r="H22" i="42"/>
  <c r="I22" i="42" s="1"/>
  <c r="J22" i="42" s="1"/>
  <c r="E22" i="45"/>
  <c r="H60" i="42"/>
  <c r="I60" i="42" s="1"/>
  <c r="J60" i="42" s="1"/>
  <c r="E60" i="45"/>
  <c r="H3" i="42"/>
  <c r="I3" i="42" s="1"/>
  <c r="J3" i="42" s="1"/>
  <c r="E3" i="45"/>
  <c r="M43" i="42"/>
  <c r="N43" i="42" s="1"/>
  <c r="E43" i="45"/>
  <c r="H4" i="42"/>
  <c r="I4" i="42" s="1"/>
  <c r="J4" i="42" s="1"/>
  <c r="E4" i="45"/>
  <c r="AQ88" i="33"/>
  <c r="AQ181" i="33" s="1"/>
  <c r="AQ185" i="33" s="1"/>
  <c r="C20" i="42" s="1"/>
  <c r="E46" i="20" s="1"/>
  <c r="AF89" i="33"/>
  <c r="AF181" i="33" s="1"/>
  <c r="AF185" i="33" s="1"/>
  <c r="C5" i="42" s="1"/>
  <c r="E31" i="20" s="1"/>
  <c r="AP88" i="33"/>
  <c r="AP181" i="33" s="1"/>
  <c r="AP185" i="33" s="1"/>
  <c r="C21" i="42" s="1"/>
  <c r="H61" i="42"/>
  <c r="I61" i="42" s="1"/>
  <c r="J61" i="42" s="1"/>
  <c r="E61" i="45"/>
  <c r="CH6" i="38"/>
  <c r="E6" i="45"/>
  <c r="CL22" i="38"/>
  <c r="CL207" i="38" s="1"/>
  <c r="M22" i="42"/>
  <c r="N22" i="42" s="1"/>
  <c r="H43" i="42"/>
  <c r="I43" i="42" s="1"/>
  <c r="J43" i="42" s="1"/>
  <c r="BE181" i="33"/>
  <c r="BE185" i="33" s="1"/>
  <c r="C50" i="42" s="1"/>
  <c r="BK181" i="33"/>
  <c r="BK185" i="33" s="1"/>
  <c r="C54" i="42" s="1"/>
  <c r="AZ181" i="33"/>
  <c r="AZ185" i="33" s="1"/>
  <c r="C56" i="42" s="1"/>
  <c r="M6" i="42"/>
  <c r="N6" i="42" s="1"/>
  <c r="H48" i="42"/>
  <c r="I48" i="42" s="1"/>
  <c r="J48" i="42" s="1"/>
  <c r="H6" i="42"/>
  <c r="I6" i="42" s="1"/>
  <c r="J6" i="42" s="1"/>
  <c r="P57" i="42"/>
  <c r="G57" i="42"/>
  <c r="BD181" i="33"/>
  <c r="BD185" i="33" s="1"/>
  <c r="C11" i="42" s="1"/>
  <c r="G15" i="42"/>
  <c r="P15" i="42"/>
  <c r="G36" i="42"/>
  <c r="F62" i="20" s="1"/>
  <c r="G2" i="42"/>
  <c r="P2" i="42"/>
  <c r="G16" i="42"/>
  <c r="F42" i="20" s="1"/>
  <c r="G47" i="42"/>
  <c r="P47" i="42"/>
  <c r="G35" i="42"/>
  <c r="M64" i="42"/>
  <c r="N64" i="42" s="1"/>
  <c r="G7" i="42"/>
  <c r="F33" i="20" s="1"/>
  <c r="P7" i="42"/>
  <c r="G14" i="42"/>
  <c r="F40" i="20" s="1"/>
  <c r="P14" i="42"/>
  <c r="G46" i="42"/>
  <c r="P46" i="42"/>
  <c r="M4" i="42"/>
  <c r="N4" i="42" s="1"/>
  <c r="CH4" i="38"/>
  <c r="M3" i="42"/>
  <c r="N3" i="42" s="1"/>
  <c r="CH3" i="38"/>
  <c r="M61" i="42"/>
  <c r="N61" i="42" s="1"/>
  <c r="CK63" i="38"/>
  <c r="CH61" i="38"/>
  <c r="F64" i="20"/>
  <c r="P38" i="42"/>
  <c r="G49" i="42"/>
  <c r="F75" i="20" s="1"/>
  <c r="M60" i="42"/>
  <c r="N60" i="42" s="1"/>
  <c r="CD60" i="38"/>
  <c r="G41" i="42"/>
  <c r="F67" i="20" s="1"/>
  <c r="P41" i="42"/>
  <c r="G62" i="42"/>
  <c r="F88" i="20" s="1"/>
  <c r="P62" i="42"/>
  <c r="G63" i="42"/>
  <c r="P63" i="42"/>
  <c r="BF181" i="33"/>
  <c r="BF185" i="33" s="1"/>
  <c r="C51" i="42" s="1"/>
  <c r="O51" i="42" s="1"/>
  <c r="AP207" i="38"/>
  <c r="AP208" i="38" s="1"/>
  <c r="BG185" i="33"/>
  <c r="C53" i="42" s="1"/>
  <c r="O53" i="42" s="1"/>
  <c r="BI185" i="33"/>
  <c r="C45" i="42" s="1"/>
  <c r="BC185" i="33"/>
  <c r="C10" i="42" s="1"/>
  <c r="O10" i="42" s="1"/>
  <c r="BJ181" i="33"/>
  <c r="AK181" i="33"/>
  <c r="AK185" i="33" s="1"/>
  <c r="C39" i="42" s="1"/>
  <c r="E65" i="20" s="1"/>
  <c r="AB181" i="33"/>
  <c r="AB185" i="33" s="1"/>
  <c r="C17" i="42" s="1"/>
  <c r="O17" i="42" s="1"/>
  <c r="AM181" i="33"/>
  <c r="AM185" i="33" s="1"/>
  <c r="C42" i="42" s="1"/>
  <c r="O42" i="42" s="1"/>
  <c r="BA181" i="33"/>
  <c r="AJ181" i="33"/>
  <c r="AJ185" i="33" s="1"/>
  <c r="C40" i="42" s="1"/>
  <c r="S181" i="33"/>
  <c r="S185" i="33" s="1"/>
  <c r="C59" i="42" s="1"/>
  <c r="E85" i="20" s="1"/>
  <c r="BM181" i="33"/>
  <c r="BM185" i="33" s="1"/>
  <c r="BB181" i="33"/>
  <c r="AU181" i="33"/>
  <c r="AU185" i="33" s="1"/>
  <c r="C37" i="42" s="1"/>
  <c r="AU207" i="38"/>
  <c r="AU208" i="38" s="1"/>
  <c r="S142" i="38"/>
  <c r="G142" i="38"/>
  <c r="I142" i="38"/>
  <c r="J142" i="38"/>
  <c r="H142" i="38"/>
  <c r="Q142" i="38"/>
  <c r="J252" i="21"/>
  <c r="C98" i="42" l="1"/>
  <c r="F28" i="20"/>
  <c r="O45" i="42"/>
  <c r="P45" i="42" s="1"/>
  <c r="E71" i="20"/>
  <c r="E35" i="45"/>
  <c r="C91" i="42"/>
  <c r="F61" i="20"/>
  <c r="O37" i="42"/>
  <c r="E63" i="20"/>
  <c r="E47" i="20"/>
  <c r="O11" i="42"/>
  <c r="P11" i="42" s="1"/>
  <c r="E37" i="20"/>
  <c r="O54" i="42"/>
  <c r="P54" i="42" s="1"/>
  <c r="E80" i="20"/>
  <c r="O40" i="42"/>
  <c r="P40" i="42" s="1"/>
  <c r="E66" i="20"/>
  <c r="O50" i="42"/>
  <c r="P50" i="42" s="1"/>
  <c r="E76" i="20"/>
  <c r="E63" i="45"/>
  <c r="F89" i="20"/>
  <c r="E57" i="45"/>
  <c r="F83" i="20"/>
  <c r="B17" i="28"/>
  <c r="H41" i="42"/>
  <c r="B222" i="49"/>
  <c r="B220" i="49"/>
  <c r="G222" i="49"/>
  <c r="G220" i="49"/>
  <c r="G221" i="49"/>
  <c r="B223" i="49"/>
  <c r="B221" i="49"/>
  <c r="M46" i="42"/>
  <c r="N46" i="42" s="1"/>
  <c r="E46" i="45"/>
  <c r="M7" i="42"/>
  <c r="N7" i="42" s="1"/>
  <c r="E7" i="45"/>
  <c r="M49" i="42"/>
  <c r="N49" i="42" s="1"/>
  <c r="E49" i="45"/>
  <c r="M2" i="42"/>
  <c r="N2" i="42" s="1"/>
  <c r="E2" i="45"/>
  <c r="M16" i="42"/>
  <c r="N16" i="42" s="1"/>
  <c r="E16" i="45"/>
  <c r="H14" i="42"/>
  <c r="I14" i="42" s="1"/>
  <c r="J14" i="42" s="1"/>
  <c r="E14" i="45"/>
  <c r="M15" i="42"/>
  <c r="N15" i="42" s="1"/>
  <c r="E15" i="45"/>
  <c r="M38" i="42"/>
  <c r="N38" i="42" s="1"/>
  <c r="E38" i="45"/>
  <c r="H62" i="42"/>
  <c r="I62" i="42" s="1"/>
  <c r="E62" i="45"/>
  <c r="H47" i="42"/>
  <c r="I47" i="42" s="1"/>
  <c r="J47" i="42" s="1"/>
  <c r="E47" i="45"/>
  <c r="H36" i="42"/>
  <c r="I36" i="42" s="1"/>
  <c r="J36" i="42" s="1"/>
  <c r="E36" i="45"/>
  <c r="M41" i="42"/>
  <c r="N41" i="42" s="1"/>
  <c r="E41" i="45"/>
  <c r="H35" i="42"/>
  <c r="I35" i="42" s="1"/>
  <c r="J35" i="42" s="1"/>
  <c r="H57" i="42"/>
  <c r="I57" i="42" s="1"/>
  <c r="J57" i="42" s="1"/>
  <c r="M63" i="42"/>
  <c r="N63" i="42" s="1"/>
  <c r="B72" i="42"/>
  <c r="C72" i="42" s="1"/>
  <c r="H63" i="42"/>
  <c r="I63" i="42" s="1"/>
  <c r="J63" i="42" s="1"/>
  <c r="M57" i="42"/>
  <c r="N57" i="42" s="1"/>
  <c r="BW57" i="38"/>
  <c r="BW207" i="38" s="1"/>
  <c r="H16" i="42"/>
  <c r="I16" i="42" s="1"/>
  <c r="J16" i="42" s="1"/>
  <c r="BU57" i="38"/>
  <c r="BU207" i="38" s="1"/>
  <c r="H15" i="42"/>
  <c r="I15" i="42" s="1"/>
  <c r="J15" i="42" s="1"/>
  <c r="H46" i="42"/>
  <c r="I46" i="42" s="1"/>
  <c r="J46" i="42" s="1"/>
  <c r="BV57" i="38"/>
  <c r="BV207" i="38" s="1"/>
  <c r="H38" i="42"/>
  <c r="I38" i="42" s="1"/>
  <c r="J38" i="42" s="1"/>
  <c r="H2" i="42"/>
  <c r="I2" i="42" s="1"/>
  <c r="J2" i="42" s="1"/>
  <c r="H49" i="42"/>
  <c r="I49" i="42" s="1"/>
  <c r="J49" i="42" s="1"/>
  <c r="M36" i="42"/>
  <c r="N36" i="42" s="1"/>
  <c r="I41" i="42"/>
  <c r="J41" i="42" s="1"/>
  <c r="H7" i="42"/>
  <c r="I7" i="42" s="1"/>
  <c r="J7" i="42" s="1"/>
  <c r="G17" i="42"/>
  <c r="P17" i="42"/>
  <c r="G10" i="42"/>
  <c r="E10" i="45" s="1"/>
  <c r="P10" i="42"/>
  <c r="G40" i="42"/>
  <c r="F66" i="20" s="1"/>
  <c r="G54" i="42"/>
  <c r="F80" i="20" s="1"/>
  <c r="G37" i="42"/>
  <c r="F63" i="20" s="1"/>
  <c r="P37" i="42"/>
  <c r="G51" i="42"/>
  <c r="P51" i="42"/>
  <c r="G53" i="42"/>
  <c r="P53" i="42"/>
  <c r="M62" i="42"/>
  <c r="N62" i="42" s="1"/>
  <c r="CK62" i="38"/>
  <c r="M35" i="42"/>
  <c r="N35" i="42" s="1"/>
  <c r="CA35" i="38"/>
  <c r="BZ35" i="38"/>
  <c r="BX35" i="38"/>
  <c r="BY35" i="38"/>
  <c r="CB35" i="38"/>
  <c r="CA36" i="38"/>
  <c r="BZ36" i="38"/>
  <c r="CB36" i="38"/>
  <c r="BY36" i="38"/>
  <c r="BX36" i="38"/>
  <c r="M14" i="42"/>
  <c r="N14" i="42" s="1"/>
  <c r="CE14" i="38"/>
  <c r="G39" i="42"/>
  <c r="C100" i="42" s="1"/>
  <c r="G45" i="42"/>
  <c r="G50" i="42"/>
  <c r="G42" i="42"/>
  <c r="P42" i="42"/>
  <c r="G11" i="42"/>
  <c r="F37" i="20" s="1"/>
  <c r="M47" i="42"/>
  <c r="N47" i="42" s="1"/>
  <c r="CC47" i="38"/>
  <c r="C52" i="42"/>
  <c r="J62" i="42"/>
  <c r="BJ185" i="33"/>
  <c r="C34" i="42" s="1"/>
  <c r="O34" i="42" s="1"/>
  <c r="BA185" i="33"/>
  <c r="C8" i="42" s="1"/>
  <c r="BB185" i="33"/>
  <c r="C9" i="42" s="1"/>
  <c r="O9" i="42" s="1"/>
  <c r="BL185" i="33"/>
  <c r="C55" i="42" s="1"/>
  <c r="E81" i="20" s="1"/>
  <c r="E45" i="45" l="1"/>
  <c r="C103" i="42"/>
  <c r="F71" i="20"/>
  <c r="O52" i="42"/>
  <c r="E78" i="20"/>
  <c r="E50" i="45"/>
  <c r="F76" i="20"/>
  <c r="O8" i="42"/>
  <c r="P8" i="42" s="1"/>
  <c r="E34" i="20"/>
  <c r="E39" i="45"/>
  <c r="F65" i="20"/>
  <c r="B22" i="39"/>
  <c r="B9" i="45" s="1"/>
  <c r="B72" i="49"/>
  <c r="F72" i="49" s="1"/>
  <c r="M37" i="42"/>
  <c r="N37" i="42" s="1"/>
  <c r="E37" i="45"/>
  <c r="H17" i="42"/>
  <c r="I17" i="42" s="1"/>
  <c r="J17" i="42" s="1"/>
  <c r="E17" i="45"/>
  <c r="M40" i="42"/>
  <c r="N40" i="42" s="1"/>
  <c r="E40" i="45"/>
  <c r="M42" i="42"/>
  <c r="N42" i="42" s="1"/>
  <c r="E42" i="45"/>
  <c r="H11" i="42"/>
  <c r="I11" i="42" s="1"/>
  <c r="J11" i="42" s="1"/>
  <c r="E11" i="45"/>
  <c r="M53" i="42"/>
  <c r="N53" i="42" s="1"/>
  <c r="E53" i="45"/>
  <c r="H51" i="42"/>
  <c r="I51" i="42" s="1"/>
  <c r="J51" i="42" s="1"/>
  <c r="E51" i="45"/>
  <c r="CD54" i="38"/>
  <c r="E54" i="45"/>
  <c r="B78" i="42"/>
  <c r="C78" i="42" s="1"/>
  <c r="H10" i="42"/>
  <c r="I10" i="42" s="1"/>
  <c r="J10" i="42" s="1"/>
  <c r="M45" i="42"/>
  <c r="N45" i="42" s="1"/>
  <c r="H39" i="42"/>
  <c r="I39" i="42" s="1"/>
  <c r="J39" i="42" s="1"/>
  <c r="B73" i="42"/>
  <c r="C73" i="42" s="1"/>
  <c r="CJ50" i="38"/>
  <c r="CJ207" i="38" s="1"/>
  <c r="M54" i="42"/>
  <c r="N54" i="42" s="1"/>
  <c r="H54" i="42"/>
  <c r="I54" i="42" s="1"/>
  <c r="J54" i="42" s="1"/>
  <c r="M17" i="42"/>
  <c r="N17" i="42" s="1"/>
  <c r="BX207" i="38"/>
  <c r="H53" i="42"/>
  <c r="I53" i="42" s="1"/>
  <c r="J53" i="42" s="1"/>
  <c r="M50" i="42"/>
  <c r="N50" i="42" s="1"/>
  <c r="H50" i="42"/>
  <c r="I50" i="42" s="1"/>
  <c r="J50" i="42" s="1"/>
  <c r="CB207" i="38"/>
  <c r="H40" i="42"/>
  <c r="I40" i="42" s="1"/>
  <c r="J40" i="42" s="1"/>
  <c r="H37" i="42"/>
  <c r="I37" i="42" s="1"/>
  <c r="J37" i="42" s="1"/>
  <c r="BY207" i="38"/>
  <c r="M11" i="42"/>
  <c r="N11" i="42" s="1"/>
  <c r="CF11" i="38"/>
  <c r="M39" i="42"/>
  <c r="N39" i="42" s="1"/>
  <c r="CH39" i="38"/>
  <c r="G9" i="42"/>
  <c r="P9" i="42"/>
  <c r="G55" i="42"/>
  <c r="M10" i="42"/>
  <c r="N10" i="42" s="1"/>
  <c r="CE10" i="38"/>
  <c r="G8" i="42"/>
  <c r="BZ207" i="38"/>
  <c r="M51" i="42"/>
  <c r="N51" i="42" s="1"/>
  <c r="CK51" i="38"/>
  <c r="CK207" i="38" s="1"/>
  <c r="G34" i="42"/>
  <c r="P34" i="42"/>
  <c r="H42" i="42"/>
  <c r="I42" i="42" s="1"/>
  <c r="J42" i="42" s="1"/>
  <c r="G52" i="42"/>
  <c r="F78" i="20" s="1"/>
  <c r="P52" i="42"/>
  <c r="CA207" i="38"/>
  <c r="H45" i="42"/>
  <c r="I45" i="42" s="1"/>
  <c r="J45" i="42" s="1"/>
  <c r="H232" i="21"/>
  <c r="F81" i="20" l="1"/>
  <c r="C107" i="42"/>
  <c r="D106" i="42"/>
  <c r="C106" i="42" s="1"/>
  <c r="E8" i="45"/>
  <c r="F34" i="20"/>
  <c r="C92" i="42"/>
  <c r="F39" i="45" a="1"/>
  <c r="F39" i="45" s="1"/>
  <c r="B28" i="39"/>
  <c r="B15" i="45" s="1"/>
  <c r="B73" i="49"/>
  <c r="F73" i="49" s="1"/>
  <c r="B23" i="39"/>
  <c r="B10" i="45" s="1"/>
  <c r="B74" i="49"/>
  <c r="F74" i="49" s="1"/>
  <c r="M52" i="42"/>
  <c r="N52" i="42" s="1"/>
  <c r="E52" i="45"/>
  <c r="M9" i="42"/>
  <c r="N9" i="42" s="1"/>
  <c r="E9" i="45"/>
  <c r="CF55" i="38"/>
  <c r="CF207" i="38" s="1"/>
  <c r="E55" i="45"/>
  <c r="M34" i="42"/>
  <c r="N34" i="42" s="1"/>
  <c r="E34" i="45"/>
  <c r="F34" i="45" s="1" a="1"/>
  <c r="F34" i="45" s="1"/>
  <c r="M8" i="42"/>
  <c r="N8" i="42" s="1"/>
  <c r="B76" i="42"/>
  <c r="C76" i="42" s="1"/>
  <c r="M55" i="42"/>
  <c r="N55" i="42" s="1"/>
  <c r="H55" i="42"/>
  <c r="I55" i="42" s="1"/>
  <c r="J55" i="42" s="1"/>
  <c r="H34" i="42"/>
  <c r="I34" i="42" s="1"/>
  <c r="J34" i="42" s="1"/>
  <c r="H52" i="42"/>
  <c r="I52" i="42" s="1"/>
  <c r="J52" i="42" s="1"/>
  <c r="H8" i="42"/>
  <c r="I8" i="42" s="1"/>
  <c r="J8" i="42" s="1"/>
  <c r="H9" i="42"/>
  <c r="I9" i="42" s="1"/>
  <c r="J9" i="42" s="1"/>
  <c r="H7" i="24"/>
  <c r="AU9" i="2"/>
  <c r="AU8" i="2"/>
  <c r="AU7" i="2"/>
  <c r="AU6" i="2"/>
  <c r="AU5" i="2"/>
  <c r="AU3" i="2"/>
  <c r="AE19" i="21"/>
  <c r="AU4" i="2" s="1"/>
  <c r="E22" i="2"/>
  <c r="D22" i="2"/>
  <c r="B26" i="39" l="1"/>
  <c r="B13" i="45" s="1"/>
  <c r="B70" i="49"/>
  <c r="F70" i="49" s="1"/>
  <c r="AU10" i="2"/>
  <c r="H47" i="22"/>
  <c r="AE25" i="21"/>
  <c r="O22" i="2" s="1"/>
  <c r="L19" i="21"/>
  <c r="H231" i="21"/>
  <c r="P22" i="2" l="1"/>
  <c r="D55" i="42"/>
  <c r="O55" i="42" s="1"/>
  <c r="P55" i="42" s="1"/>
  <c r="D48" i="22"/>
  <c r="D47" i="22"/>
  <c r="H27" i="22"/>
  <c r="C72" i="22"/>
  <c r="D42" i="22"/>
  <c r="B62" i="28"/>
  <c r="C63" i="22" l="1"/>
  <c r="C62" i="22"/>
  <c r="B70" i="28" s="1"/>
  <c r="B69" i="28"/>
  <c r="B63" i="28"/>
  <c r="B60" i="28"/>
  <c r="B59" i="28"/>
  <c r="B58" i="28"/>
  <c r="B57" i="28"/>
  <c r="B56" i="28"/>
  <c r="B55" i="28"/>
  <c r="B54" i="28"/>
  <c r="B61" i="28"/>
  <c r="H74" i="21"/>
  <c r="H71" i="21"/>
  <c r="H68" i="21"/>
  <c r="H65" i="21"/>
  <c r="H62" i="21"/>
  <c r="H59" i="21"/>
  <c r="B52" i="28"/>
  <c r="H15" i="22"/>
  <c r="D33" i="22"/>
  <c r="B47" i="28"/>
  <c r="B45" i="28"/>
  <c r="B41" i="28"/>
  <c r="H5" i="22"/>
  <c r="D8" i="22"/>
  <c r="H180" i="21"/>
  <c r="G118" i="21"/>
  <c r="G120" i="21"/>
  <c r="F2" i="21"/>
  <c r="H28" i="22"/>
  <c r="P9" i="2" s="1"/>
  <c r="F37" i="22"/>
  <c r="P4" i="2" s="1"/>
  <c r="H10" i="22"/>
  <c r="H34" i="22" s="1"/>
  <c r="D20" i="42" s="1"/>
  <c r="H7" i="22"/>
  <c r="B28" i="28"/>
  <c r="D9" i="22"/>
  <c r="G20" i="42" l="1"/>
  <c r="O20" i="42"/>
  <c r="P20" i="42" s="1"/>
  <c r="B71" i="28"/>
  <c r="C66" i="22"/>
  <c r="C67" i="22"/>
  <c r="B46" i="28"/>
  <c r="B44" i="28"/>
  <c r="B27" i="27"/>
  <c r="B26" i="27"/>
  <c r="F46" i="20" l="1"/>
  <c r="C96" i="42"/>
  <c r="CH20" i="38"/>
  <c r="E20" i="45"/>
  <c r="H20" i="42"/>
  <c r="I20" i="42" s="1"/>
  <c r="J20" i="42" s="1"/>
  <c r="M20" i="42"/>
  <c r="N20" i="42" s="1"/>
  <c r="J4" i="22"/>
  <c r="J3" i="22"/>
  <c r="E57" i="22"/>
  <c r="B115" i="28" s="1"/>
  <c r="B65" i="22"/>
  <c r="C65" i="22" s="1"/>
  <c r="K32" i="22"/>
  <c r="B25" i="28"/>
  <c r="H26" i="22"/>
  <c r="B26" i="28" s="1"/>
  <c r="B19" i="28"/>
  <c r="C10" i="40" l="1"/>
  <c r="E70" i="22"/>
  <c r="B68" i="28" s="1"/>
  <c r="E73" i="22"/>
  <c r="B20" i="28"/>
  <c r="G122" i="21"/>
  <c r="H4" i="21"/>
  <c r="H3" i="21"/>
  <c r="B40" i="28"/>
  <c r="B39" i="28"/>
  <c r="B38" i="28"/>
  <c r="B37" i="28"/>
  <c r="B36" i="28"/>
  <c r="B35" i="28"/>
  <c r="B34" i="28"/>
  <c r="B33" i="28"/>
  <c r="B32" i="28"/>
  <c r="B31" i="28"/>
  <c r="B30" i="28"/>
  <c r="B29" i="28"/>
  <c r="B27" i="28"/>
  <c r="B24" i="28"/>
  <c r="B23" i="28"/>
  <c r="B22" i="28"/>
  <c r="B21" i="28"/>
  <c r="B14" i="28"/>
  <c r="B13" i="28"/>
  <c r="O8" i="35" l="1"/>
  <c r="L49" i="35"/>
  <c r="B33" i="27"/>
  <c r="B32" i="27"/>
  <c r="B42" i="28"/>
  <c r="I1" i="21"/>
  <c r="G119" i="21"/>
  <c r="J42" i="22"/>
  <c r="H10" i="24"/>
  <c r="H9" i="24"/>
  <c r="H39" i="22" l="1"/>
  <c r="H38" i="22"/>
  <c r="H53" i="21"/>
  <c r="P13" i="2" s="1"/>
  <c r="D44" i="22"/>
  <c r="D32" i="22"/>
  <c r="H14" i="22"/>
  <c r="P6" i="2" s="1"/>
  <c r="C87" i="22"/>
  <c r="B72" i="28" s="1"/>
  <c r="D36" i="22"/>
  <c r="H16" i="22" s="1"/>
  <c r="H37" i="22" s="1"/>
  <c r="H13" i="22"/>
  <c r="D6" i="22"/>
  <c r="H11" i="22" s="1"/>
  <c r="D5" i="22"/>
  <c r="D4" i="22"/>
  <c r="H8" i="22" s="1"/>
  <c r="O7" i="22" s="1"/>
  <c r="D3" i="22"/>
  <c r="H6" i="22" s="1"/>
  <c r="H25" i="22"/>
  <c r="H21" i="22"/>
  <c r="H20" i="22"/>
  <c r="H19" i="22"/>
  <c r="H18" i="22"/>
  <c r="H17" i="22"/>
  <c r="H12" i="22"/>
  <c r="H9" i="22"/>
  <c r="H4" i="22"/>
  <c r="F59" i="42" s="1"/>
  <c r="C85" i="22"/>
  <c r="C83" i="22"/>
  <c r="C82" i="22"/>
  <c r="C81" i="22"/>
  <c r="C80" i="22"/>
  <c r="C79" i="22"/>
  <c r="C78" i="22"/>
  <c r="C70" i="22"/>
  <c r="B67" i="28" s="1"/>
  <c r="C69" i="22"/>
  <c r="B66" i="28" s="1"/>
  <c r="C68" i="22"/>
  <c r="C64" i="22"/>
  <c r="C60" i="22"/>
  <c r="B51" i="28" s="1"/>
  <c r="C59" i="22"/>
  <c r="G40" i="22" s="1"/>
  <c r="H32" i="22" s="1"/>
  <c r="D56" i="42" s="1"/>
  <c r="C61" i="22"/>
  <c r="D68" i="22"/>
  <c r="C77" i="22"/>
  <c r="AT3" i="2"/>
  <c r="AR3" i="2"/>
  <c r="AQ3" i="2"/>
  <c r="AP3" i="2"/>
  <c r="AO3" i="2"/>
  <c r="AK3" i="2"/>
  <c r="AG3" i="2"/>
  <c r="AT7" i="2"/>
  <c r="AR7" i="2"/>
  <c r="AQ7" i="2"/>
  <c r="AP7" i="2"/>
  <c r="AO7" i="2"/>
  <c r="AL7" i="2"/>
  <c r="AK7" i="2"/>
  <c r="AH7" i="2"/>
  <c r="AG7" i="2"/>
  <c r="AD7" i="2"/>
  <c r="AC7" i="2"/>
  <c r="AB7" i="2"/>
  <c r="AT6" i="2"/>
  <c r="AR6" i="2"/>
  <c r="AQ6" i="2"/>
  <c r="AP6" i="2"/>
  <c r="AO6" i="2"/>
  <c r="AH6" i="2"/>
  <c r="AG6" i="2"/>
  <c r="AC6" i="2"/>
  <c r="AB6" i="2"/>
  <c r="AS5" i="2"/>
  <c r="AR5" i="2"/>
  <c r="AQ5" i="2"/>
  <c r="AO5" i="2"/>
  <c r="AN5" i="2"/>
  <c r="AM5" i="2"/>
  <c r="AL5" i="2"/>
  <c r="AK5" i="2"/>
  <c r="AJ5" i="2"/>
  <c r="AI5" i="2"/>
  <c r="AH5" i="2"/>
  <c r="AG5" i="2"/>
  <c r="AD5" i="2"/>
  <c r="AC5" i="2"/>
  <c r="AB5" i="2"/>
  <c r="AA5" i="2"/>
  <c r="Z5" i="2"/>
  <c r="AS4" i="2"/>
  <c r="AR4" i="2"/>
  <c r="AJ4" i="2"/>
  <c r="AI4" i="2"/>
  <c r="AH4" i="2"/>
  <c r="AG4" i="2"/>
  <c r="AF4" i="2"/>
  <c r="AE4" i="2"/>
  <c r="AC4" i="2"/>
  <c r="AB4" i="2"/>
  <c r="AA4" i="2"/>
  <c r="Z4" i="2"/>
  <c r="AT9" i="2"/>
  <c r="AS9" i="2"/>
  <c r="AR9" i="2"/>
  <c r="AQ9" i="2"/>
  <c r="AT8" i="2"/>
  <c r="AS8" i="2"/>
  <c r="AQ8" i="2"/>
  <c r="Y3" i="2"/>
  <c r="Y4" i="2"/>
  <c r="Y5" i="2"/>
  <c r="Y6" i="2"/>
  <c r="Y7" i="2"/>
  <c r="Y8" i="2"/>
  <c r="Z8" i="2"/>
  <c r="AA8" i="2"/>
  <c r="AB8" i="2"/>
  <c r="AC8" i="2"/>
  <c r="AD8" i="2"/>
  <c r="AE8" i="2"/>
  <c r="AF8" i="2"/>
  <c r="AG8" i="2"/>
  <c r="AH8" i="2"/>
  <c r="AI8" i="2"/>
  <c r="AJ8" i="2"/>
  <c r="AK8" i="2"/>
  <c r="AL8" i="2"/>
  <c r="AM8" i="2"/>
  <c r="AN8" i="2"/>
  <c r="AO8" i="2"/>
  <c r="AP8" i="2"/>
  <c r="Y9" i="2"/>
  <c r="Z9" i="2"/>
  <c r="AA9" i="2"/>
  <c r="AB9" i="2"/>
  <c r="AC9" i="2"/>
  <c r="AE9" i="2"/>
  <c r="AF9" i="2"/>
  <c r="AG9" i="2"/>
  <c r="AH9" i="2"/>
  <c r="AI9" i="2"/>
  <c r="AJ9" i="2"/>
  <c r="AL9" i="2"/>
  <c r="AO9" i="2"/>
  <c r="AP9" i="2"/>
  <c r="Y10" i="2"/>
  <c r="F58" i="42" l="1"/>
  <c r="D58" i="42"/>
  <c r="F21" i="42"/>
  <c r="D21" i="42"/>
  <c r="H30" i="22"/>
  <c r="L10" i="22"/>
  <c r="P5" i="2"/>
  <c r="D59" i="42"/>
  <c r="L52" i="22"/>
  <c r="H11" i="24"/>
  <c r="H33" i="22"/>
  <c r="J29" i="22"/>
  <c r="B49" i="28" s="1"/>
  <c r="O6" i="22"/>
  <c r="C86" i="22"/>
  <c r="AG10" i="2"/>
  <c r="AO10" i="2"/>
  <c r="Q25" i="21"/>
  <c r="H8" i="24"/>
  <c r="M19" i="22"/>
  <c r="L19" i="22"/>
  <c r="L43" i="22"/>
  <c r="J39" i="22"/>
  <c r="P11" i="2"/>
  <c r="G59" i="42" l="1"/>
  <c r="O59" i="42"/>
  <c r="P59" i="42" s="1"/>
  <c r="D19" i="42"/>
  <c r="O19" i="42" s="1"/>
  <c r="P19" i="42" s="1"/>
  <c r="F19" i="42"/>
  <c r="J21" i="2"/>
  <c r="U24" i="21"/>
  <c r="AK9" i="2" s="1"/>
  <c r="G146" i="21"/>
  <c r="G145" i="21"/>
  <c r="G144" i="21"/>
  <c r="G142" i="21"/>
  <c r="G141" i="21"/>
  <c r="N24" i="21"/>
  <c r="AD9" i="2" s="1"/>
  <c r="G117" i="21"/>
  <c r="AB23" i="21" s="1"/>
  <c r="AC22" i="21"/>
  <c r="AS7" i="2" s="1"/>
  <c r="X22" i="21"/>
  <c r="AN7" i="2" s="1"/>
  <c r="W22" i="21"/>
  <c r="AM7" i="2" s="1"/>
  <c r="T22" i="21"/>
  <c r="AJ7" i="2" s="1"/>
  <c r="S22" i="21"/>
  <c r="AI7" i="2" s="1"/>
  <c r="P22" i="21"/>
  <c r="O22" i="21"/>
  <c r="AE7" i="2" s="1"/>
  <c r="K22" i="21"/>
  <c r="AA7" i="2" s="1"/>
  <c r="Z7" i="2"/>
  <c r="V21" i="21"/>
  <c r="AL6" i="2" s="1"/>
  <c r="P21" i="21"/>
  <c r="AC21" i="21"/>
  <c r="AS6" i="2" s="1"/>
  <c r="X21" i="21"/>
  <c r="AN6" i="2" s="1"/>
  <c r="W21" i="21"/>
  <c r="AM6" i="2" s="1"/>
  <c r="U21" i="21"/>
  <c r="AK6" i="2" s="1"/>
  <c r="T21" i="21"/>
  <c r="AJ6" i="2" s="1"/>
  <c r="S21" i="21"/>
  <c r="AI6" i="2" s="1"/>
  <c r="O21" i="21"/>
  <c r="AE6" i="2" s="1"/>
  <c r="N21" i="21"/>
  <c r="AD6" i="2" s="1"/>
  <c r="K21" i="21"/>
  <c r="AA6" i="2" s="1"/>
  <c r="Z6" i="2"/>
  <c r="AD20" i="21"/>
  <c r="AT5" i="2" s="1"/>
  <c r="AP5" i="2"/>
  <c r="O20" i="21"/>
  <c r="AE5" i="2" s="1"/>
  <c r="AD19" i="21"/>
  <c r="AT4" i="2" s="1"/>
  <c r="AA19" i="21"/>
  <c r="AP4" i="2"/>
  <c r="X19" i="21"/>
  <c r="AN4" i="2" s="1"/>
  <c r="W19" i="21"/>
  <c r="AM4" i="2" s="1"/>
  <c r="V19" i="21"/>
  <c r="AL4" i="2" s="1"/>
  <c r="U19" i="21"/>
  <c r="AK4" i="2" s="1"/>
  <c r="N19" i="21"/>
  <c r="AD4" i="2" s="1"/>
  <c r="B48" i="28"/>
  <c r="G206" i="21"/>
  <c r="H206" i="21" s="1"/>
  <c r="T150" i="21" s="1"/>
  <c r="G203" i="21"/>
  <c r="H203" i="21" s="1"/>
  <c r="N150" i="21" s="1"/>
  <c r="G200" i="21"/>
  <c r="H200" i="21" s="1"/>
  <c r="O150" i="21" s="1"/>
  <c r="G197" i="21"/>
  <c r="H197" i="21" s="1"/>
  <c r="P150" i="21" s="1"/>
  <c r="G194" i="21"/>
  <c r="H194" i="21" s="1"/>
  <c r="L150" i="21" s="1"/>
  <c r="G191" i="21"/>
  <c r="H191" i="21" s="1"/>
  <c r="G169" i="21"/>
  <c r="H169" i="21" s="1"/>
  <c r="G166" i="21"/>
  <c r="H166" i="21" s="1"/>
  <c r="G163" i="21"/>
  <c r="G157" i="21"/>
  <c r="H157" i="21" s="1"/>
  <c r="G154" i="21"/>
  <c r="H154" i="21" s="1"/>
  <c r="G151" i="21"/>
  <c r="H151" i="21" s="1"/>
  <c r="M7" i="2"/>
  <c r="M16" i="2"/>
  <c r="M21" i="2"/>
  <c r="M2" i="2"/>
  <c r="M17" i="2"/>
  <c r="F85" i="20" l="1"/>
  <c r="C90" i="42"/>
  <c r="E59" i="45"/>
  <c r="CD59" i="38"/>
  <c r="M59" i="42"/>
  <c r="N59" i="42" s="1"/>
  <c r="H59" i="42"/>
  <c r="I59" i="42" s="1"/>
  <c r="J59" i="42" s="1"/>
  <c r="G19" i="42"/>
  <c r="U150" i="21"/>
  <c r="H163" i="21"/>
  <c r="V150" i="21" s="1"/>
  <c r="S150" i="21"/>
  <c r="R150" i="21"/>
  <c r="Q150" i="21"/>
  <c r="M150" i="21"/>
  <c r="W150" i="21" s="1"/>
  <c r="AT10" i="2"/>
  <c r="AA25" i="21"/>
  <c r="O19" i="2" s="1"/>
  <c r="AQ4" i="2"/>
  <c r="AQ10" i="2" s="1"/>
  <c r="AP10" i="2"/>
  <c r="H147" i="21"/>
  <c r="AK10" i="2"/>
  <c r="AD25" i="21"/>
  <c r="Z25" i="21"/>
  <c r="O18" i="2" s="1"/>
  <c r="U25" i="21"/>
  <c r="O13" i="2" s="1"/>
  <c r="H140" i="21"/>
  <c r="J41" i="22"/>
  <c r="P10" i="2"/>
  <c r="J40" i="22"/>
  <c r="F45" i="20" l="1"/>
  <c r="C95" i="42"/>
  <c r="E19" i="45"/>
  <c r="X24" i="21"/>
  <c r="W24" i="21" s="1"/>
  <c r="AM9" i="2" s="1"/>
  <c r="CH19" i="38"/>
  <c r="CE19" i="38"/>
  <c r="H19" i="42"/>
  <c r="I19" i="42" s="1"/>
  <c r="J19" i="42" s="1"/>
  <c r="M19" i="42"/>
  <c r="N19" i="42" s="1"/>
  <c r="K150" i="21"/>
  <c r="B29" i="27"/>
  <c r="AB25" i="21"/>
  <c r="O20" i="2" s="1"/>
  <c r="AR8" i="2"/>
  <c r="AR10" i="2" s="1"/>
  <c r="AN9" i="2" l="1"/>
  <c r="L10" i="2" l="1"/>
  <c r="L11" i="2"/>
  <c r="H50" i="21"/>
  <c r="L19" i="2" s="1"/>
  <c r="H47" i="21"/>
  <c r="L13" i="2" s="1"/>
  <c r="H44" i="21"/>
  <c r="L5" i="2" s="1"/>
  <c r="H41" i="21"/>
  <c r="L16" i="2" s="1"/>
  <c r="H38" i="21"/>
  <c r="H35" i="21"/>
  <c r="L14" i="2" s="1"/>
  <c r="H29" i="21"/>
  <c r="L18" i="2" s="1"/>
  <c r="J3" i="2"/>
  <c r="H26" i="21"/>
  <c r="L21" i="2" s="1"/>
  <c r="H23" i="21"/>
  <c r="L17" i="2" s="1"/>
  <c r="H20" i="21"/>
  <c r="L20" i="2" s="1"/>
  <c r="H17" i="21"/>
  <c r="L7" i="2" s="1"/>
  <c r="H14" i="21"/>
  <c r="L15" i="2" l="1"/>
  <c r="L2" i="2"/>
  <c r="H125" i="21" l="1"/>
  <c r="B24" i="27" l="1"/>
  <c r="P3" i="2"/>
  <c r="H77" i="21"/>
  <c r="J18" i="21" s="1"/>
  <c r="J38" i="35" l="1"/>
  <c r="H38" i="35" s="1"/>
  <c r="H6" i="24"/>
  <c r="G40" i="35"/>
  <c r="H32" i="35" s="1"/>
  <c r="J38" i="22"/>
  <c r="S18" i="21"/>
  <c r="AI3" i="2" s="1"/>
  <c r="N18" i="21"/>
  <c r="R18" i="21"/>
  <c r="AH3" i="2" s="1"/>
  <c r="AC18" i="21"/>
  <c r="P18" i="21"/>
  <c r="AF3" i="2" s="1"/>
  <c r="O18" i="21"/>
  <c r="X18" i="21"/>
  <c r="AN3" i="2" s="1"/>
  <c r="M18" i="21"/>
  <c r="W18" i="21"/>
  <c r="AM3" i="2" s="1"/>
  <c r="L18" i="21"/>
  <c r="V18" i="21"/>
  <c r="K18" i="21"/>
  <c r="T18" i="21"/>
  <c r="AJ3" i="2" s="1"/>
  <c r="N19" i="2"/>
  <c r="N10" i="2"/>
  <c r="N11" i="2"/>
  <c r="N13" i="2"/>
  <c r="N5" i="2"/>
  <c r="N16" i="2"/>
  <c r="H188" i="21"/>
  <c r="H160" i="21"/>
  <c r="O21" i="42" l="1"/>
  <c r="P21" i="42" s="1"/>
  <c r="G21" i="42"/>
  <c r="J36" i="35"/>
  <c r="H36" i="35"/>
  <c r="AE3" i="2"/>
  <c r="AE10" i="2" s="1"/>
  <c r="S25" i="21"/>
  <c r="O11" i="2" s="1"/>
  <c r="AI10" i="2"/>
  <c r="W25" i="21"/>
  <c r="O15" i="2" s="1"/>
  <c r="AM10" i="2"/>
  <c r="R25" i="21"/>
  <c r="O10" i="2" s="1"/>
  <c r="AH10" i="2"/>
  <c r="V25" i="21"/>
  <c r="O14" i="2" s="1"/>
  <c r="AL3" i="2"/>
  <c r="AL10" i="2" s="1"/>
  <c r="L25" i="21"/>
  <c r="O4" i="2" s="1"/>
  <c r="AB3" i="2"/>
  <c r="AB10" i="2" s="1"/>
  <c r="N25" i="21"/>
  <c r="O6" i="2" s="1"/>
  <c r="AD3" i="2"/>
  <c r="AD10" i="2" s="1"/>
  <c r="M25" i="21"/>
  <c r="O5" i="2" s="1"/>
  <c r="AC3" i="2"/>
  <c r="AC10" i="2" s="1"/>
  <c r="J25" i="21"/>
  <c r="O2" i="2" s="1"/>
  <c r="Z3" i="2"/>
  <c r="Z10" i="2" s="1"/>
  <c r="X25" i="21"/>
  <c r="O16" i="2" s="1"/>
  <c r="AN10" i="2"/>
  <c r="T25" i="21"/>
  <c r="AJ10" i="2"/>
  <c r="P25" i="21"/>
  <c r="O8" i="2" s="1"/>
  <c r="AF10" i="2"/>
  <c r="W8" i="2" s="1"/>
  <c r="K25" i="21"/>
  <c r="O3" i="2" s="1"/>
  <c r="AA3" i="2"/>
  <c r="AA10" i="2" s="1"/>
  <c r="AC25" i="21"/>
  <c r="O21" i="2" s="1"/>
  <c r="AS3" i="2"/>
  <c r="AS10" i="2" s="1"/>
  <c r="P12" i="2"/>
  <c r="B16" i="28"/>
  <c r="O25" i="21"/>
  <c r="O7" i="2" s="1"/>
  <c r="N21" i="2"/>
  <c r="N20" i="2"/>
  <c r="N14" i="2"/>
  <c r="N15" i="2"/>
  <c r="N2" i="2"/>
  <c r="E21" i="45" l="1"/>
  <c r="F19" i="45" s="1" a="1"/>
  <c r="F19" i="45" s="1"/>
  <c r="H21" i="42"/>
  <c r="I21" i="42" s="1"/>
  <c r="J21" i="42" s="1"/>
  <c r="M21" i="42"/>
  <c r="N21" i="42" s="1"/>
  <c r="CH21" i="38"/>
  <c r="CH207" i="38" s="1"/>
  <c r="F47" i="20"/>
  <c r="C97" i="42"/>
  <c r="B79" i="42"/>
  <c r="C79" i="42" s="1"/>
  <c r="B50" i="28"/>
  <c r="N7" i="2"/>
  <c r="N22" i="2"/>
  <c r="J36" i="22"/>
  <c r="H36" i="22"/>
  <c r="P2" i="2" s="1"/>
  <c r="S2" i="2" s="1"/>
  <c r="B29" i="39" l="1"/>
  <c r="B16" i="45" s="1"/>
  <c r="B69" i="49"/>
  <c r="F69" i="49" s="1"/>
  <c r="O56" i="42"/>
  <c r="P56" i="42" s="1"/>
  <c r="G56" i="42"/>
  <c r="W2" i="2"/>
  <c r="J3" i="25" s="1"/>
  <c r="V2" i="2"/>
  <c r="B2" i="27" s="1"/>
  <c r="D21" i="2"/>
  <c r="E20" i="2"/>
  <c r="D20" i="2"/>
  <c r="E18" i="2"/>
  <c r="D18" i="2"/>
  <c r="E17" i="2"/>
  <c r="D17" i="2"/>
  <c r="E12" i="2"/>
  <c r="D12" i="2"/>
  <c r="E11" i="2"/>
  <c r="D11" i="2"/>
  <c r="D9" i="2"/>
  <c r="C9" i="2"/>
  <c r="D8" i="2"/>
  <c r="E7" i="2"/>
  <c r="D7" i="2"/>
  <c r="E6" i="2"/>
  <c r="D6" i="2"/>
  <c r="E5" i="2"/>
  <c r="D5" i="2"/>
  <c r="E4" i="2"/>
  <c r="D4" i="2"/>
  <c r="D3" i="2"/>
  <c r="E2" i="2"/>
  <c r="D2" i="2"/>
  <c r="M56" i="42" l="1"/>
  <c r="N56" i="42" s="1"/>
  <c r="H56" i="42"/>
  <c r="I56" i="42" s="1"/>
  <c r="J56" i="42" s="1"/>
  <c r="CI56" i="38"/>
  <c r="CI207" i="38" s="1"/>
  <c r="F82" i="20"/>
  <c r="E56" i="45"/>
  <c r="C87" i="42"/>
  <c r="I3" i="25"/>
  <c r="F3" i="25" s="1"/>
  <c r="E3" i="25" s="1"/>
  <c r="I3" i="20" l="1"/>
  <c r="J3" i="20" l="1"/>
  <c r="Y25" i="21" l="1"/>
  <c r="O17" i="2" s="1"/>
  <c r="A20" i="2"/>
  <c r="A4" i="2"/>
  <c r="A5" i="2"/>
  <c r="A21" i="2"/>
  <c r="A9" i="2"/>
  <c r="A2" i="2"/>
  <c r="A22" i="2"/>
  <c r="L26" i="22"/>
  <c r="L27" i="22" s="1"/>
  <c r="J31" i="22" s="1"/>
  <c r="A14" i="2"/>
  <c r="A13" i="2"/>
  <c r="A17" i="2"/>
  <c r="A18" i="2"/>
  <c r="A19" i="2"/>
  <c r="H37" i="35"/>
  <c r="K45" i="35" s="1"/>
  <c r="H30" i="35"/>
  <c r="I30" i="35" s="1"/>
  <c r="P8" i="2"/>
  <c r="A6" i="2"/>
  <c r="L16" i="35"/>
  <c r="L22" i="35" s="1"/>
  <c r="L23" i="35" s="1"/>
  <c r="A3" i="2"/>
  <c r="C56" i="35"/>
  <c r="C74" i="35" s="1"/>
  <c r="C76" i="35" s="1"/>
  <c r="A7" i="2"/>
  <c r="A15" i="2"/>
  <c r="A11" i="2"/>
  <c r="A8" i="2"/>
  <c r="L13" i="22"/>
  <c r="M16" i="35"/>
  <c r="M22" i="35" s="1"/>
  <c r="M23" i="35" s="1"/>
  <c r="A16" i="2"/>
  <c r="A12" i="2"/>
  <c r="L25" i="35"/>
  <c r="L26" i="35" s="1"/>
  <c r="L27" i="35" s="1"/>
  <c r="A10" i="2"/>
  <c r="M26" i="22"/>
  <c r="M27" i="22" s="1"/>
  <c r="M25" i="35"/>
  <c r="M26" i="35" s="1"/>
  <c r="M27" i="35" s="1"/>
  <c r="L10" i="35"/>
  <c r="M13" i="22"/>
  <c r="C18" i="40"/>
  <c r="C20" i="40" s="1"/>
  <c r="L13" i="35" l="1"/>
  <c r="L48" i="22"/>
  <c r="L59" i="22" s="1"/>
  <c r="N48" i="22" s="1"/>
  <c r="B104" i="22"/>
  <c r="C73" i="35"/>
  <c r="C75" i="35" s="1"/>
  <c r="O13" i="42"/>
  <c r="P13" i="42" s="1"/>
  <c r="H58" i="22"/>
  <c r="H57" i="22"/>
  <c r="B10" i="28" s="1"/>
  <c r="B11" i="28" s="1"/>
  <c r="M22" i="22"/>
  <c r="M23" i="22" s="1"/>
  <c r="L22" i="22"/>
  <c r="L23" i="22" s="1"/>
  <c r="H31" i="22" s="1"/>
  <c r="L48" i="35"/>
  <c r="L59" i="35" s="1"/>
  <c r="N49" i="35" s="1"/>
  <c r="C73" i="22"/>
  <c r="O3" i="22"/>
  <c r="C74" i="22"/>
  <c r="H57" i="35"/>
  <c r="J31" i="35"/>
  <c r="M13" i="35"/>
  <c r="C4" i="38"/>
  <c r="C11" i="40"/>
  <c r="C19" i="40"/>
  <c r="C21" i="40" s="1"/>
  <c r="K45" i="22"/>
  <c r="O3" i="35"/>
  <c r="B43" i="28"/>
  <c r="H58" i="35"/>
  <c r="O58" i="42" l="1"/>
  <c r="P58" i="42" s="1"/>
  <c r="G58" i="42"/>
  <c r="B64" i="28"/>
  <c r="C76" i="22"/>
  <c r="C75" i="22"/>
  <c r="B65" i="28" s="1"/>
  <c r="BS4" i="38"/>
  <c r="BS207" i="38" s="1"/>
  <c r="BS208" i="38" s="1"/>
  <c r="BQ205" i="38"/>
  <c r="BP205" i="38"/>
  <c r="BO205" i="38"/>
  <c r="BN205" i="38"/>
  <c r="BR205" i="38"/>
  <c r="G12" i="42"/>
  <c r="C93" i="42" s="1"/>
  <c r="O12" i="42"/>
  <c r="P12" i="42" s="1"/>
  <c r="H31" i="35"/>
  <c r="B12" i="28"/>
  <c r="N48" i="35"/>
  <c r="N50" i="35"/>
  <c r="N49" i="22"/>
  <c r="N50" i="22"/>
  <c r="C13" i="40"/>
  <c r="C12" i="40"/>
  <c r="E4" i="38"/>
  <c r="BN4" i="38"/>
  <c r="BO4" i="38"/>
  <c r="BO207" i="38" s="1"/>
  <c r="BB4" i="38"/>
  <c r="BB207" i="38" s="1"/>
  <c r="BB208" i="38" s="1"/>
  <c r="BP4" i="38"/>
  <c r="BP207" i="38" s="1"/>
  <c r="C89" i="42" l="1"/>
  <c r="CD58" i="38"/>
  <c r="CD207" i="38" s="1"/>
  <c r="F84" i="20"/>
  <c r="H58" i="42"/>
  <c r="I58" i="42" s="1"/>
  <c r="J58" i="42" s="1"/>
  <c r="E58" i="45"/>
  <c r="F50" i="45" s="1" a="1"/>
  <c r="F50" i="45" s="1"/>
  <c r="M58" i="42"/>
  <c r="N58" i="42" s="1"/>
  <c r="B71" i="42"/>
  <c r="C71" i="42" s="1"/>
  <c r="E12" i="45"/>
  <c r="F8" i="45" s="1" a="1"/>
  <c r="F8" i="45" s="1"/>
  <c r="F38" i="20"/>
  <c r="BN207" i="38"/>
  <c r="BR207" i="38"/>
  <c r="BQ207" i="38"/>
  <c r="BQ208" i="38" s="1"/>
  <c r="B24" i="49"/>
  <c r="B198" i="49"/>
  <c r="C198" i="49" s="1"/>
  <c r="C7" i="40"/>
  <c r="M12" i="42"/>
  <c r="N12" i="42" s="1"/>
  <c r="B77" i="42"/>
  <c r="C77" i="42" s="1"/>
  <c r="CE12" i="38"/>
  <c r="CE207" i="38" s="1"/>
  <c r="H12" i="42"/>
  <c r="I12" i="42" s="1"/>
  <c r="J12" i="42" s="1"/>
  <c r="AM3" i="38"/>
  <c r="AM207" i="38" s="1"/>
  <c r="AM208" i="38" s="1"/>
  <c r="BN208" i="38"/>
  <c r="BP208" i="38"/>
  <c r="BO208" i="38"/>
  <c r="P16" i="2"/>
  <c r="P15" i="2" s="1"/>
  <c r="F5" i="42"/>
  <c r="N52" i="35"/>
  <c r="N52" i="22"/>
  <c r="D5" i="42" s="1"/>
  <c r="V207" i="38"/>
  <c r="V208" i="38" s="1"/>
  <c r="Q4" i="38"/>
  <c r="Q207" i="38" s="1"/>
  <c r="Q208" i="38" s="1"/>
  <c r="P207" i="38"/>
  <c r="P208" i="38" s="1"/>
  <c r="H4" i="38"/>
  <c r="H207" i="38" s="1"/>
  <c r="H208" i="38" s="1"/>
  <c r="BR208" i="38"/>
  <c r="AB207" i="38"/>
  <c r="AB208" i="38" s="1"/>
  <c r="W4" i="38"/>
  <c r="W207" i="38" s="1"/>
  <c r="W208" i="38" s="1"/>
  <c r="L4" i="38"/>
  <c r="J4" i="38"/>
  <c r="J207" i="38" s="1"/>
  <c r="J208" i="38" s="1"/>
  <c r="G4" i="38"/>
  <c r="G207" i="38" s="1"/>
  <c r="G208" i="38" s="1"/>
  <c r="U207" i="38"/>
  <c r="U208" i="38" s="1"/>
  <c r="Z207" i="38"/>
  <c r="Z208" i="38" s="1"/>
  <c r="N4" i="38"/>
  <c r="R207" i="38"/>
  <c r="R208" i="38" s="1"/>
  <c r="M207" i="38"/>
  <c r="M208" i="38" s="1"/>
  <c r="F4" i="38"/>
  <c r="S4" i="38"/>
  <c r="S207" i="38" s="1"/>
  <c r="S208" i="38" s="1"/>
  <c r="AA207" i="38"/>
  <c r="AA208" i="38" s="1"/>
  <c r="X207" i="38"/>
  <c r="X208" i="38" s="1"/>
  <c r="K4" i="38"/>
  <c r="O207" i="38"/>
  <c r="O208" i="38" s="1"/>
  <c r="I4" i="38"/>
  <c r="Y4" i="38"/>
  <c r="Y207" i="38" s="1"/>
  <c r="Y208" i="38" s="1"/>
  <c r="B21" i="39" l="1"/>
  <c r="B8" i="45" s="1"/>
  <c r="B77" i="49"/>
  <c r="F77" i="49" s="1"/>
  <c r="B204" i="49"/>
  <c r="C204" i="49" s="1"/>
  <c r="B23" i="49"/>
  <c r="C5" i="40"/>
  <c r="B22" i="49"/>
  <c r="B27" i="39"/>
  <c r="B14" i="45" s="1"/>
  <c r="B71" i="49"/>
  <c r="F71" i="49" s="1"/>
  <c r="C6" i="40"/>
  <c r="B73" i="28"/>
  <c r="O5" i="42"/>
  <c r="P5" i="42" s="1"/>
  <c r="I207" i="38"/>
  <c r="I208" i="38" s="1"/>
  <c r="F207" i="38"/>
  <c r="F208" i="38" s="1"/>
  <c r="N207" i="38"/>
  <c r="N208" i="38" s="1"/>
  <c r="K207" i="38"/>
  <c r="K208" i="38" s="1"/>
  <c r="L207" i="38"/>
  <c r="L208" i="38" s="1"/>
  <c r="S16" i="2"/>
  <c r="V16" i="2" s="1"/>
  <c r="W15" i="2" s="1"/>
  <c r="J16" i="25" s="1"/>
  <c r="K20" i="2"/>
  <c r="B21" i="49" l="1"/>
  <c r="B156" i="49"/>
  <c r="B211" i="49"/>
  <c r="C211" i="49" s="1"/>
  <c r="G5" i="42"/>
  <c r="D39" i="42"/>
  <c r="O39" i="42" s="1"/>
  <c r="P39" i="42" s="1"/>
  <c r="C3" i="40"/>
  <c r="S15" i="2"/>
  <c r="I16" i="20" s="1"/>
  <c r="I17" i="25"/>
  <c r="B16" i="27"/>
  <c r="W16" i="2"/>
  <c r="J17" i="25" s="1"/>
  <c r="I17" i="20"/>
  <c r="J17" i="20"/>
  <c r="K22" i="2"/>
  <c r="T22" i="2" s="1"/>
  <c r="R22" i="2" s="1"/>
  <c r="K18" i="2"/>
  <c r="T18" i="2" s="1"/>
  <c r="R18" i="2" s="1"/>
  <c r="K16" i="2"/>
  <c r="T16" i="2" s="1"/>
  <c r="R16" i="2" s="1"/>
  <c r="H17" i="20" s="1"/>
  <c r="K11" i="2"/>
  <c r="T20" i="2"/>
  <c r="R20" i="2" s="1"/>
  <c r="X20" i="2"/>
  <c r="Q20" i="2"/>
  <c r="K19" i="2"/>
  <c r="K6" i="2"/>
  <c r="K10" i="2"/>
  <c r="K21" i="2"/>
  <c r="K7" i="2"/>
  <c r="K15" i="2"/>
  <c r="K14" i="2"/>
  <c r="K4" i="2"/>
  <c r="K9" i="2"/>
  <c r="K3" i="2"/>
  <c r="K13" i="2"/>
  <c r="K17" i="2"/>
  <c r="K2" i="2"/>
  <c r="K12" i="2"/>
  <c r="K8" i="2"/>
  <c r="K5" i="2"/>
  <c r="F31" i="20" l="1"/>
  <c r="C101" i="42"/>
  <c r="B120" i="49"/>
  <c r="B118" i="49"/>
  <c r="B122" i="49"/>
  <c r="B121" i="49"/>
  <c r="E5" i="45"/>
  <c r="CG5" i="38"/>
  <c r="CG207" i="38" s="1"/>
  <c r="B74" i="42"/>
  <c r="C74" i="42" s="1"/>
  <c r="B68" i="49" s="1"/>
  <c r="F68" i="49" s="1"/>
  <c r="M5" i="42"/>
  <c r="N5" i="42" s="1"/>
  <c r="H5" i="42"/>
  <c r="I5" i="42" s="1"/>
  <c r="J5" i="42" s="1"/>
  <c r="F17" i="25"/>
  <c r="E17" i="25" s="1"/>
  <c r="U20" i="2"/>
  <c r="H21" i="25" s="1"/>
  <c r="V15" i="2"/>
  <c r="I16" i="25" s="1"/>
  <c r="F16" i="25" s="1"/>
  <c r="E16" i="25" s="1"/>
  <c r="X16" i="2"/>
  <c r="Q11" i="2"/>
  <c r="T11" i="2"/>
  <c r="R11" i="2" s="1"/>
  <c r="X11" i="2"/>
  <c r="Q18" i="2"/>
  <c r="U18" i="2" s="1"/>
  <c r="W18" i="2" s="1"/>
  <c r="J19" i="25" s="1"/>
  <c r="X18" i="2"/>
  <c r="Q22" i="2"/>
  <c r="U22" i="2" s="1"/>
  <c r="W22" i="2" s="1"/>
  <c r="J23" i="25" s="1"/>
  <c r="X22" i="2"/>
  <c r="X13" i="2"/>
  <c r="T13" i="2"/>
  <c r="R13" i="2" s="1"/>
  <c r="Q13" i="2"/>
  <c r="Q19" i="2"/>
  <c r="X19" i="2"/>
  <c r="T19" i="2"/>
  <c r="R19" i="2" s="1"/>
  <c r="H19" i="20"/>
  <c r="S18" i="2"/>
  <c r="I19" i="20" s="1"/>
  <c r="Q9" i="2"/>
  <c r="X9" i="2"/>
  <c r="T9" i="2"/>
  <c r="R9" i="2" s="1"/>
  <c r="T4" i="2"/>
  <c r="R4" i="2" s="1"/>
  <c r="X4" i="2"/>
  <c r="Q4" i="2"/>
  <c r="T14" i="2"/>
  <c r="R14" i="2" s="1"/>
  <c r="Q14" i="2"/>
  <c r="X14" i="2"/>
  <c r="X5" i="2"/>
  <c r="Q5" i="2"/>
  <c r="T5" i="2"/>
  <c r="R5" i="2" s="1"/>
  <c r="X8" i="2"/>
  <c r="Q8" i="2"/>
  <c r="T8" i="2"/>
  <c r="R8" i="2" s="1"/>
  <c r="T7" i="2"/>
  <c r="R7" i="2" s="1"/>
  <c r="X7" i="2"/>
  <c r="Q7" i="2"/>
  <c r="K17" i="20"/>
  <c r="R17" i="20"/>
  <c r="B101" i="42" s="1"/>
  <c r="Q12" i="2"/>
  <c r="T12" i="2"/>
  <c r="R12" i="2" s="1"/>
  <c r="X12" i="2"/>
  <c r="X21" i="2"/>
  <c r="Q21" i="2"/>
  <c r="T21" i="2"/>
  <c r="R21" i="2" s="1"/>
  <c r="Q17" i="2"/>
  <c r="T17" i="2"/>
  <c r="R17" i="2" s="1"/>
  <c r="X17" i="2"/>
  <c r="X3" i="2"/>
  <c r="Q3" i="2"/>
  <c r="T3" i="2"/>
  <c r="R3" i="2" s="1"/>
  <c r="S20" i="2"/>
  <c r="I21" i="20" s="1"/>
  <c r="H21" i="20"/>
  <c r="Q16" i="2"/>
  <c r="U16" i="2" s="1"/>
  <c r="H17" i="25" s="1"/>
  <c r="X10" i="2"/>
  <c r="Q10" i="2"/>
  <c r="T10" i="2"/>
  <c r="R10" i="2" s="1"/>
  <c r="Q15" i="2"/>
  <c r="X15" i="2"/>
  <c r="T15" i="2"/>
  <c r="R15" i="2" s="1"/>
  <c r="H16" i="20" s="1"/>
  <c r="Q2" i="2"/>
  <c r="X2" i="2"/>
  <c r="T2" i="2"/>
  <c r="R2" i="2" s="1"/>
  <c r="H3" i="20" s="1"/>
  <c r="S22" i="2"/>
  <c r="I23" i="20" s="1"/>
  <c r="H23" i="20"/>
  <c r="X6" i="2"/>
  <c r="Q6" i="2"/>
  <c r="T6" i="2"/>
  <c r="R6" i="2" s="1"/>
  <c r="F2" i="45" l="1" a="1"/>
  <c r="F2" i="45" s="1"/>
  <c r="B24" i="39"/>
  <c r="B11" i="45" s="1"/>
  <c r="W20" i="2"/>
  <c r="J21" i="25" s="1"/>
  <c r="H23" i="25"/>
  <c r="U7" i="2"/>
  <c r="W7" i="2" s="1"/>
  <c r="J8" i="25" s="1"/>
  <c r="J16" i="20"/>
  <c r="K16" i="20" s="1"/>
  <c r="B15" i="27"/>
  <c r="U4" i="2"/>
  <c r="H5" i="25" s="1"/>
  <c r="U13" i="2"/>
  <c r="H14" i="25" s="1"/>
  <c r="U11" i="2"/>
  <c r="U8" i="2"/>
  <c r="H9" i="25" s="1"/>
  <c r="U9" i="2"/>
  <c r="W9" i="2" s="1"/>
  <c r="J10" i="25" s="1"/>
  <c r="U10" i="2"/>
  <c r="J11" i="25" s="1"/>
  <c r="H12" i="20"/>
  <c r="S11" i="2"/>
  <c r="V22" i="2"/>
  <c r="B22" i="27" s="1"/>
  <c r="U14" i="2"/>
  <c r="H15" i="25" s="1"/>
  <c r="H20" i="20"/>
  <c r="S19" i="2"/>
  <c r="I20" i="20" s="1"/>
  <c r="U19" i="2"/>
  <c r="U5" i="2"/>
  <c r="U15" i="2"/>
  <c r="H16" i="25" s="1"/>
  <c r="S6" i="2"/>
  <c r="I7" i="20" s="1"/>
  <c r="H7" i="20"/>
  <c r="H13" i="20"/>
  <c r="S12" i="2"/>
  <c r="I13" i="20" s="1"/>
  <c r="U12" i="2"/>
  <c r="U3" i="2"/>
  <c r="H22" i="20"/>
  <c r="S21" i="2"/>
  <c r="I22" i="20" s="1"/>
  <c r="U6" i="2"/>
  <c r="H15" i="20"/>
  <c r="S14" i="2"/>
  <c r="I15" i="20" s="1"/>
  <c r="K3" i="20"/>
  <c r="R3" i="20"/>
  <c r="B87" i="42" s="1"/>
  <c r="H18" i="20"/>
  <c r="S17" i="2"/>
  <c r="I18" i="20" s="1"/>
  <c r="V20" i="2"/>
  <c r="U17" i="2"/>
  <c r="S7" i="2"/>
  <c r="I8" i="20" s="1"/>
  <c r="H8" i="20"/>
  <c r="H5" i="20"/>
  <c r="S4" i="2"/>
  <c r="I5" i="20" s="1"/>
  <c r="S13" i="2"/>
  <c r="I14" i="20" s="1"/>
  <c r="H14" i="20"/>
  <c r="U21" i="2"/>
  <c r="H6" i="20"/>
  <c r="S5" i="2"/>
  <c r="I6" i="20" s="1"/>
  <c r="H4" i="20"/>
  <c r="S3" i="2"/>
  <c r="I4" i="20" s="1"/>
  <c r="T17" i="20"/>
  <c r="F20" i="24"/>
  <c r="U2" i="2"/>
  <c r="H3" i="25" s="1"/>
  <c r="H11" i="20"/>
  <c r="S10" i="2"/>
  <c r="I11" i="20" s="1"/>
  <c r="V18" i="2"/>
  <c r="H19" i="25"/>
  <c r="H9" i="20"/>
  <c r="S8" i="2"/>
  <c r="I9" i="20" s="1"/>
  <c r="H10" i="20"/>
  <c r="S9" i="2"/>
  <c r="I10" i="20" s="1"/>
  <c r="H8" i="25" l="1"/>
  <c r="R16" i="20"/>
  <c r="H12" i="25"/>
  <c r="W11" i="2"/>
  <c r="J12" i="25" s="1"/>
  <c r="W4" i="2"/>
  <c r="J5" i="25" s="1"/>
  <c r="W13" i="2"/>
  <c r="J14" i="25" s="1"/>
  <c r="H11" i="25"/>
  <c r="H10" i="25"/>
  <c r="W14" i="2"/>
  <c r="J15" i="25" s="1"/>
  <c r="J9" i="25"/>
  <c r="I12" i="20"/>
  <c r="V11" i="2"/>
  <c r="I23" i="25"/>
  <c r="F23" i="25" s="1"/>
  <c r="E23" i="25" s="1"/>
  <c r="V9" i="2"/>
  <c r="I10" i="25" s="1"/>
  <c r="F10" i="25" s="1"/>
  <c r="E10" i="25" s="1"/>
  <c r="J23" i="20"/>
  <c r="K23" i="20" s="1"/>
  <c r="W6" i="2"/>
  <c r="J7" i="25" s="1"/>
  <c r="V6" i="2"/>
  <c r="H7" i="25"/>
  <c r="J21" i="20"/>
  <c r="I21" i="25"/>
  <c r="F21" i="25" s="1"/>
  <c r="E21" i="25" s="1"/>
  <c r="B20" i="27"/>
  <c r="T3" i="20"/>
  <c r="F6" i="24"/>
  <c r="V7" i="2"/>
  <c r="W19" i="2"/>
  <c r="J20" i="25" s="1"/>
  <c r="H20" i="25"/>
  <c r="V19" i="2"/>
  <c r="H4" i="25"/>
  <c r="V3" i="2"/>
  <c r="W3" i="2"/>
  <c r="J4" i="25" s="1"/>
  <c r="V8" i="2"/>
  <c r="J19" i="20"/>
  <c r="B18" i="27"/>
  <c r="I19" i="25"/>
  <c r="F19" i="25" s="1"/>
  <c r="E19" i="25" s="1"/>
  <c r="W21" i="2"/>
  <c r="J22" i="25" s="1"/>
  <c r="H22" i="25"/>
  <c r="V21" i="2"/>
  <c r="H13" i="25"/>
  <c r="V12" i="2"/>
  <c r="W12" i="2" s="1"/>
  <c r="J13" i="25" s="1"/>
  <c r="H18" i="25"/>
  <c r="W17" i="2"/>
  <c r="J18" i="25" s="1"/>
  <c r="V17" i="2"/>
  <c r="V14" i="2"/>
  <c r="V13" i="2"/>
  <c r="V4" i="2"/>
  <c r="V5" i="2"/>
  <c r="W5" i="2"/>
  <c r="J6" i="25" s="1"/>
  <c r="H6" i="25"/>
  <c r="V10" i="2"/>
  <c r="T16" i="20" l="1"/>
  <c r="B100" i="42"/>
  <c r="F19" i="24"/>
  <c r="R23" i="20"/>
  <c r="B9" i="27"/>
  <c r="J10" i="20"/>
  <c r="K10" i="20" s="1"/>
  <c r="B11" i="27"/>
  <c r="J12" i="20"/>
  <c r="I12" i="25"/>
  <c r="F12" i="25" s="1"/>
  <c r="E12" i="25" s="1"/>
  <c r="B10" i="27"/>
  <c r="J11" i="20"/>
  <c r="I11" i="25"/>
  <c r="F11" i="25" s="1"/>
  <c r="E11" i="25" s="1"/>
  <c r="I4" i="25"/>
  <c r="F4" i="25" s="1"/>
  <c r="E4" i="25" s="1"/>
  <c r="B3" i="27"/>
  <c r="J4" i="20"/>
  <c r="R19" i="20"/>
  <c r="B103" i="42" s="1"/>
  <c r="K19" i="20"/>
  <c r="B14" i="27"/>
  <c r="J15" i="20"/>
  <c r="I15" i="25"/>
  <c r="F15" i="25" s="1"/>
  <c r="E15" i="25" s="1"/>
  <c r="J9" i="20"/>
  <c r="B8" i="27"/>
  <c r="I9" i="25"/>
  <c r="F9" i="25" s="1"/>
  <c r="E9" i="25" s="1"/>
  <c r="I14" i="25"/>
  <c r="F14" i="25" s="1"/>
  <c r="E14" i="25" s="1"/>
  <c r="B13" i="27"/>
  <c r="J14" i="20"/>
  <c r="B12" i="27"/>
  <c r="J13" i="20"/>
  <c r="I13" i="25"/>
  <c r="F13" i="25" s="1"/>
  <c r="E13" i="25" s="1"/>
  <c r="B19" i="27"/>
  <c r="I20" i="25"/>
  <c r="F20" i="25" s="1"/>
  <c r="E20" i="25" s="1"/>
  <c r="J20" i="20"/>
  <c r="J7" i="20"/>
  <c r="I7" i="25"/>
  <c r="F7" i="25" s="1"/>
  <c r="E7" i="25" s="1"/>
  <c r="B6" i="27"/>
  <c r="B4" i="27"/>
  <c r="I5" i="25"/>
  <c r="F5" i="25" s="1"/>
  <c r="E5" i="25" s="1"/>
  <c r="J5" i="20"/>
  <c r="J22" i="20"/>
  <c r="I22" i="25"/>
  <c r="F22" i="25" s="1"/>
  <c r="E22" i="25" s="1"/>
  <c r="B21" i="27"/>
  <c r="R21" i="20"/>
  <c r="K21" i="20"/>
  <c r="I6" i="25"/>
  <c r="F6" i="25" s="1"/>
  <c r="E6" i="25" s="1"/>
  <c r="B5" i="27"/>
  <c r="J6" i="20"/>
  <c r="J18" i="20"/>
  <c r="I18" i="25"/>
  <c r="F18" i="25" s="1"/>
  <c r="E18" i="25" s="1"/>
  <c r="B17" i="27"/>
  <c r="B7" i="27"/>
  <c r="J8" i="20"/>
  <c r="I8" i="25"/>
  <c r="F8" i="25" s="1"/>
  <c r="E8" i="25" s="1"/>
  <c r="F26" i="24" l="1"/>
  <c r="B107" i="42"/>
  <c r="T23" i="20"/>
  <c r="R10" i="20"/>
  <c r="T10" i="20" s="1"/>
  <c r="K12" i="20"/>
  <c r="R12" i="20"/>
  <c r="B96" i="42" s="1"/>
  <c r="R5" i="20"/>
  <c r="B89" i="42" s="1"/>
  <c r="K5" i="20"/>
  <c r="T19" i="20"/>
  <c r="F22" i="24"/>
  <c r="R13" i="20"/>
  <c r="B97" i="42" s="1"/>
  <c r="K13" i="20"/>
  <c r="K14" i="20"/>
  <c r="R14" i="20"/>
  <c r="B98" i="42" s="1"/>
  <c r="T21" i="20"/>
  <c r="F24" i="24"/>
  <c r="R7" i="20"/>
  <c r="B91" i="42" s="1"/>
  <c r="K7" i="20"/>
  <c r="R8" i="20"/>
  <c r="B92" i="42" s="1"/>
  <c r="K8" i="20"/>
  <c r="R20" i="20"/>
  <c r="B104" i="42" s="1"/>
  <c r="K20" i="20"/>
  <c r="K9" i="20"/>
  <c r="R9" i="20"/>
  <c r="K11" i="20"/>
  <c r="R11" i="20"/>
  <c r="B95" i="42" s="1"/>
  <c r="R18" i="20"/>
  <c r="B102" i="42" s="1"/>
  <c r="K18" i="20"/>
  <c r="R4" i="20"/>
  <c r="B88" i="42" s="1"/>
  <c r="K4" i="20"/>
  <c r="K6" i="20"/>
  <c r="R6" i="20"/>
  <c r="B90" i="42" s="1"/>
  <c r="K22" i="20"/>
  <c r="R22" i="20"/>
  <c r="K15" i="20"/>
  <c r="R15" i="20"/>
  <c r="B99" i="42" s="1"/>
  <c r="F12" i="24" l="1"/>
  <c r="B93" i="42"/>
  <c r="T22" i="20"/>
  <c r="F25" i="24"/>
  <c r="F13" i="24"/>
  <c r="T12" i="20"/>
  <c r="F15" i="24"/>
  <c r="T14" i="20"/>
  <c r="F17" i="24"/>
  <c r="F7" i="24"/>
  <c r="T4" i="20"/>
  <c r="T9" i="20"/>
  <c r="F18" i="24"/>
  <c r="T15" i="20"/>
  <c r="F16" i="24"/>
  <c r="T13" i="20"/>
  <c r="T20" i="20"/>
  <c r="F23" i="24"/>
  <c r="F10" i="24"/>
  <c r="T7" i="20"/>
  <c r="F21" i="24"/>
  <c r="T18" i="20"/>
  <c r="F14" i="24"/>
  <c r="T11" i="20"/>
  <c r="T6" i="20"/>
  <c r="F9" i="24"/>
  <c r="T8" i="20"/>
  <c r="F11" i="24"/>
  <c r="F8" i="24"/>
  <c r="T5" i="20"/>
  <c r="BU208" i="38"/>
  <c r="CE208" i="38"/>
  <c r="CF208" i="38"/>
  <c r="BW208" i="38"/>
  <c r="CK208" i="38"/>
  <c r="BX208" i="38"/>
  <c r="BV208" i="38"/>
  <c r="BY208" i="38"/>
  <c r="CA208" i="38"/>
  <c r="CJ208" i="38"/>
  <c r="CD208" i="38"/>
  <c r="CI208" i="38"/>
  <c r="CB208" i="38"/>
  <c r="CL208" i="38"/>
  <c r="BZ208" i="38"/>
  <c r="CG208" i="38"/>
  <c r="CH208" i="38"/>
  <c r="BH185" i="33"/>
  <c r="C44" i="42" s="1"/>
  <c r="O44" i="42" s="1"/>
  <c r="P44" i="42" s="1"/>
  <c r="E70" i="20" l="1"/>
  <c r="G44" i="42"/>
  <c r="CC44" i="38" l="1"/>
  <c r="CC207" i="38" s="1"/>
  <c r="CC208" i="38" s="1"/>
  <c r="M44" i="42"/>
  <c r="N44" i="42" s="1"/>
  <c r="J69" i="49" a="1"/>
  <c r="J69" i="49" s="1"/>
  <c r="H69" i="49" a="1"/>
  <c r="H69" i="49" s="1"/>
  <c r="E44" i="45"/>
  <c r="F70" i="20"/>
  <c r="B75" i="42"/>
  <c r="C75" i="42" s="1"/>
  <c r="J72" i="49" a="1"/>
  <c r="J72" i="49" s="1"/>
  <c r="I75" i="49" a="1"/>
  <c r="I75" i="49" s="1"/>
  <c r="H44" i="42"/>
  <c r="I44" i="42" s="1"/>
  <c r="J44" i="42" s="1"/>
  <c r="H77" i="49" a="1"/>
  <c r="H77" i="49" s="1"/>
  <c r="B11" i="49" a="1"/>
  <c r="B11" i="49" s="1"/>
  <c r="I70" i="49" a="1"/>
  <c r="I70" i="49" s="1"/>
  <c r="C102" i="42"/>
  <c r="B70" i="42"/>
  <c r="C70" i="42" s="1"/>
  <c r="I68" i="49" l="1" a="1"/>
  <c r="I68" i="49" s="1"/>
  <c r="H78" i="49" a="1"/>
  <c r="H78" i="49" s="1"/>
  <c r="B75" i="49"/>
  <c r="F75" i="49" s="1"/>
  <c r="B25" i="39"/>
  <c r="B12" i="45" s="1"/>
  <c r="J74" i="49" a="1"/>
  <c r="J74" i="49" s="1"/>
  <c r="J77" i="49" a="1"/>
  <c r="J77" i="49" s="1"/>
  <c r="I73" i="49" a="1"/>
  <c r="I73" i="49" s="1"/>
  <c r="I78" i="49" a="1"/>
  <c r="I78" i="49" s="1"/>
  <c r="G2" i="45" a="1"/>
  <c r="G2" i="45" s="1"/>
  <c r="F44" i="45" a="1"/>
  <c r="F44" i="45" s="1"/>
  <c r="H75" i="49" a="1"/>
  <c r="H75" i="49" s="1"/>
  <c r="I77" i="49" a="1"/>
  <c r="I77" i="49" s="1"/>
  <c r="I71" i="49" a="1"/>
  <c r="I71" i="49" s="1"/>
  <c r="J73" i="49" a="1"/>
  <c r="J73" i="49" s="1"/>
  <c r="J71" i="49" a="1"/>
  <c r="J71" i="49" s="1"/>
  <c r="I74" i="49" a="1"/>
  <c r="I74" i="49" s="1"/>
  <c r="H68" i="49" a="1"/>
  <c r="H68" i="49" s="1"/>
  <c r="J70" i="49" a="1"/>
  <c r="J70" i="49" s="1"/>
  <c r="J78" i="49" a="1"/>
  <c r="J78" i="49" s="1"/>
  <c r="H71" i="49" a="1"/>
  <c r="H71" i="49" s="1"/>
  <c r="H73" i="49" a="1"/>
  <c r="H73" i="49" s="1"/>
  <c r="I69" i="49" a="1"/>
  <c r="I69" i="49" s="1"/>
  <c r="I72" i="49" a="1"/>
  <c r="I72" i="49" s="1"/>
  <c r="H70" i="49" a="1"/>
  <c r="H70" i="49" s="1"/>
  <c r="J75" i="49" a="1"/>
  <c r="J75" i="49" s="1"/>
  <c r="B78" i="49"/>
  <c r="F78" i="49" s="1"/>
  <c r="B20" i="39"/>
  <c r="B7" i="45" s="1"/>
  <c r="F70" i="42"/>
  <c r="J68" i="49" a="1"/>
  <c r="J68" i="49" s="1"/>
  <c r="H72" i="49" a="1"/>
  <c r="H72" i="49" s="1"/>
  <c r="H74" i="49" a="1"/>
  <c r="H74" i="49" s="1"/>
  <c r="B25" i="49"/>
  <c r="C8" i="40"/>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<sst xmlns="http://schemas.openxmlformats.org/spreadsheetml/2006/main" count="6751" uniqueCount="3013">
  <si>
    <t>IMC</t>
  </si>
  <si>
    <t>PSA (ng/ml)</t>
  </si>
  <si>
    <t>Acide Urique (microMol/l)</t>
  </si>
  <si>
    <t>Calcium sang (milliMol/l)</t>
  </si>
  <si>
    <t>Cholesterol total (milliMol/l)</t>
  </si>
  <si>
    <t>Cholesterol HDL (milliMol/l)</t>
  </si>
  <si>
    <t>Hb glyquée (%)</t>
  </si>
  <si>
    <t>Triglycerides (milliMol/l)</t>
  </si>
  <si>
    <t>Ferritine (ng/ml)</t>
  </si>
  <si>
    <t>Vitamine D (ng/ml)</t>
  </si>
  <si>
    <t>CPK (UI/l)</t>
  </si>
  <si>
    <t>GGT (UI/l)</t>
  </si>
  <si>
    <t>Hémoglobine (g/dl)</t>
  </si>
  <si>
    <t>Leucocytes (G/L)</t>
  </si>
  <si>
    <t>Lymphocytes (G/L)</t>
  </si>
  <si>
    <t>Plaquettes (G/L)</t>
  </si>
  <si>
    <t>VMP (fl)</t>
  </si>
  <si>
    <t>ALAT (UI/L)</t>
  </si>
  <si>
    <t>ASAT (UI/L)</t>
  </si>
  <si>
    <t>TSH (microIU/ml)</t>
  </si>
  <si>
    <t>MAN</t>
  </si>
  <si>
    <t>WOMAN</t>
  </si>
  <si>
    <t>AFRICAN</t>
  </si>
  <si>
    <t>ASIAN</t>
  </si>
  <si>
    <t>CONSTANT</t>
  </si>
  <si>
    <t>X</t>
  </si>
  <si>
    <t>X^2</t>
  </si>
  <si>
    <t>AGE</t>
  </si>
  <si>
    <t>Genet(MAX)</t>
  </si>
  <si>
    <t>Environ(MAX)</t>
  </si>
  <si>
    <t>TESTS</t>
  </si>
  <si>
    <t>Ref-Current</t>
  </si>
  <si>
    <t>Patient-Current</t>
  </si>
  <si>
    <t>EthnieRisk</t>
  </si>
  <si>
    <t>Référence</t>
  </si>
  <si>
    <t>Hypertrophie prostatique</t>
  </si>
  <si>
    <t>Insuffisance rénale</t>
  </si>
  <si>
    <t>Lithiase urinaire</t>
  </si>
  <si>
    <t>Ostéopénie</t>
  </si>
  <si>
    <t>Cancer du colon</t>
  </si>
  <si>
    <t>Stéatose hépatique</t>
  </si>
  <si>
    <t>Insuffisance thyroidienne</t>
  </si>
  <si>
    <t>Dyslipidémie</t>
  </si>
  <si>
    <t>Diabéte</t>
  </si>
  <si>
    <t>Syndrome métabolique</t>
  </si>
  <si>
    <t>Thrombophlébite</t>
  </si>
  <si>
    <t>Anévrysme et artériopathie</t>
  </si>
  <si>
    <t>Accident vasculaire cérébral</t>
  </si>
  <si>
    <t>Cardiopathie ischémique</t>
  </si>
  <si>
    <t>Cancer du poumon</t>
  </si>
  <si>
    <t>Cancer ORL</t>
  </si>
  <si>
    <t>Asthme et BPCO</t>
  </si>
  <si>
    <t>Mélanome</t>
  </si>
  <si>
    <t>Cancers Sein-Ovaire-Utérus</t>
  </si>
  <si>
    <t>Cancer de la prostate</t>
  </si>
  <si>
    <t>Risques</t>
  </si>
  <si>
    <t>Actuel</t>
  </si>
  <si>
    <t>ATCPperso</t>
  </si>
  <si>
    <t>PSA corrigé</t>
  </si>
  <si>
    <t>RR-Pca-T</t>
  </si>
  <si>
    <t>RR-Lithiase-T</t>
  </si>
  <si>
    <t>Homme</t>
  </si>
  <si>
    <t>Femme</t>
  </si>
  <si>
    <t>SYSTOLIC</t>
  </si>
  <si>
    <t>TREATED</t>
  </si>
  <si>
    <t>Cholesterol</t>
  </si>
  <si>
    <t>DIABETE</t>
  </si>
  <si>
    <t>SMOKER</t>
  </si>
  <si>
    <t>TOTAL</t>
  </si>
  <si>
    <t>Dyslipidémie-T</t>
  </si>
  <si>
    <t>Diabéte-T</t>
  </si>
  <si>
    <t>Tour de taille</t>
  </si>
  <si>
    <t>Ref-5years</t>
  </si>
  <si>
    <t>Fumeur</t>
  </si>
  <si>
    <t>Alcool</t>
  </si>
  <si>
    <t>Activité</t>
  </si>
  <si>
    <t>Alimentation</t>
  </si>
  <si>
    <t>Patient-5years</t>
  </si>
  <si>
    <t>Soleil</t>
  </si>
  <si>
    <t>Lpa (g/l)</t>
  </si>
  <si>
    <t>A 5 ans</t>
  </si>
  <si>
    <t>Q1 - REFERENCE</t>
  </si>
  <si>
    <t>0</t>
  </si>
  <si>
    <t>1</t>
  </si>
  <si>
    <t>CRP us (mg/l)</t>
  </si>
  <si>
    <t>IMPORT</t>
  </si>
  <si>
    <t>Score</t>
  </si>
  <si>
    <t>GENETIQUE</t>
  </si>
  <si>
    <t>Y</t>
  </si>
  <si>
    <t>N</t>
  </si>
  <si>
    <t>2 ou plus</t>
  </si>
  <si>
    <t>Risque faible</t>
  </si>
  <si>
    <t>Risque moyen</t>
  </si>
  <si>
    <t>Risque élevé</t>
  </si>
  <si>
    <t>Risque très élevé</t>
  </si>
  <si>
    <t>Cancer Col Utérus</t>
  </si>
  <si>
    <t>Cancers Sein-Ovaire-Endométre</t>
  </si>
  <si>
    <t>Mesologiques</t>
  </si>
  <si>
    <t>Tests</t>
  </si>
  <si>
    <t>SexRisk</t>
  </si>
  <si>
    <t>FIB4</t>
  </si>
  <si>
    <t>1,45-3,25</t>
  </si>
  <si>
    <t>Risk CV</t>
  </si>
  <si>
    <t>Score CV</t>
  </si>
  <si>
    <t>Créatininémie (microMol/l)</t>
  </si>
  <si>
    <t>Autres</t>
  </si>
  <si>
    <t>FIB4= [Age x ASAT] / [plaquettes x √ALAT ]</t>
  </si>
  <si>
    <t>Actions recommandées</t>
  </si>
  <si>
    <t>Risques actionnables</t>
  </si>
  <si>
    <t>Améliorer sa morphologie</t>
  </si>
  <si>
    <t>Améliorer sa condition physique</t>
  </si>
  <si>
    <t>Arréter de Fumeur</t>
  </si>
  <si>
    <t>Réduire l' Alcool</t>
  </si>
  <si>
    <t>Changer son alimentation</t>
  </si>
  <si>
    <t>Score FIB4 (NASH)</t>
  </si>
  <si>
    <t>à 10 ans</t>
  </si>
  <si>
    <t>risk actuel</t>
  </si>
  <si>
    <t>risk 5 ans</t>
  </si>
  <si>
    <t>Age5</t>
  </si>
  <si>
    <t>Total</t>
  </si>
  <si>
    <t>Cockcroft et Gault</t>
  </si>
  <si>
    <t>Synd Met</t>
  </si>
  <si>
    <t>diabete</t>
  </si>
  <si>
    <t>dyslipidemie</t>
  </si>
  <si>
    <t>HTA</t>
  </si>
  <si>
    <t>supplémentation en Vitamine D</t>
  </si>
  <si>
    <t>MAX</t>
  </si>
  <si>
    <t>Avec action</t>
  </si>
  <si>
    <t>Cholesterol LDL (g/l)</t>
  </si>
  <si>
    <t>Test</t>
  </si>
  <si>
    <t>Units</t>
  </si>
  <si>
    <t>Results</t>
  </si>
  <si>
    <t>Lipoproteine-a</t>
  </si>
  <si>
    <t>g/L</t>
  </si>
  <si>
    <t>Total Cholesterol</t>
  </si>
  <si>
    <t>g/l</t>
  </si>
  <si>
    <t>Cholesterol HDL</t>
  </si>
  <si>
    <t>Cholesterol LDL</t>
  </si>
  <si>
    <t>Triglycerides</t>
  </si>
  <si>
    <t>Protein C-Reactive ULTRASENSITIVE</t>
  </si>
  <si>
    <t>mg/L</t>
  </si>
  <si>
    <t>Blood glucose</t>
  </si>
  <si>
    <t>Hb1Ac</t>
  </si>
  <si>
    <t>%</t>
  </si>
  <si>
    <t>PSA</t>
  </si>
  <si>
    <t>ng/mL</t>
  </si>
  <si>
    <t>Hb</t>
  </si>
  <si>
    <t>g/dL</t>
  </si>
  <si>
    <t>VGM</t>
  </si>
  <si>
    <t>fL</t>
  </si>
  <si>
    <t>Erythrocytes</t>
  </si>
  <si>
    <t>T/L</t>
  </si>
  <si>
    <t>Leucocytes</t>
  </si>
  <si>
    <t>G/L</t>
  </si>
  <si>
    <t>Neutrophils</t>
  </si>
  <si>
    <t>Eosinophils</t>
  </si>
  <si>
    <t>Lymphocytes</t>
  </si>
  <si>
    <t>Platelets</t>
  </si>
  <si>
    <t>Iron blood</t>
  </si>
  <si>
    <t>µmol/L</t>
  </si>
  <si>
    <t>Ferritin</t>
  </si>
  <si>
    <t>µg/L</t>
  </si>
  <si>
    <t>Transferrin saturation</t>
  </si>
  <si>
    <t>ALAT</t>
  </si>
  <si>
    <t>UI/l</t>
  </si>
  <si>
    <t>ASAT</t>
  </si>
  <si>
    <t>GGT</t>
  </si>
  <si>
    <t>UI/L</t>
  </si>
  <si>
    <t>ng/ml</t>
  </si>
  <si>
    <t>micromol/l</t>
  </si>
  <si>
    <t>Testosterone</t>
  </si>
  <si>
    <t>nmol/l</t>
  </si>
  <si>
    <t>Bioavalaible Testosterone</t>
  </si>
  <si>
    <t>TSH</t>
  </si>
  <si>
    <t>mUI/L</t>
  </si>
  <si>
    <t>Cortisol blood</t>
  </si>
  <si>
    <t>micromol/L</t>
  </si>
  <si>
    <t>10microg/100ml</t>
  </si>
  <si>
    <t>Uric Acid Blood</t>
  </si>
  <si>
    <t>Vitamin B6</t>
  </si>
  <si>
    <t>nmol/L</t>
  </si>
  <si>
    <t>Creatinine blood</t>
  </si>
  <si>
    <t>Glomerular filtration rate</t>
  </si>
  <si>
    <t>mL/min/1,73m²</t>
  </si>
  <si>
    <t>Hemoglobinuria</t>
  </si>
  <si>
    <t>Positive/Negative</t>
  </si>
  <si>
    <t>Diuresis (24h)</t>
  </si>
  <si>
    <t>ml/24h</t>
  </si>
  <si>
    <t>Calcium Urine</t>
  </si>
  <si>
    <t>mmol/24h</t>
  </si>
  <si>
    <t>Urea urine</t>
  </si>
  <si>
    <t>Urate urine</t>
  </si>
  <si>
    <t>mg/24h</t>
  </si>
  <si>
    <t>pH urine</t>
  </si>
  <si>
    <t>Urine density</t>
  </si>
  <si>
    <t>creatinine urine</t>
  </si>
  <si>
    <t>sodium urine</t>
  </si>
  <si>
    <t>Proteinuria</t>
  </si>
  <si>
    <t>g/24h</t>
  </si>
  <si>
    <t>Glycosuria</t>
  </si>
  <si>
    <t>Bilirubin urine</t>
  </si>
  <si>
    <t>Creat g</t>
  </si>
  <si>
    <t>Urée g</t>
  </si>
  <si>
    <t>Age</t>
  </si>
  <si>
    <t>Weight (kg)</t>
  </si>
  <si>
    <t>Height (cm)</t>
  </si>
  <si>
    <t>BMI</t>
  </si>
  <si>
    <t>Neutro/lymph</t>
  </si>
  <si>
    <t>Testo score</t>
  </si>
  <si>
    <t>DHT/T</t>
  </si>
  <si>
    <t>Cortisol/DHEAS&lt;0.1</t>
  </si>
  <si>
    <t>VitaD&lt;30</t>
  </si>
  <si>
    <t>Calciuria</t>
  </si>
  <si>
    <t>Uricosurie</t>
  </si>
  <si>
    <t>Natriurese</t>
  </si>
  <si>
    <t>Densité</t>
  </si>
  <si>
    <t>Na cunsumption g/j</t>
  </si>
  <si>
    <t>besoins</t>
  </si>
  <si>
    <t>Protein cunsumption g/j</t>
  </si>
  <si>
    <t>Sex</t>
  </si>
  <si>
    <t>%sarcopeniaH</t>
  </si>
  <si>
    <t>%sarcopeniaF</t>
  </si>
  <si>
    <t>CRP&gt;3</t>
  </si>
  <si>
    <t>Blood deficiency score</t>
  </si>
  <si>
    <t>Urolithiasisscore</t>
  </si>
  <si>
    <t>mmol/l</t>
  </si>
  <si>
    <t>Ratio Cholesterol Total/HDL</t>
  </si>
  <si>
    <t>faible&lt;3,4</t>
  </si>
  <si>
    <t>Moyen&lt;5</t>
  </si>
  <si>
    <t>microg/100ml</t>
  </si>
  <si>
    <t>mg/l</t>
  </si>
  <si>
    <t>Meq/24h</t>
  </si>
  <si>
    <t>NUTRITION</t>
  </si>
  <si>
    <t>muscleH theorique</t>
  </si>
  <si>
    <t>MuscleF theorique</t>
  </si>
  <si>
    <t>Creatmuscle calculé</t>
  </si>
  <si>
    <t>riskAge</t>
  </si>
  <si>
    <t>Réduire l'Alcool</t>
  </si>
  <si>
    <t>Pathologies</t>
  </si>
  <si>
    <t>Score FIB4</t>
  </si>
  <si>
    <t>Qualité de vie</t>
  </si>
  <si>
    <t>Qualité sommeil</t>
  </si>
  <si>
    <t>Patient-5yearssimulateur</t>
  </si>
  <si>
    <t>à5ans</t>
  </si>
  <si>
    <t>Risques à 5 ans %</t>
  </si>
  <si>
    <t>Satisfaction</t>
  </si>
  <si>
    <t>Diabéte de type 2</t>
  </si>
  <si>
    <t>Cancers de la sphère ORL</t>
  </si>
  <si>
    <t>Cancer du colon et du rectum</t>
  </si>
  <si>
    <t>Diabéte type 2</t>
  </si>
  <si>
    <t>Maladie du Foie et lithiase biliaire</t>
  </si>
  <si>
    <t>Appareil urinaire</t>
  </si>
  <si>
    <t>Appareil Digestif</t>
  </si>
  <si>
    <t>Appareil locomoteur</t>
  </si>
  <si>
    <t>Nerveuse et émotionnelle</t>
  </si>
  <si>
    <t>BMIpourpsa</t>
  </si>
  <si>
    <t>4 à 10</t>
  </si>
  <si>
    <t>4 à 5</t>
  </si>
  <si>
    <t>150-450</t>
  </si>
  <si>
    <t>2a7</t>
  </si>
  <si>
    <t>1,5a4</t>
  </si>
  <si>
    <t>poidsIdéal</t>
  </si>
  <si>
    <t>RecommandéH</t>
  </si>
  <si>
    <t>kgmuscle=23/gcreaturine</t>
  </si>
  <si>
    <t>BMR = 10W + 6.25H - 5A + 5</t>
  </si>
  <si>
    <t>CalorieH</t>
  </si>
  <si>
    <t>BMR = 10W + 6.25H - 5A - 161</t>
  </si>
  <si>
    <t>CalorieF</t>
  </si>
  <si>
    <t>Alpha-1 globuline</t>
  </si>
  <si>
    <t>Alpha-2-globuline</t>
  </si>
  <si>
    <t>Gamma Globuline</t>
  </si>
  <si>
    <t>2,1a3,5</t>
  </si>
  <si>
    <t>5,1a8,5</t>
  </si>
  <si>
    <t>Inflammation</t>
  </si>
  <si>
    <t>Gammapathie</t>
  </si>
  <si>
    <t>L’IMC est une estimation de la graisse corporelle et une bonne jauge de votre risque de maladies qui peuvent survenir avec plus de graisse corporelle. Insuffisance pondérale : Inférieure à 18,5 : Normale : 18,5–24,9 ; Surpoids : 25,0–29,9 ; Obésité : 30,0 et plus</t>
  </si>
  <si>
    <t>Systolique: Faible &lt;90; Souhaitable: 90-120; Limite: 120-140; Haute &gt;140</t>
  </si>
  <si>
    <t>Diastolique: Faible &lt;60; Souhaitable: 60-80; Limite: 80-90; Haute &gt;90.</t>
  </si>
  <si>
    <t>nombre de calories quotidiennes à consommer chaque jour pour maintenir le poids</t>
  </si>
  <si>
    <t>nombre de calories quotidiennes à consommer chaque jour pour perdre du poids (0,25 kg / semaine)</t>
  </si>
  <si>
    <t>nombre de calories quotidiennes à consommer chaque jour pour prendre du poids (0,25 kg / semaine)</t>
  </si>
  <si>
    <t>Le cholestérol à lipoprotéines de basse densité (LDL-C) est largement reconnu comme un risque cardiovasculaire établi. Souhaitable : &lt;1g/dL ; Ci-dessus souhaitable: 1-1,29 g / L; Limite élevée : 1,30-1,59 g/L ; Haute : 1,60-1,89 g/L ; Très élevé : &gt; or = 1,90 g/L.</t>
  </si>
  <si>
    <t>L’augmentation des taux plasmatiques de triglycérides est révélatrice d’une anomalie métabolique et, avec un taux de cholestérol élevé, est considérée comme un facteur de risque de maladie athéroscléreuse. Normal : &lt;1,50 g/L; Limite élevée : 1,50-1,99 g/L ; Haute : 2-4,99 g/L ; Très élevé : &gt; ou =5g/L. En présence de facteurs de risque de maladie coronarienne, les valeurs limites élevées et élevées nécessitent une attention particulière. L’hyperlipidémie peut être héréditaire ou associée à une obstruction biliaire, à un diabète sucré, à un syndrome néphrotique, à une insuffisance rénale ou à des troubles métaboliques liés aux endocrinopathies. L’augmentation des triglycérides peut également être induite par des médicaments.</t>
  </si>
  <si>
    <t>La protéine C-réactive (CRP) est un biomarqueur de l’inflammation. Risque plus faible : &lt;2,0 mg/L; Risque plus élevé : &gt; or = 2,0 mg/L; Inflammation aiguë: &gt;10,0 mg / L. CRP augmente rapidement à l’inflammation des tissus. La CRP à haute sensibilité est plus précise que la CRP standard lors de la mesure des concentrations de base. Des valeurs supérieures à 2,0 mg/L suggèrent une probabilité accrue de développer une maladie cardiovasculaire ou des événements ischémiques. Les taux plasmatiques de CRP sont également un trait génétique quantitatif.</t>
  </si>
  <si>
    <t xml:space="preserve">Une HbA1c élevée doit être confirmée par une mesure répétée, sauf chez les personnes qui ont une augmentation de la glycémie plasmatique &gt;200 mg / dL. Les patients qui ont une HbA1c entre 5,7% et 6,4% sont considérés comme présentant un risque accru de développer un diabète à l’avenir. </t>
  </si>
  <si>
    <t>Des valeurs élevées d’alanine aminotransférase (ALT) sont observées dans les maladies hépatiques parenchymateuses avec destruction des hépatocytes. Les valeurs sont généralement au moins 10 fois supérieures à la plage normale. Dans l’hépatite infectieuse et d’autres affections inflammatoires affectant le foie, l’ALT est typiquement plus élevée que l’aspartate aminotransférase (AST), et le rapport ALT: AST, qui normalement et dans d’autres conditions est inférieur à 1, devient supérieur à l’unité. Les plages habituelles sont de 10 à 50 UI / L</t>
  </si>
  <si>
    <t>Des valeurs élevées d’aspartate aminotransférase (AST) sont observées dans les maladies hépatiques parenchymateuses avec destruction des hépatocytes. Les valeurs sont généralement au moins 10 fois supérieures à la plage normale. Les niveaux peuvent atteindre des valeurs allant jusqu’à 100 fois la limite supérieure de référence, bien que des élévations de 20 à 50 fois soient le plus souvent rencontrées. Des valeurs élevées d’AST peuvent également être observées dans les troubles affectant le cœur, les muscles squelettiques et les reins. Les plages habituelles sont de 10 à 50 UI / L.</t>
  </si>
  <si>
    <t>La gamma-glutamyl transférase est l’indicateur enzymatique le plus sensible des maladies du foie. Les plages habituelles sont de 8 à 61 UI / L</t>
  </si>
  <si>
    <t>Les plages habituelles sont de 7 à 11 mg / l (60 et 95 μmol / L) la créatinine sérique est inversement corrélée avec le taux de filtration glomérulaire (DFG). la génération de créatinine dépend de la masse musculaire. Ainsi, les jeunes hommes musclés peuvent avoir des taux sériques de créatinine significativement plus élevés que les femmes âgées, malgré des DFG similaires.</t>
  </si>
  <si>
    <t>DFG mL/min/1,73 m(2) : &gt;90; Légèrement diminué; 60 à 89; Légèrement à modérément diminué; 45 à 59 ans; Diminution modérée à sévère; 30-44; Sévèrement diminué; 15-29; Insuffisance rénale &lt;15</t>
  </si>
  <si>
    <t>les valeurs NLR normales sont &lt;2,5. NLR évalue l’état inflammatoire. Il a prouvé son utilité dans la stratification de la mortalité dans les événements cardiaques majeurs, en tant que facteur pronostique fort dans plusieurs types de cancers</t>
  </si>
  <si>
    <t>MÉTRIQUE</t>
  </si>
  <si>
    <t>Indice de masse corporelle</t>
  </si>
  <si>
    <t>Diurèse (24h)</t>
  </si>
  <si>
    <t>COMORBIDITÉ</t>
  </si>
  <si>
    <t>BIOLOGIE</t>
  </si>
  <si>
    <t>Érythrocytes de volume corpusculaire moyen (MCV)</t>
  </si>
  <si>
    <t>Érythrocytes</t>
  </si>
  <si>
    <t>Leucocyturie</t>
  </si>
  <si>
    <t>pH de l’urine</t>
  </si>
  <si>
    <t>Commentaires</t>
  </si>
  <si>
    <t> masse muscleH=0,407 * poids en kg + 0,267 * taille en cm – 19,2</t>
  </si>
  <si>
    <t>1 g de protéines par kilo de poids ideal et par jour </t>
  </si>
  <si>
    <t>Examenrécents</t>
  </si>
  <si>
    <r>
      <t>Femmes : 0,252 * </t>
    </r>
    <r>
      <rPr>
        <b/>
        <sz val="12"/>
        <color rgb="FF202124"/>
        <rFont val="Calibri"/>
        <family val="2"/>
        <scheme val="minor"/>
      </rPr>
      <t>poids</t>
    </r>
    <r>
      <rPr>
        <sz val="12"/>
        <color rgb="FF202124"/>
        <rFont val="Calibri"/>
        <family val="2"/>
        <scheme val="minor"/>
      </rPr>
      <t> en kg + 0,473 * taille en cm – 48,3</t>
    </r>
  </si>
  <si>
    <t>Densité de l’urine</t>
  </si>
  <si>
    <t>Regional</t>
  </si>
  <si>
    <t>Smoking</t>
  </si>
  <si>
    <t>Systolic</t>
  </si>
  <si>
    <t>Cholesteroltot</t>
  </si>
  <si>
    <t>Cholesterolhdl</t>
  </si>
  <si>
    <t>mmol</t>
  </si>
  <si>
    <t>Un haut risque &gt;1,5 est associé au risque de formation de calculs urinaires</t>
  </si>
  <si>
    <t>Le poids idéal a été introduit pour estimer les doses à usage médical.  Il est également largement utilisé dans tous les sports.</t>
  </si>
  <si>
    <t>insuffissance renale</t>
  </si>
  <si>
    <t>0=Très satisfaisant</t>
  </si>
  <si>
    <t>1=Assez satisfaisant</t>
  </si>
  <si>
    <t>2=Peu satisfaisant</t>
  </si>
  <si>
    <t>3=Pas du tout satisfaisant</t>
  </si>
  <si>
    <t>0=Jamais de fuite d’urine</t>
  </si>
  <si>
    <t>1=Moins d’une fuite d’urine par semaine</t>
  </si>
  <si>
    <t>2=Plusieurs fuites d’urine par semaine</t>
  </si>
  <si>
    <t>3=Plusieurs fuites d’urine par jour</t>
  </si>
  <si>
    <t>0=Plus de 15 minutes</t>
  </si>
  <si>
    <t>1=De 6 à 15 minutes</t>
  </si>
  <si>
    <t>2=De 1 à 5 minutes</t>
  </si>
  <si>
    <t>3=Moins de 1 minute</t>
  </si>
  <si>
    <t>Vitamin D</t>
  </si>
  <si>
    <t>Lors d’abus d’alcool, on observe un rapport ASAT/ALAT ≥ 2 contrairement aux autres causes d’augmentation des transaminases qui provoquent souvent un rapport ASAT/ALAT &lt; 2.</t>
  </si>
  <si>
    <t>Le scor FIB4 est un score utilisé pour le dépistage de la fibrose hépatique. &lt;1,3 Normal; 1,3-2,67 Intermédiaire à surveiller &gt;2,67 Anormal</t>
  </si>
  <si>
    <t>Volume prostate cc (Echographie)</t>
  </si>
  <si>
    <t>PSAD</t>
  </si>
  <si>
    <t xml:space="preserve">La densité du PSA est calculée comme PSA total (ng/ml) divisé par le volume de la prostate (ml). La valeur normale habituelle est PSAD &lt;0,12 </t>
  </si>
  <si>
    <t>Glycémie à jeun</t>
  </si>
  <si>
    <t>Irénale</t>
  </si>
  <si>
    <t>&lt;3,5</t>
  </si>
  <si>
    <t>&gt;1,4</t>
  </si>
  <si>
    <t>&lt;5</t>
  </si>
  <si>
    <r>
      <t>40 à 60 mg/L</t>
    </r>
    <r>
      <rPr>
        <sz val="8"/>
        <color rgb="FF303030"/>
        <rFont val="Arial"/>
        <family val="2"/>
      </rPr>
      <t> (ou 240 à 360 umol/l)</t>
    </r>
  </si>
  <si>
    <t>Calcium blood</t>
  </si>
  <si>
    <t>2.2-2.6 mmol/l</t>
  </si>
  <si>
    <t>milliMol/l</t>
  </si>
  <si>
    <t>mg/dl</t>
  </si>
  <si>
    <t>L’augmentation de la taille de la prostate et les lésions tissulaires de la prostate causées par une hypertrophie bénigne de la prostate, une prostatite ou un cancer de la prostate peuvent augmenter les taux de PSA circulants de plus de 3 ng / ml. La sécrétion de PSA diminue également avec un déficit hormonal masculin. Ainsi le taux de PSA peut être corrigé par différents facteurs (Voir PSA corrigé) et interprété par la densité du PSA si le volume de la prostate est connu</t>
  </si>
  <si>
    <t>L’hyperuricémie est le plus souvent définie par des concentrations supérieures à 80 mg/L (420mcromol/l) chez les hommes ou supérieures à 61 mg/L (360micromol/l) chez les femmes. Les principales causes sont l’augmentation de la synthèse de la purine, les troubles métaboliques héréditaires, l’apport alimentaire excessif en purine, l’augmentation du renouvellement des acides nucléiques, la malignité, les médicaments cytotoxiques et la diminution de l’excrétion due à une insuffisance rénale chronique ou à une réabsorption rénale accrue. Un suivi à long terme de ces patients est entrepris parce que beaucoup sont à risque de développer une maladie rénale; peu de ces patients développent le syndrome clinique de la goutte.</t>
  </si>
  <si>
    <t xml:space="preserve">Un pH &gt;6,5 est associé aux calculs de phosphate de calcium avec une infection des voies urinaires (bactéries fendant l’urée) ou une acidose tubulaire distale. Le pH &lt;5,2 est lié au risque de calculs uriques acides.
</t>
  </si>
  <si>
    <t>Positive</t>
  </si>
  <si>
    <t>Negative</t>
  </si>
  <si>
    <t>Hemoglobinuria (dipstick test) or Hematuria (CBEU&gt;1000/ml)</t>
  </si>
  <si>
    <t>Leucocyturia (dipstick test) or leucocyturia (CBEU&gt;1000/ml)</t>
  </si>
  <si>
    <t>Nitrite in urine or bacteriuria CBEU ≥ 100.00/ml</t>
  </si>
  <si>
    <t>Hémoglobinurie/hématurie</t>
  </si>
  <si>
    <t> La présence de leucocytes dans les urines est un signe d’infection ou d’inflammation des voies urinaires. La bandelette urinaire peut la détecter, les valeurs normales usuelles sur l'examen cytobacteriologique des urines (ECBU) sont  &lt;10 000 leucocytes /ml</t>
  </si>
  <si>
    <t>La présence d'hémoglobine dans les urines peut être détectée par la bandelette urinaire, si elle est positive elle témoigne soit d'une hématurie (globules rouges dans l’urine &gt;10 hématies/mm3 sur un examen cytobacterologique des urine (ECBU)) soit à de l'hémoglobine comme dans les anémies hémolytiques et justifie une investigation plus approfondie. La présence de plus de 10000 hématies /Ml correspond à une hématurie.</t>
  </si>
  <si>
    <t>Nitrites /Bactériurie</t>
  </si>
  <si>
    <t>Sur l'examen cytobacteriologique des urines (ECBU) une  bactériurie &lt; 1000 UFC/mL indique une absence d’infection (si le patient n’est pas sous antibiothérapie, ni hyperhydraté et si le temps de d’abstinence urinaire est supérieur à 3 h). Une bactériurie ≥ 10000 UFC/mL indique très souvent  une infection urinaire. La bandelette urinaire peut détecter des nitites dans les urines qui fait suspecter une infections urinaire qui doit être confirmée par un ECBU.</t>
  </si>
  <si>
    <t>Glycosurie (bandelette ou dosage)</t>
  </si>
  <si>
    <t>Bilirubine urinaire (bandelette ou dosage)</t>
  </si>
  <si>
    <t>Proteinurie</t>
  </si>
  <si>
    <t>Une proteinurie témoigne d'une atteinte rénale, qu’elle soit tubulaire ou glomérulaire. Une protéinurie peut être suspectée sur la bandelette urinaire. Pour confirmer la proteinurie un dosage sur 24 heures.Les valeurs normales sont moins de 30mg/24 heures.</t>
  </si>
  <si>
    <t>Resultats</t>
  </si>
  <si>
    <t>Code couleur</t>
  </si>
  <si>
    <t>Normal</t>
  </si>
  <si>
    <t>Action</t>
  </si>
  <si>
    <t>Controler</t>
  </si>
  <si>
    <t>pas de code</t>
  </si>
  <si>
    <t>&lt;0,18 ou &gt;0,29</t>
  </si>
  <si>
    <t>0,25-0,29</t>
  </si>
  <si>
    <t>0,18-0,24</t>
  </si>
  <si>
    <t>&lt;80</t>
  </si>
  <si>
    <t>80-88</t>
  </si>
  <si>
    <t>&gt;88</t>
  </si>
  <si>
    <t>90-120</t>
  </si>
  <si>
    <t>120-140</t>
  </si>
  <si>
    <t>&lt;90 ou &gt;140</t>
  </si>
  <si>
    <t>80-84</t>
  </si>
  <si>
    <t>&gt;85</t>
  </si>
  <si>
    <t>750-2500</t>
  </si>
  <si>
    <t>&lt;500 ou  &gt;3000</t>
  </si>
  <si>
    <t>500-750 ou 2500-3000</t>
  </si>
  <si>
    <t>Le volume normal des urines par jour (diurérése) est entre 750 - 2500 ml. Une  diurèse élevée (polyurie), peut révéler un diabète sucré, ou un diabéte insipide (carence en hormone antidiurétique), une maladie rénale, des médicaments diurétiques ; ou une addiction l'eau (potomanie). Une diurése insuffisante est généralement due a une hydratation insuffisante, elle expose à la lithiase rénale. parfois elle peut révéler une maladie rénale</t>
  </si>
  <si>
    <t>30-50</t>
  </si>
  <si>
    <t xml:space="preserve">10-30 ou 50-80 </t>
  </si>
  <si>
    <t>&lt;10 ou &gt;80</t>
  </si>
  <si>
    <t>&lt;10 ng/mL (carence grave); 10-30 ng / mL (carence légère à modérée); 30-50 ng/mL (niveaux optimaux); 51-80 ng / mL (risque accru d’hypercalciurie et de lithiase rénale); &gt;80 ng/mL (toxicité possible). des niveaux inférieurs à 25 ng / mL sont associés à un risque accru d’hyperparathyroïdie secondaire, de densité minérale osseuse réduite et de fractures. Des niveaux inférieurs à 10 ng / mL peuvent entraîner une minéralisation inadéquate de l’ostéoïde nouvellement formé, entraînant une ostéomalacie.</t>
  </si>
  <si>
    <t>&gt;50%</t>
  </si>
  <si>
    <t>20%-50%</t>
  </si>
  <si>
    <t>&lt;20%</t>
  </si>
  <si>
    <t>le syndrome métabolique est associée à un risque de dyslipidémie, de diabète et d'événements cardiovasculaires. Un risque élevé est supérieur à 50 %. Risque intermédiaire : de 20 à 50 % et risque faible est inférieur à 20 %.</t>
  </si>
  <si>
    <t>&lt;30</t>
  </si>
  <si>
    <t>L'élévation du cholestérol est à interpréter en fonction de ses fractions LDL et HDL. le Cholesterol LDL  est un facteur de risque de mortalité cardio-vasculaire et la constitutionde lésions d'athérosclérose , mais l'association avec la gravité des lésions est inconstante. Souhaitable : &lt;2g/L ; Limite élevée : 2-2,39 g/L ; Élevé : &gt; ou = 2,40 g/L. Des valeurs supérieures à la plage normale indiquent la nécessité d’une analyse quantitative du profil des lipoprotéines.</t>
  </si>
  <si>
    <t>&lt;2</t>
  </si>
  <si>
    <t>&lt;1,6</t>
  </si>
  <si>
    <t>&lt;1,5</t>
  </si>
  <si>
    <t>1,5-5</t>
  </si>
  <si>
    <t>&gt;5</t>
  </si>
  <si>
    <t>1,6-1,9</t>
  </si>
  <si>
    <t>&gt;1,9</t>
  </si>
  <si>
    <t>Les valeurs anormales sont faibles HDL : &lt;0,4 g/L pour les hommes et &lt;0,5 g/l pour les femmes. Un faible taux de cholestérol à lipoprotéines de haute densité (HDL) est en corrélation avec un risque accru de maladie coronarienne. Des valeurs supérieures ou égales à 0,8 à 1 g/L peuvent indiquer une réponse métabolique à certains médicaments tels que l’hormonothérapie substitutive, les maladies hépatiques chroniques ou une forme d’intoxication chronique, comme l’alcool, les métaux lourds ou les produits chimiques industriels, y compris les pesticides.</t>
  </si>
  <si>
    <t>&lt;0,4</t>
  </si>
  <si>
    <t>&gt;0,6</t>
  </si>
  <si>
    <t>0,4-0,6</t>
  </si>
  <si>
    <t>&gt;10</t>
  </si>
  <si>
    <t>H (Hight) élevé, N Normal, L (Low) bas. L’augmentation des gamma-globulines (&gt; 15 g/l) peut être d’origine polyclonale dans différentes pathologies infectieuses, autoimmunes ou hépatiques ou – d’origine monoclonale dans les gammapathies malignes.</t>
  </si>
  <si>
    <t>&lt;6 ou &gt;15</t>
  </si>
  <si>
    <t xml:space="preserve"> 6-15</t>
  </si>
  <si>
    <t xml:space="preserve"> 2-10</t>
  </si>
  <si>
    <t xml:space="preserve"> 3-6 ou 10-15</t>
  </si>
  <si>
    <t>Un score &gt;1 fait suspecter un état inflammatoire.</t>
  </si>
  <si>
    <t>&lt;0,8</t>
  </si>
  <si>
    <t>0,8-1</t>
  </si>
  <si>
    <t>&gt;1</t>
  </si>
  <si>
    <t>&lt;5,7%</t>
  </si>
  <si>
    <t>&gt;6,4%</t>
  </si>
  <si>
    <t>5,7-6,4%</t>
  </si>
  <si>
    <t>0,7-1</t>
  </si>
  <si>
    <t>&gt;1,26</t>
  </si>
  <si>
    <t>1-1,26</t>
  </si>
  <si>
    <t>A jeun, la glycémie doit se situer entre 0,70 g/L et 1,40 g/L. entre 0,70 grammes et 1 gramme de glucose par litre de sang. &lt; 0,70g/correspond à une hypoglycémie. Au-dessus d'1g/L il y a une hyperglycémie. Le diabète correspond à des taux de glycémie &gt;1,26g/L</t>
  </si>
  <si>
    <t>&lt;3</t>
  </si>
  <si>
    <t>&gt;6</t>
  </si>
  <si>
    <t xml:space="preserve"> 3-6</t>
  </si>
  <si>
    <t xml:space="preserve"> 11,6-16,6</t>
  </si>
  <si>
    <t>Les gammes habituelles sont pour les hommes 13,2-16,6 g / dL; et les femmes 11,6-15,0 g/dL . Un taux élévé d'hémoglogine fait suspecter une polyglogulie si il s'associe à un hématocrite &gt;49 % chez l'homme, &gt;48 % chez la femme.L’anémie est une baisse anormale du taux d’hémoglobine. Sa valeur seuil en dessous de laquelle on parle d’anémie est variable selon l’âge et le sexe. Les causes d’anémie sont multiples mais la carence en fer est la plus fréquente chez la femme.</t>
  </si>
  <si>
    <t>&lt;80 ou &gt;100</t>
  </si>
  <si>
    <t>78,2-97,9</t>
  </si>
  <si>
    <t>Le volume des globules rouges pet caractériser une anémie  comme microcytaire (MCV &lt;80), macrocytaire (MCV &gt;100) ou normocytaire selon MCV. Les gammes habituelles sont les suivantes:  78,2-97,9 /femtolitre.</t>
  </si>
  <si>
    <t>78,2-80 ou 97,9-100</t>
  </si>
  <si>
    <t>Les gammes habituelles sont Homme 4,35-5,65 x 10 (12) / L; Femmes 3,92-5,13 x 10(12)/L</t>
  </si>
  <si>
    <t>3,4-5,65</t>
  </si>
  <si>
    <t>&lt;3,4 ou &gt;5,65</t>
  </si>
  <si>
    <t>7-11,6 ou 16,6-18,4</t>
  </si>
  <si>
    <t>&lt;7 ou &gt;18,4</t>
  </si>
  <si>
    <t>3,4-9,6</t>
  </si>
  <si>
    <t>Les gammes habituelles sont : 3,4-9,6 x 10 (9) / L</t>
  </si>
  <si>
    <t>&lt;1,5 ou &gt;15</t>
  </si>
  <si>
    <t>&lt;1,5-3,4 ou &gt;9,6-15</t>
  </si>
  <si>
    <t>Les gammes habituelles sont  1,56-6,45 x 10 (9) / L</t>
  </si>
  <si>
    <t>Les plages habituelles sont 0,03-0,48 x 10 (9) / L</t>
  </si>
  <si>
    <t>1,56-6,45</t>
  </si>
  <si>
    <t>0,03-0,48</t>
  </si>
  <si>
    <t>0,95-3,07</t>
  </si>
  <si>
    <t>135-371</t>
  </si>
  <si>
    <t>&lt;0,5 ou &gt;7,5</t>
  </si>
  <si>
    <t>&gt;0,5</t>
  </si>
  <si>
    <t>Les plages habituelles sont 0,95-3,07 x 10(9)/L. , il existe de très nombreuses causes réactionnelles et transitoires. Une lymphocytose chronique (au-delà de 3 mois) devra être explorée. Le typage lymphocytaire est l’examen complémentaire de
1ière ligne. Le tabagisme chronique peut être la cause d’une lymphocytose modérée.</t>
  </si>
  <si>
    <t>3,07-4,5</t>
  </si>
  <si>
    <t>&lt;0,95 ou &gt;4,5</t>
  </si>
  <si>
    <t>Les gammes habituelles sont Hommes 135-317 x 10 (9) / L; Femmes 157-371 x 10(9)/L. Une valeur basse entraine un risque de saignement prolongé, d’épistaxis ou d’apparition d'hématomes. Une valeur élevée entraine un risque de thrombose</t>
  </si>
  <si>
    <t>&lt;100 ou &gt;600</t>
  </si>
  <si>
    <t xml:space="preserve"> 100-135 ou 371-600</t>
  </si>
  <si>
    <t>&gt;1000</t>
  </si>
  <si>
    <t>20-336</t>
  </si>
  <si>
    <t xml:space="preserve"> 10-20 ou 336-1000</t>
  </si>
  <si>
    <t>&lt;10 ou &gt;1000</t>
  </si>
  <si>
    <t>&gt;100</t>
  </si>
  <si>
    <t xml:space="preserve"> 50-100</t>
  </si>
  <si>
    <t>&lt;50</t>
  </si>
  <si>
    <t>&gt;200</t>
  </si>
  <si>
    <t>50-200</t>
  </si>
  <si>
    <t>&lt;61</t>
  </si>
  <si>
    <t xml:space="preserve"> 61-500</t>
  </si>
  <si>
    <t>&gt;500</t>
  </si>
  <si>
    <t xml:space="preserve"> 1-2</t>
  </si>
  <si>
    <t>&gt;2</t>
  </si>
  <si>
    <t>&lt;1</t>
  </si>
  <si>
    <t>&lt;1,3</t>
  </si>
  <si>
    <t>1,3-2,67</t>
  </si>
  <si>
    <t>&gt;2,67</t>
  </si>
  <si>
    <t>0,4-4</t>
  </si>
  <si>
    <t>&lt;0,4 ou &gt;4</t>
  </si>
  <si>
    <t>&lt;420</t>
  </si>
  <si>
    <t>420-700</t>
  </si>
  <si>
    <t>&gt;700</t>
  </si>
  <si>
    <t>&lt;11</t>
  </si>
  <si>
    <t>&gt;56</t>
  </si>
  <si>
    <t>&gt;60</t>
  </si>
  <si>
    <t>30-60</t>
  </si>
  <si>
    <t>1,5-2</t>
  </si>
  <si>
    <t>5,2-6,5</t>
  </si>
  <si>
    <t>&lt;5,2 ou &gt;6,5</t>
  </si>
  <si>
    <t>g/ml</t>
  </si>
  <si>
    <t>&lt;1001 ou &gt;1030</t>
  </si>
  <si>
    <t>1001-1030</t>
  </si>
  <si>
    <t>Une faible densité (SG) (&lt;1001) peut indiquer la présence d’un diabète insipide, une maladie causée par une altération du fonctionnement de l’hormone antidiurétique (ADH). Un faible taux de SG peut également survenir chez les patients atteints de glomérulonéphrite, de pyélonéphrite et d’autres anomalies rénales. Dans ces cas, le rein a perdu sa capacité de concentration en raison d’une lésion tubulaire. Un taux élevé de SG peut survenir en cas deshydratation</t>
  </si>
  <si>
    <t>&lt;0,12</t>
  </si>
  <si>
    <t>0,12-0,15</t>
  </si>
  <si>
    <t>&gt;0,15</t>
  </si>
  <si>
    <t>&lt;2,5</t>
  </si>
  <si>
    <t>&gt;2,5</t>
  </si>
  <si>
    <t>CPK (créatine phosphokinase)</t>
  </si>
  <si>
    <t>Les valeurs usuelles sont pour les Femmes: 29-168 UI/l et pour les Hommes: 30-200 UI/l. Un taux de CPK  élevé qpeut être dû à une souffrance musculaire, cardiaque ou cérébrale. Les causes peuvent être d’origine pathologique ou non.</t>
  </si>
  <si>
    <t>&lt;200</t>
  </si>
  <si>
    <t>200-1000</t>
  </si>
  <si>
    <t>Le PSA corrigé est le PSA total pondéré avec un algorithme basé sur les troubles des voies urinaires faibles et le déficit en androgènes. La valeur normale habituelle est &lt;3.</t>
  </si>
  <si>
    <t>Vide</t>
  </si>
  <si>
    <t>Poids corporel idéal (kg)</t>
  </si>
  <si>
    <t>tour de taille Hommes (cm)</t>
  </si>
  <si>
    <t>tour de taille Femmes (cm)</t>
  </si>
  <si>
    <t>Pression artérielle systolique (mmHg)</t>
  </si>
  <si>
    <t>Pression artérielle diastolique (mm Hg)</t>
  </si>
  <si>
    <t>Vitamine D2+D3 (ng/ml)</t>
  </si>
  <si>
    <t>Troubles métaboliques (score)</t>
  </si>
  <si>
    <t>Apnée du sommeil (score)</t>
  </si>
  <si>
    <t>Lipoprotéine-a (mg/dl)</t>
  </si>
  <si>
    <t>Cholestérol total (g/l)</t>
  </si>
  <si>
    <t>Cholestérol HDL (g/l)</t>
  </si>
  <si>
    <t>Cholestérol LDL (g/l)</t>
  </si>
  <si>
    <t>Triglycérides (g/l)</t>
  </si>
  <si>
    <t>Protéine C-Réactive ULTRASENSIBLE (mg/l)</t>
  </si>
  <si>
    <t>Profil  gammapathie (score)</t>
  </si>
  <si>
    <t>Statut inflammatoire (score)</t>
  </si>
  <si>
    <t>Hb1Ac (%)</t>
  </si>
  <si>
    <t>Taux d'Hémoglobine (g/dl)</t>
  </si>
  <si>
    <t>Les gammes habituelles sont les hommes: 24-336 ng/mlL, les femmes: 11-307 ng/ml. L’hypoferritinémie est associée à un risque de carence en fer et une anémie. La carence en fer latente se produit lorsque la ferritine sérique est faible sans faible taux d’hémoglobine. L’hyperferritinémie est associée à des conditions de surcharge en fer, y compris l’hémochromatose héréditaire où les concentrations peuvent dépasser 1 000 ng/ml. L’hyperferritinémie sans surcharge en fer peut être causée par des troubles hépatiques courants, des néoplasmes, une inflammation aiguë ou chronique et un syndrome héréditaire d’hyperferritinémie-cataracte.</t>
  </si>
  <si>
    <t>GGT (UI/L)</t>
  </si>
  <si>
    <t>TSH (mUI/L)</t>
  </si>
  <si>
    <t>Acide urique sang (micromol/L)</t>
  </si>
  <si>
    <t>Créatinine sang (mg/L)</t>
  </si>
  <si>
    <t>Taux de filtration glomérulaire mL/min/1,73 m(2)</t>
  </si>
  <si>
    <t>Risque de lithiase urinaire (Score)</t>
  </si>
  <si>
    <t>PSAD (Densité de l’antigène spécifique de la prostate) (score)</t>
  </si>
  <si>
    <t>PSA corrigé (ng/ml)</t>
  </si>
  <si>
    <t>Rapport neutrophiles-lymphocytes (NLR) (score)</t>
  </si>
  <si>
    <t>CPK (créatine phosphokinase) (UI/L)</t>
  </si>
  <si>
    <t>Calcium Urine/24h</t>
  </si>
  <si>
    <t>DHT</t>
  </si>
  <si>
    <t>Cortisol/DHEAS</t>
  </si>
  <si>
    <t>Dehydroepiandrosterone Sulfate(DHEAS)</t>
  </si>
  <si>
    <t>L’augmentation du rapport DHT/T &gt; 10% est associée à une hypertrophie évolutive de la prostate.</t>
  </si>
  <si>
    <t>L’augmentation du rapport Cortisol (micromole/l)/DHEAS(micromole/l) &gt;0,1 est associée à la dépression, au stress, au vieillissement et au déclin de la fonction immunitaire.</t>
  </si>
  <si>
    <t>Un apport élevé en sodium augmente la pression artérielle, c’est un facteur de risque de maladie cardiovasculaire. Il est recommandé de ne pas dépasser 5,8 grammes de NaCl (2,3 g de Na) par jour et une limite idéale de pas plus de 3,8 g de NaCl (1,5 g de Na) par jour.</t>
  </si>
  <si>
    <t>Il est recommandé de ne pas dépasser 0,8 g par kg de poids corporel idéal par jour. Un apport excessif en protéines peut augmenter le risque de certains cancers et stresser les reins par la voie de l’azote. Les régimes riches en protéines peuvent provoquer l’excrétion de calcium par les reins et entraîner une faiblesse osseuse générale, des calculs urinaires et de l’ostéoporose.</t>
  </si>
  <si>
    <t>Consommation recommandée de protéines (g quotidienne)</t>
  </si>
  <si>
    <t>Sarcopénie Femmes</t>
  </si>
  <si>
    <t>Sarcopénie Hommes</t>
  </si>
  <si>
    <t>Acide Urique urine/24h</t>
  </si>
  <si>
    <t>La Lp(a) est « la lipoprotéine la plus athérogène ». Lp(a) &gt;0,30g/L augmente le risque cardiovasculaire de 2 à 3 fois. Lp(a) est un trait génétique quantitatif.</t>
  </si>
  <si>
    <t>Rapport Cholesterol Total/HDL</t>
  </si>
  <si>
    <t>L’excrétion urinaire d’acide urique est élevée chez les patients présentant des calculs d’acide urique. En fonction du régime alimentaire: &lt;750 mg (4,5 mmol) / 24 heures est recommandé. Les niveaux d’acide urique dans l’urine sont élevés (hors cancers et hémopathies) après la consommation d’aliments riches en nucléoprotéines.</t>
  </si>
  <si>
    <t>&lt;0,3</t>
  </si>
  <si>
    <t>0,3-0,5</t>
  </si>
  <si>
    <t>Commentaires patients</t>
  </si>
  <si>
    <t>Un ratio &gt;4 est associé au risque cardiovasculaire</t>
  </si>
  <si>
    <t>&lt;250mg/24h</t>
  </si>
  <si>
    <t>&gt;100mg/24h</t>
  </si>
  <si>
    <t>&lt;750mg/24h</t>
  </si>
  <si>
    <t>&gt;4</t>
  </si>
  <si>
    <t>&gt;0,1</t>
  </si>
  <si>
    <t>&lt;0,3ng/ml</t>
  </si>
  <si>
    <t>&lt;4g/j</t>
  </si>
  <si>
    <t>Les plages habituelles sont de 0,7 à 3,4 ng / ml (2,4 à 11,7 nmol / l). La testostérone circulante est liée à la globuline liant les hormones sexuelles (SHBG). la testostérone non liée à la SHBG est donc considérée comme biodisponible. La testostérone biodisponible est un meilleur reflet du composant biologiquement actif de la testostérone. BT diminue de 1% / an avec l’âge.</t>
  </si>
  <si>
    <t>Neutrophiles (G/L)</t>
  </si>
  <si>
    <t>H</t>
  </si>
  <si>
    <t>Normal est « 0 ». La réabsorption du glucose par les tubules rénaux est un processus saturable, et une glycémie supérieure à 160 mg/dL entraîne une plus grande quantité de glucose dans l’ultrafiltrat que ce qui peut être résorbé par les tubules rénaux. la glycosurie doit être négative sur la bandelette urinaire et inférieur à 15mg/dl.</t>
  </si>
  <si>
    <t>Normal est « 0 ». Un taux élevé de bilirubine urinaire est évocateur d’une maladie hépatocellulaire ou d’une obstruction biliaire post-hépatique. L’hyperbilirubinémie due à l’hémolyse est principalement due à la bilirubine non conjuguée et n’entraîne donc pas d’augmentation de la bilirubine urinaire.</t>
  </si>
  <si>
    <t>Negative =0</t>
  </si>
  <si>
    <t>Negative=0</t>
  </si>
  <si>
    <t>Positive &gt;0</t>
  </si>
  <si>
    <t>Testosterone biodisponible (BT)</t>
  </si>
  <si>
    <t>Consommation de protéines g/j</t>
  </si>
  <si>
    <t>Consommation de protéines recommandée</t>
  </si>
  <si>
    <t xml:space="preserve"> 11-56</t>
  </si>
  <si>
    <t>L’hypertrophie bénigne de la prostate est une cause majeure pour les hommes de troubles des voies urinaires basses et de diminution de la qualité de vie. L’héritabilité est d’environ 80%. Le surpoids et la dysfonction érectile y sont fréquemment associés. Intégratome évalue le risque d'hypertrophie prostatique évolutive, pouvant se compliquer par des infections urinaires, des calculs de vessie, rétention urinaire ou insuffissance rénale. Le dépistage usuel proposé est basé sur l'évaluation annuelle des troubles mictionnels. Si le risque évalué par intégratome est élevé une consultation spécialisée d'urologie est proposée et le bilan est complété par une échographie vésicale et rénale, avec mesure du résidu post-mictionnel et une débitmétrie mictionnelle.</t>
  </si>
  <si>
    <t>La contribution des facteurs génétiques à l’ostéoporose est d’environ 70%. Cependant, d’autres facteurs tels que le tabagisme, l’utilisation de corticostéroïdes augmentent le risque d’ostéoporose. Les autres causes sont le déclin des stéroïdes sexuels, l’insuffisance pondérale, la consommation d’alcool, la carence en vitamine D, la consommation excessive de vitamine A. Le dépistage usuel proposé est basé sur l'évaluation annuelle de la vitamine D et du bilan calcique urinaire. Si le risque évalué par intégratome est élevé une consultation spécialisée de rhumatologie est proposée et le bilan est complété par une ostéodensitométrie.</t>
  </si>
  <si>
    <t>Les facteurs de risque des calculs biliaires sont l’âge, la génétique, le syndrome métabolique, la perte de poids rapide et une alimentation inappropriée augmentent également le risque. Il est lié à certaines maladies telles que les dyslipidémies, la fibrose hépatique et la maladie de Crohn, la drépanocytose. La pancréatite est liée aux calculs biliaires mais aussi à la forte consommation d’alcool et au tabagisme et à l’étiologie auto-immune. Le dépistage usuel proposé est basé sur l'évaluation annuelle le bilan hépatique. Si le risque évalué par intégratome est élevé une consultation spécialisée de gastro-entérologie est proposée et le bilan est complété par une échographie abdominale.</t>
  </si>
  <si>
    <t>L'insuffissance thyroidienne ou hypothyroïdie est caractérisée par une production trop faible d’hormones par la glande thyroide. Ces hormones sont indispensables au métabolisme energetique. L'hypothyroidie se complique en particulier de troubles cardiaques. Les causes les plus fréquentes sont auto-immunes. Le dépistage usuel proposé est basé sur l'évaluation annuelle de la TSH. Si le risque évalué par intégratome est élevé une consultation spécialisée d'endocrinologie est proposée et le bilan est complété par une échographie thyroidienne et un dosage sanguin des hormones T3 et T4libre et la recherche d'autoanticorps Anti-TG et Anti TPO.</t>
  </si>
  <si>
    <t>Le syndrome métabolique combine l’hypertension artérielle, le diabète, les troubles lipidiques et le surpoids. Le risque de développer un syndrome est élevé si &gt; 20%.  Intermédiaire : de 10 à 20 % et  faible si&lt; 10 %. C'est un facteur de risque majeur des maladies cardio-vasculaires et neuro-vasculaires. Le dépistage usuel proposé est basé sur l'évaluation annuelle de la tension artérielle, de la surcharge pondérale, de glycémie et de l'hémoglogine glyquée, du bilan lipidique. Si le risque évalué par intégratome est élevé une consultation spécialisée d'endocrinologie et de nutrition sont proposés et le bilan est complété par un bilan cardiovasculaire, rénal, hépatique et du fond d'oeil.</t>
  </si>
  <si>
    <t>Il représente 90% des formes de diabéte sucré. Il se caractérisée par un taux trop élevé de glucose (sucre) dans le sang. Il  survient généralement chez les adultes aprés 50 ans, et touche davantage les personnes en surcharge pondérale. Non traité, il peut peut ainsi être à l’origine de maladies cardiovasculaires, d’une perte de vision irréversible,  d’atteintes des nerfs et d’insuffisance rénale. Le dépistage usuel proposé est basé sur l'évaluation annuelle de la glycémie et de l'hémoglogine glyquée. Si le risque évalué par intégratome est élevé une consultation spécialisée  d'endocrinologie et de nutrition sont proposés et le bilan est complété par un bilan cardiovasculaire, réanal et du fond d'oeil.</t>
  </si>
  <si>
    <t>Les dyslipidémies sont définies par l'élévation anormale dans le sang des lipides: cholesterol (hypercholestérolémie) ou triglycérides. Elles sont souvent d'origine génétique et aggravées par la surchage pondérale, la consommation d'alcool et de sucres rapides. Elles contribuent aux risques cardio-vasculaires.  Le dépistage usuel proposé est basé sur l'évaluation annuelle du bilan lipidique. Si le risque évalué par intégratome est élevé une consultation spécialisée  d'endocrinologie et de nutrition sont proposés avec une recherche de complications cardiovasculaires.</t>
  </si>
  <si>
    <t>C'est une maladie  caractérisée par un défaut d'oxygénation du cœur due à une mauvaise vascularisation par les artéres coronaires. Elle peut se compliquer de façon aigue par  l’infarctus du myocarde ou évoluer chroniquement vers l'insuffisance cardiaque. L'obstruction des artéres coronaires qui vascularisent le coeur est favorisée par l'exposition au tabagisme, les dyslipidémies, le diabéte et façon plus générale le syndrome métabolique. Il existe également une prédispostin  héréditaire. L'apnée du sommeil et les troubles de l'érection sont souvent associés. Le dépistage usuel proposé est basé sur l'évaluation annuelle de la tension artérielle et de l'ECG. Si le risque évalué par intégratome est élevé une consultation spécialisée cardiovasculaire est proposée et le bilan est complété par une épreuve d'effort, une score calcique coronaire, une échographie et doppler des axes artériels carotidiens, aorto-iliaques.</t>
  </si>
  <si>
    <t>Ce sont les cancers des voies aérodigestives supérieures (bouche, pharynx, larynx, aussi appelés gorge, sinus). Ils sont favorisés par la consommation de tabac et d’alcool.  Dans certains cas à une infection à certains types de papillomavirus humains (HPV). Certains de ces cancers  peuvent aussi être liés à une exposition professionnelle. Le dépistage usuel proposé est basé sur l'examen clinique. Si le risque évalué par intégratome est élevé une consultation spécialisée d'ORL est proposée.</t>
  </si>
  <si>
    <t> C'est un cancer de la peau, il  peut ressembler à un grain de beauté (naevus). Il est favorisé par une peau claire (peau qui rougit avant de bronzer)
Des antécédents familiaux. Une exposition répétée au soleil avec des antécédents de coups de soleils. Les naevus suspects de transformation en mélanome sont  = Asymétrique, avec des bords irréguliers en « carte de géographie », avec  plusieurs couleurs : brun clair, brun foncé, rosé et d'un  diamètre &gt; 6 mm.Le dépistage usuel proposé est basé sur l'examen clinique. Si le risque évalué par intégratome est élevé une consultation spécialisée de dermatologie est proposée.</t>
  </si>
  <si>
    <t>Calcium urine: &gt; 0,1 mmol/kg/j</t>
  </si>
  <si>
    <t>Les calculs urinaires sont liés à des composants du syndrome métabolique (indice de masse corporelle élevé, dérégulation de la glycémie) et d’une alimentation inappropriée (exés de sel, de protéines, de vitamineD). Il existe également une part d'hérédité selon les différents types de calculs. Le dépistage usuel proposé est basé sur l'évaluation annuelle de la bandelette urinaire et du bilan calcique et urique urinaire. Si le risque évalué par intégratome est élevé une consultation spécialisée d'urologie est proposée et le bilan est complété par une échographie vésicale et rénale et un bilan nutritionnel.</t>
  </si>
  <si>
    <t>Les cancers de la prostate représentent environ 25 % des cancers diagnostiqués chez les hommes. L’héritabilité est d’environ 60%.  Le surpoids et le tabagisme augmentent la mortalité par cancer de la prostate.  Intégratome évalue le risque de cancer de la prostate évolutif, pouvant évoluer vers des métastases. Le dépistage usuel proposé est de réaliser un dosage du PSA annuel entre 50 et 75 ans. Si il y a des facteurs de risque génétiques (histoire familiale ou une origine africaine ou antillaise) le dépistage est débuté à 45 ans. Si le risque évalué par intégratome est élevé une consultation spécialisée d'urologie est proposée et le bilan est complété par une IRM prostatique.</t>
  </si>
  <si>
    <t>La fréquence de l’insuffisance rénale dans la population est d’environ 15%. L’étiologie est multifactorielle. Elle est liée à la mortalité prématurée et à la diminution de la qualité de vie. Elle est étroitement liée aux néphropathies familiales, aux facteurs du  syndrome métabolique et aux risques cardio-vasculaires.</t>
  </si>
  <si>
    <t>Les cancers du côlon représentent environ 15 % des cancers diagnostiqués. L’héritabilité est d’environ 30%. Environ 54 % des cas de cancer de l’intestin sont évitables. La viande grillée trop peu de fibres dans l’alimentation, le surpoids, la consommation d’alcool augmentent le risque de cancer de l’intestin. Le dépistage usuel proposé est basé sur l'évaluation annuelle la recherche de sang dans les selles. Le dosage sanguin Test Septine-9 est plus performans, le dosage de l'ACE peu sensible. Si le risque évalué par intégratome est élevé une consultation spécialisée de gastro-entérologie est proposée et le bilan est complété par une coloscopie ou une imagerie du colon.</t>
  </si>
  <si>
    <t>La phlébite ou thrombose veineuse est une pathologie cardiovasculaire qui correspond à la formation d'un caillot de sang dans une veine. Elle touche environ une personne sur 1000, sa fréquence augmente avec l'âge et elle complique certains états pathologiques: longue immobilisation, par exemple, après une chirurgie ou une fracture, cancer. Il existe une prédisposition héréditaire qui doit être recherchée lorsqu'il existe des antécédents familiaux. Elle se localise le plus fréquemment dans une veine de la jambe. si le caillot se forme dans une veine profonde, le caillot peut migrer et déterminer une embolie pulmonaire avec un risque de déficience cardiaque aigu.Si le risque évalué par intégratome est élevé une consultation spécialisée d'angiologie peut être proposée et le bilan est complété par un dosage des protéines C et  S.Une attention particuliéere à la prévetion par l'utilisation de bas de contention est proposée en cas de facteur déclechant (immobilisation, long voyage en avion...)</t>
  </si>
  <si>
    <t>Les anévrysmes de l'aorte abdominale (dilation de l'aorte qui peut se rompre) et l'artériopathie des membres inférieurs (oblitération des artéres) sont des complications de l’athérosclérose (inflammation due au dépots de lipides dans la paroi des artéres) , souvent associée aux composantes du syndrome métabolique. Il surviennent habituellemnt aprés 60 ans. Pour l'anévrysme de l'aorte, une prédispositions héréditaire existe. Ces pathologies sont fortement aggravée par l'exposition au tabagisme.  Le dépistage usuel proposé est basé sur l'évaluation annuelle de la tension artérielle et l'examen de l'abdomen. Si le risque évalué par intégratome est élevé une consultation spécialisée cardiovasculaire est proposée et le bilan est complété par une échographie et doppler des axes artériels carotidiens, aorto-iliaques.</t>
  </si>
  <si>
    <t>Les accidents vasculaires cérébraux (AVC) sont caractérisés par la survenue brutale d'un déficit neurologique, dans 75 % des cas, ils touchent surtout des patients de plus de 65 ans. Le vieillissement des vaisseaux et l'hérédité jouent un rôle dans la survenue d'un AVC. La moitié des cas sont dus à l'athérosclérose et dans un tiers des cas à des troubles dy ruthme cardiaque (fibrillation auriculaire). Dans les facteurs de risque on retrouve aussi  l'hérédité, les composantes du syndrome métabolique (hypertension artérielle, qui contribue à 40% au risque d’AVC; l'obésité, le diabéte, les dyslipidémies; le tabagisme, la consommation d’alcool. L'apnée du sommeil et les troubles de l'érection sont souvent associés. Le dépistage usuel proposé est basé sur l'évaluation annuelle de la tension artérielle et de l'ECG. Si le risque évalué par intégratome est élevé une consultation spécialisée cardiovasculaire est proposée et le bilan est complété par  une échographie et doppler des axes artériels carotidiens et un ECG.</t>
  </si>
  <si>
    <t>Le cancer du poumon ou cancer bronchopulmonaire est principalement du à l'exposition au tabac . Le tabagisme est responsable de 80% des cancers du poumon. Le dépistage usuel proposé est basé sur le scanner thoracique faible dose pour les sujets à risque entre 50 et 75 ans. Si le risque évalué par intégratome est élevé une consultation spécialisée de pneumologie est proposée et le bilan est complété par un scanner thoracique faible dose.</t>
  </si>
  <si>
    <t>L’asthme et la BPCO (Bronchopneumopathie chronique obstructive) sont deux maladies inflammatoires chroniques obstructives des voies respiratoires. Ces pathologies touchent principalement les petites voies aériennes dans la BPCO, alors qu’ils touchent aussi les voies aériennes de plus grand calibre dans l’asthme. Il existe une prédisposition génétique pour ces 2 pathologies. Dans l'asthme il peut exister une composante allergique. Le tabagisme est impliqué dans environ 80 % des BPCO et aggrave l'asthme. Certaines es expositions professionnelles et la pollution atmosphérique peuvent participer à la genése de ces pathologies.Le dépistage usuel proposé est basé sur l'examen la spirométrie. Si le risque évalué par intégratome est élevé une consultation spécialisée de pneumologie est proposée et le bilan est complété par une spirométrie et un scanner thoracique.</t>
  </si>
  <si>
    <t>Les cancers du sein représentent environ 30 % des cancers diagnostiqués chez les femmes, ils peuvent aussi toucher les hommes en particulier en cas de prédisposition hérédiatire. L’héritabilité est d’environ 60%.  Le surpoids et le tabagisme augmentent la mortalité par cancer du sein.  Les cancers de l'ovaire surviennent habituellemnt autour de 65 ans ou avant en cas de prédisposition familiale. Les autres facteurs de risque sont l’absence de grossesse, l’obésité ; la précocité des règles ou une ménopause tardive.Le cancer de l'endomètre est après le cancer du sein, c'est le plus fréquent des cancers gynécologiques. Il touche généralement les femmes autour de 68 ans ou avant en cas de prédisposition familiale. Le syndrome métabolique est un facteur de risque.  Le dépistage usuel proposé est pour le cancer du sein de réaliser une mammographie annuelle entre 50 et 75 ans. Si il y a des facteurs de risque génétiques (mutation prédisposante) le dépistage est débuté à 30 ans. Si le risque évalué par intégratome est élevé une consultation spécialisée de gynécologie est proposée et le bilan est complété par une mammogaphie, une échographie pelvienne.</t>
  </si>
  <si>
    <t>Le rapport masse musculaire calculée sur théorique estime le degré de la sarcopénie.  (perte de 0,5 à 1% par an après l’âge de 50 ans). C’est une composante du syndrome de fragilité. Le diagnostic est confirmé par une mesure de la masse musculaire  en absorptiomètrie biphotonique à rayons X (DXA). La prévention de la sarcopénie repose sur le remplacement de la vitamine D déficiente, la garantie d’un apport adéquat en calories et en protéines, et le renforcement musculaire.</t>
  </si>
  <si>
    <t>Le rapport masse musculaire calculée sur théorique estime le degré de la sarcopénie.  (perte de 0,5 à 1% par an après l’âge de 50 ans). C’est une composante du syndrome de fragilité.  Le diagnostic est confirmé par une mesure de la masse musculaire  en absorptiomètrie biphotonique à rayons X (DXA). La prévention de la sarcopénie repose sur le remplacement de la vitamine D déficiente, la garantie d’un apport adéquat en calories et en protéines, et le renforcement musculaire.</t>
  </si>
  <si>
    <t>ALAT/AAST (score)</t>
  </si>
  <si>
    <t>Les calories quotidiennes (kcal) poids stable</t>
  </si>
  <si>
    <t>Calories quotidiennes (kcal) besoin de gagner du poids</t>
  </si>
  <si>
    <t>Les valeurs normales sont : &lt;0,1 mmol (4mg)/kg/JourHommes : &lt;250 mg/24 heures ; Femmes : &lt;200 mg/24 heures. L'hypercalciurie contribue à la formation de calculs rénaux et à l'ostéoporose. Globalement, le risque de lithiase urinaire semble augmenter lorsque le taux de calcium dans les urines de 24 heures est &gt;250 mg chez les hommes et &gt;200 mg chez les femmes. Les diurétiques thiazidiques sont souvent utilisés pour réduire l'excrétion urinaire de calcium. Les causes secondaires d'hypercalciurie comprennent l'hyperparathyroïdie, la maladie de Paget, l'immobilisation prolongée, l'intoxication à la vitamine D et les maladies qui détruisent les os (comme le cancer métastatique ou le myélome multiple). L'excrétion urinaire de calcium peut être utilisée pour évaluer le niveau de la supplémentation en calcium et en vitamine D</t>
  </si>
  <si>
    <t>Calories quotidiennes (kcal) besoin de perdre du poids</t>
  </si>
  <si>
    <t>Consommation de NaCl (sel) g/j</t>
  </si>
  <si>
    <t>TumeurVEU</t>
  </si>
  <si>
    <t>TumeurVessie</t>
  </si>
  <si>
    <t>Hématurie</t>
  </si>
  <si>
    <t>Tumeur Vessie</t>
  </si>
  <si>
    <t>Tumeur de vessie</t>
  </si>
  <si>
    <t>DeltaRisque</t>
  </si>
  <si>
    <t>Les tumeurs (cancers) de la vessie ou des voies urinaires sont principalement dues à l'exposition au tabac . Le dépistage usuel proposé est basé sur la recherche de sang dans les urines et la cytologie urinaire  . Si le risque évalué par intégratome est élevé une consultation spécialisée en urologie est proposée et le bilan est complété par une cytologie urinaire et une échographie vésicale</t>
  </si>
  <si>
    <t>Tumeur de Vessie</t>
  </si>
  <si>
    <t>Score CV 2</t>
  </si>
  <si>
    <t>ScoreCV2</t>
  </si>
  <si>
    <t>Sexe</t>
  </si>
  <si>
    <t>Smoker</t>
  </si>
  <si>
    <t>TA</t>
  </si>
  <si>
    <t>CholesterolNonHDL</t>
  </si>
  <si>
    <t>ScoreCV2 = -25,7140130071773+0,267011088709677*Age+2,55729166666666*Sexe+2,97395833333333*Smoker+7,53386699507389E-02*TA+0,576041666666669*Cholesterol non HDL</t>
  </si>
  <si>
    <t>Repos Debout Pression artérielle systolique (mmHg)</t>
  </si>
  <si>
    <t>Effort Pression artérielle systolique (mmHg)</t>
  </si>
  <si>
    <t>Repos Debout Fréquence cardiaque</t>
  </si>
  <si>
    <t>SpO2  repos</t>
  </si>
  <si>
    <t xml:space="preserve">SpO2  effort </t>
  </si>
  <si>
    <t> le taux d’oxygène dans le sang doit être compris entre 95 et 100%</t>
  </si>
  <si>
    <t>Repos couché Fréquence cardiaque (P1)</t>
  </si>
  <si>
    <t>Effort Fréquence cardiaque (P2)</t>
  </si>
  <si>
    <t>Hypotension orthostatique</t>
  </si>
  <si>
    <t>Le test des flexions aptitude de la fréquence cardiaqueà l'effort est excellent ou très bon si &lt;2; bon si 2-4; moyen si 4-6; faible si 6-8;très faible ou médiocre si &gt;8</t>
  </si>
  <si>
    <t>&lt;4</t>
  </si>
  <si>
    <t>&gt;8</t>
  </si>
  <si>
    <t>Test d'aptitude tension artérielle à l'effort (deltaTA effort-TA repos)</t>
  </si>
  <si>
    <t>La difference entre tension diastolique et systolique doit augmenter à l'effort.</t>
  </si>
  <si>
    <t>Test d'aptitude tension artérielle à l'effort (deltaTA systolique-diastolique au repos et à l'effort</t>
  </si>
  <si>
    <t>&gt;0</t>
  </si>
  <si>
    <t>&lt;0</t>
  </si>
  <si>
    <t>&gt;95%</t>
  </si>
  <si>
    <t>&lt;95%</t>
  </si>
  <si>
    <t>Une baisse de la pression systolique ≥ 30 mmHg est un critère de diagnostic de l’hypotension orthostatique</t>
  </si>
  <si>
    <t>20-30</t>
  </si>
  <si>
    <t>&lt;20</t>
  </si>
  <si>
    <t>&gt;30</t>
  </si>
  <si>
    <t>La fibrillation atriale est la forme la plus courante d'arythmie et peut entraîner une insuffisance cardiaque, de la fatigue et un essoufflement. Il s’agit également d’un risque majeur d'AVC et elle ne présente souvent aucun symptôme.</t>
  </si>
  <si>
    <t>Détection fibrillation atriale repos-effort</t>
  </si>
  <si>
    <t>Détection des valvulopathies</t>
  </si>
  <si>
    <t>Détection fibrillation atriale repos ou effort</t>
  </si>
  <si>
    <t>Détection valvulopathie repos ou effort</t>
  </si>
  <si>
    <t>Non</t>
  </si>
  <si>
    <t>Oui</t>
  </si>
  <si>
    <t>Faible</t>
  </si>
  <si>
    <t>Intermédiare</t>
  </si>
  <si>
    <t>Elevé</t>
  </si>
  <si>
    <t>Le risque est classé en faible, intermédiare ou élevé  en l'ajustant sur l'age. Pour les personnes en bonne santé apparente,  diabète, insuffisance rénale chronique ou dyslipidémie , le traitement des facteurs de risque cardiovasculaire doit être envisagé  si le risque cardiovasculaire élevé: SCORE2 : 2,5 à 7,5 % si &lt; 50 an; 5 à 10 % si  50 à 69 ans; 7,5 à 15 % pour les personnes  &gt;70 ans</t>
  </si>
  <si>
    <t>Effort Pression artérielle diastolique (mmHg)</t>
  </si>
  <si>
    <t>Récupération Pression artérielle systolique (mmHg)</t>
  </si>
  <si>
    <t>Récupération Pression artérielle diastolique (mmHg)</t>
  </si>
  <si>
    <t>Récupération Fréquence cardiaque (P3)</t>
  </si>
  <si>
    <r>
      <t>Q2 - Vous</t>
    </r>
    <r>
      <rPr>
        <b/>
        <sz val="14"/>
        <color rgb="FFFF0000"/>
        <rFont val="Arial"/>
        <family val="2"/>
      </rPr>
      <t xml:space="preserve"> ê</t>
    </r>
    <r>
      <rPr>
        <b/>
        <sz val="14"/>
        <color theme="1"/>
        <rFont val="Arial"/>
        <family val="2"/>
      </rPr>
      <t>tes (genre)</t>
    </r>
  </si>
  <si>
    <r>
      <rPr>
        <b/>
        <sz val="14"/>
        <color rgb="FFFF0000"/>
        <rFont val="Arial"/>
        <family val="2"/>
      </rPr>
      <t>H</t>
    </r>
    <r>
      <rPr>
        <b/>
        <sz val="14"/>
        <color theme="1"/>
        <rFont val="Arial"/>
        <family val="2"/>
      </rPr>
      <t>omme "H"</t>
    </r>
  </si>
  <si>
    <r>
      <rPr>
        <b/>
        <sz val="14"/>
        <color rgb="FFFF0000"/>
        <rFont val="Arial"/>
        <family val="2"/>
      </rPr>
      <t>F</t>
    </r>
    <r>
      <rPr>
        <b/>
        <sz val="14"/>
        <color theme="1"/>
        <rFont val="Arial"/>
        <family val="2"/>
      </rPr>
      <t>emme "F"</t>
    </r>
  </si>
  <si>
    <r>
      <rPr>
        <b/>
        <sz val="14"/>
        <color rgb="FFFF0000"/>
        <rFont val="Arial"/>
        <family val="2"/>
      </rPr>
      <t>O</t>
    </r>
    <r>
      <rPr>
        <b/>
        <sz val="14"/>
        <color theme="1"/>
        <rFont val="Arial"/>
        <family val="2"/>
      </rPr>
      <t>ui"Y"</t>
    </r>
  </si>
  <si>
    <r>
      <rPr>
        <b/>
        <sz val="14"/>
        <color rgb="FFFF0000"/>
        <rFont val="Arial"/>
        <family val="2"/>
      </rPr>
      <t>N</t>
    </r>
    <r>
      <rPr>
        <b/>
        <sz val="14"/>
        <color theme="1"/>
        <rFont val="Arial"/>
        <family val="2"/>
      </rPr>
      <t>on"N"</t>
    </r>
  </si>
  <si>
    <r>
      <t>Européen</t>
    </r>
    <r>
      <rPr>
        <b/>
        <sz val="14"/>
        <color rgb="FFFF0000"/>
        <rFont val="Arial"/>
        <family val="2"/>
      </rPr>
      <t>(ne)</t>
    </r>
    <r>
      <rPr>
        <b/>
        <sz val="14"/>
        <color theme="1"/>
        <rFont val="Arial"/>
        <family val="2"/>
      </rPr>
      <t xml:space="preserve"> ou Hispanique "E"</t>
    </r>
  </si>
  <si>
    <r>
      <t xml:space="preserve">Asiatique ou </t>
    </r>
    <r>
      <rPr>
        <b/>
        <sz val="14"/>
        <color rgb="FFFF0000"/>
        <rFont val="Arial"/>
        <family val="2"/>
      </rPr>
      <t>Indien(ne</t>
    </r>
    <r>
      <rPr>
        <b/>
        <sz val="14"/>
        <color theme="1"/>
        <rFont val="Arial"/>
        <family val="2"/>
      </rPr>
      <t>) "AS"</t>
    </r>
  </si>
  <si>
    <r>
      <t>Africain(e) ou AfroCarribéen</t>
    </r>
    <r>
      <rPr>
        <b/>
        <sz val="14"/>
        <color rgb="FFFF0000"/>
        <rFont val="Arial"/>
        <family val="2"/>
      </rPr>
      <t xml:space="preserve">(ne) </t>
    </r>
    <r>
      <rPr>
        <b/>
        <sz val="14"/>
        <color theme="1"/>
        <rFont val="Arial"/>
        <family val="2"/>
      </rPr>
      <t>"AF"</t>
    </r>
  </si>
  <si>
    <r>
      <rPr>
        <b/>
        <sz val="14"/>
        <color rgb="FFFF0000"/>
        <rFont val="Arial"/>
        <family val="2"/>
      </rPr>
      <t>Ancien (arrêt depuis plus de 5 ans) ou non-fumeur</t>
    </r>
    <r>
      <rPr>
        <b/>
        <sz val="14"/>
        <color theme="1"/>
        <rFont val="Arial"/>
        <family val="2"/>
      </rPr>
      <t xml:space="preserve"> "N"</t>
    </r>
  </si>
  <si>
    <r>
      <rPr>
        <b/>
        <sz val="14"/>
        <color rgb="FFFF0000"/>
        <rFont val="Arial"/>
        <family val="2"/>
      </rPr>
      <t>Actif ou arrêt depuis moins de 5 ans</t>
    </r>
    <r>
      <rPr>
        <b/>
        <sz val="14"/>
        <color theme="1"/>
        <rFont val="Arial"/>
        <family val="2"/>
      </rPr>
      <t xml:space="preserve"> "Y'</t>
    </r>
  </si>
  <si>
    <r>
      <t xml:space="preserve">Q3 - Quel est votre </t>
    </r>
    <r>
      <rPr>
        <b/>
        <sz val="14"/>
        <color rgb="FFFF0000"/>
        <rFont val="Arial"/>
        <family val="2"/>
      </rPr>
      <t>â</t>
    </r>
    <r>
      <rPr>
        <b/>
        <sz val="14"/>
        <color theme="1"/>
        <rFont val="Arial"/>
        <family val="2"/>
      </rPr>
      <t>ge</t>
    </r>
    <r>
      <rPr>
        <b/>
        <sz val="14"/>
        <color rgb="FFFF0000"/>
        <rFont val="Arial"/>
        <family val="2"/>
      </rPr>
      <t xml:space="preserve"> ?</t>
    </r>
  </si>
  <si>
    <r>
      <t xml:space="preserve">Q10 - </t>
    </r>
    <r>
      <rPr>
        <b/>
        <sz val="14"/>
        <color rgb="FFFF0000"/>
        <rFont val="Arial"/>
        <family val="2"/>
      </rPr>
      <t xml:space="preserve">Avez-vous </t>
    </r>
    <r>
      <rPr>
        <b/>
        <sz val="14"/>
        <rFont val="Arial"/>
        <family val="2"/>
      </rPr>
      <t xml:space="preserve">eu </t>
    </r>
    <r>
      <rPr>
        <b/>
        <sz val="14"/>
        <color theme="1"/>
        <rFont val="Arial"/>
        <family val="2"/>
      </rPr>
      <t>un cancer</t>
    </r>
    <r>
      <rPr>
        <b/>
        <sz val="14"/>
        <color rgb="FFFF0000"/>
        <rFont val="Arial"/>
        <family val="2"/>
      </rPr>
      <t xml:space="preserve"> ?</t>
    </r>
  </si>
  <si>
    <r>
      <t xml:space="preserve">Q11 - </t>
    </r>
    <r>
      <rPr>
        <b/>
        <sz val="14"/>
        <color rgb="FFFF0000"/>
        <rFont val="Arial"/>
        <family val="2"/>
      </rPr>
      <t xml:space="preserve">Avez-vous </t>
    </r>
    <r>
      <rPr>
        <b/>
        <sz val="14"/>
        <rFont val="Arial"/>
        <family val="2"/>
      </rPr>
      <t>eu</t>
    </r>
    <r>
      <rPr>
        <b/>
        <sz val="14"/>
        <color theme="1"/>
        <rFont val="Arial"/>
        <family val="2"/>
      </rPr>
      <t xml:space="preserve"> un cancer de la prostate</t>
    </r>
    <r>
      <rPr>
        <b/>
        <sz val="14"/>
        <color rgb="FFFF0000"/>
        <rFont val="Arial"/>
        <family val="2"/>
      </rPr>
      <t xml:space="preserve"> ?</t>
    </r>
  </si>
  <si>
    <r>
      <t xml:space="preserve">Q12 - </t>
    </r>
    <r>
      <rPr>
        <b/>
        <sz val="14"/>
        <color rgb="FFFF0000"/>
        <rFont val="Arial"/>
        <family val="2"/>
      </rPr>
      <t>Avez-vous</t>
    </r>
    <r>
      <rPr>
        <b/>
        <sz val="14"/>
        <color theme="1"/>
        <rFont val="Arial"/>
        <family val="2"/>
      </rPr>
      <t xml:space="preserve"> eu un cancer du colon </t>
    </r>
    <r>
      <rPr>
        <b/>
        <sz val="14"/>
        <color rgb="FFFF0000"/>
        <rFont val="Arial"/>
        <family val="2"/>
      </rPr>
      <t>?</t>
    </r>
  </si>
  <si>
    <r>
      <t>Q14 - Avez-vous eu un mélanome</t>
    </r>
    <r>
      <rPr>
        <b/>
        <sz val="14"/>
        <color rgb="FFFF0000"/>
        <rFont val="Arial"/>
        <family val="2"/>
      </rPr>
      <t xml:space="preserve"> ?</t>
    </r>
  </si>
  <si>
    <r>
      <t xml:space="preserve">Q16 - </t>
    </r>
    <r>
      <rPr>
        <b/>
        <sz val="14"/>
        <color rgb="FFFF0000"/>
        <rFont val="Arial"/>
        <family val="2"/>
      </rPr>
      <t>Avez-vous</t>
    </r>
    <r>
      <rPr>
        <b/>
        <sz val="14"/>
        <color theme="1"/>
        <rFont val="Arial"/>
        <family val="2"/>
      </rPr>
      <t xml:space="preserve"> eu un cancer du poumon </t>
    </r>
    <r>
      <rPr>
        <b/>
        <sz val="14"/>
        <color rgb="FFFF0000"/>
        <rFont val="Arial"/>
        <family val="2"/>
      </rPr>
      <t>?</t>
    </r>
  </si>
  <si>
    <r>
      <t xml:space="preserve">Q19 - </t>
    </r>
    <r>
      <rPr>
        <b/>
        <sz val="14"/>
        <color rgb="FFFF0000"/>
        <rFont val="Arial"/>
        <family val="2"/>
      </rPr>
      <t>Avez-vous</t>
    </r>
    <r>
      <rPr>
        <b/>
        <sz val="14"/>
        <color theme="1"/>
        <rFont val="Arial"/>
        <family val="2"/>
      </rPr>
      <t xml:space="preserve"> eu un cancer du sein ou utérus ou ovaire </t>
    </r>
    <r>
      <rPr>
        <b/>
        <sz val="14"/>
        <color rgb="FFFF0000"/>
        <rFont val="Arial"/>
        <family val="2"/>
      </rPr>
      <t>?</t>
    </r>
  </si>
  <si>
    <r>
      <t xml:space="preserve">Q16 - </t>
    </r>
    <r>
      <rPr>
        <b/>
        <sz val="14"/>
        <color rgb="FFFF0000"/>
        <rFont val="Arial"/>
        <family val="2"/>
      </rPr>
      <t>Avez-vous</t>
    </r>
    <r>
      <rPr>
        <b/>
        <sz val="14"/>
        <color theme="1"/>
        <rFont val="Arial"/>
        <family val="2"/>
      </rPr>
      <t xml:space="preserve"> eu un cancer ORL</t>
    </r>
    <r>
      <rPr>
        <b/>
        <sz val="14"/>
        <color rgb="FFFF0000"/>
        <rFont val="Arial"/>
        <family val="2"/>
      </rPr>
      <t xml:space="preserve"> ?</t>
    </r>
  </si>
  <si>
    <r>
      <t xml:space="preserve">Q21 - </t>
    </r>
    <r>
      <rPr>
        <b/>
        <sz val="14"/>
        <color rgb="FFFF0000"/>
        <rFont val="Arial"/>
        <family val="2"/>
      </rPr>
      <t>Avez-vous</t>
    </r>
    <r>
      <rPr>
        <b/>
        <sz val="14"/>
        <color theme="1"/>
        <rFont val="Arial"/>
        <family val="2"/>
      </rPr>
      <t xml:space="preserve"> eu des calculs urinaires ou biliaires, </t>
    </r>
    <r>
      <rPr>
        <b/>
        <sz val="14"/>
        <color rgb="FFFF0000"/>
        <rFont val="Arial"/>
        <family val="2"/>
      </rPr>
      <t>ou</t>
    </r>
    <r>
      <rPr>
        <b/>
        <sz val="14"/>
        <color theme="1"/>
        <rFont val="Arial"/>
        <family val="2"/>
      </rPr>
      <t xml:space="preserve"> une maladie cardiaque</t>
    </r>
    <r>
      <rPr>
        <b/>
        <sz val="14"/>
        <color rgb="FFFF0000"/>
        <rFont val="Arial"/>
        <family val="2"/>
      </rPr>
      <t>, v</t>
    </r>
    <r>
      <rPr>
        <b/>
        <sz val="14"/>
        <color theme="1"/>
        <rFont val="Arial"/>
        <family val="2"/>
      </rPr>
      <t>asculaire, pulmonaire ou neurologique</t>
    </r>
    <r>
      <rPr>
        <b/>
        <sz val="14"/>
        <color rgb="FFFF0000"/>
        <rFont val="Arial"/>
        <family val="2"/>
      </rPr>
      <t xml:space="preserve"> ?</t>
    </r>
  </si>
  <si>
    <r>
      <t xml:space="preserve">Q22 - </t>
    </r>
    <r>
      <rPr>
        <b/>
        <sz val="14"/>
        <color rgb="FFFF0000"/>
        <rFont val="Arial"/>
        <family val="2"/>
      </rPr>
      <t>Avez-vous</t>
    </r>
    <r>
      <rPr>
        <b/>
        <sz val="14"/>
        <color theme="1"/>
        <rFont val="Arial"/>
        <family val="2"/>
      </rPr>
      <t xml:space="preserve"> eu un anévrysme ou une pathologie artérielle des membres inférieurs</t>
    </r>
    <r>
      <rPr>
        <b/>
        <sz val="14"/>
        <color rgb="FFFF0000"/>
        <rFont val="Arial"/>
        <family val="2"/>
      </rPr>
      <t xml:space="preserve"> ?</t>
    </r>
  </si>
  <si>
    <r>
      <t xml:space="preserve">Q23 - </t>
    </r>
    <r>
      <rPr>
        <b/>
        <sz val="14"/>
        <color rgb="FFFF0000"/>
        <rFont val="Arial"/>
        <family val="2"/>
      </rPr>
      <t>Avez-vous</t>
    </r>
    <r>
      <rPr>
        <b/>
        <sz val="14"/>
        <color theme="1"/>
        <rFont val="Arial"/>
        <family val="2"/>
      </rPr>
      <t xml:space="preserve"> eu un des calculs de la vésicule biliaire</t>
    </r>
    <r>
      <rPr>
        <b/>
        <sz val="14"/>
        <color rgb="FFFF0000"/>
        <rFont val="Arial"/>
        <family val="2"/>
      </rPr>
      <t xml:space="preserve"> ou subi une cholécystectomie ?</t>
    </r>
  </si>
  <si>
    <r>
      <t xml:space="preserve">Q24 - </t>
    </r>
    <r>
      <rPr>
        <b/>
        <sz val="14"/>
        <color rgb="FFFF0000"/>
        <rFont val="Arial"/>
        <family val="2"/>
      </rPr>
      <t>Avez-vous</t>
    </r>
    <r>
      <rPr>
        <b/>
        <sz val="14"/>
        <color theme="1"/>
        <rFont val="Arial"/>
        <family val="2"/>
      </rPr>
      <t xml:space="preserve"> eu un infarctus cardiaque ou </t>
    </r>
    <r>
      <rPr>
        <b/>
        <sz val="14"/>
        <color rgb="FFFF0000"/>
        <rFont val="Arial"/>
        <family val="2"/>
      </rPr>
      <t xml:space="preserve">un </t>
    </r>
    <r>
      <rPr>
        <b/>
        <sz val="14"/>
        <color theme="1"/>
        <rFont val="Arial"/>
        <family val="2"/>
      </rPr>
      <t xml:space="preserve">accident vasculaire cérébral </t>
    </r>
    <r>
      <rPr>
        <b/>
        <sz val="14"/>
        <color rgb="FFFF0000"/>
        <rFont val="Arial"/>
        <family val="2"/>
      </rPr>
      <t>?</t>
    </r>
  </si>
  <si>
    <r>
      <t xml:space="preserve">Q25 - </t>
    </r>
    <r>
      <rPr>
        <b/>
        <sz val="14"/>
        <color rgb="FFFF0000"/>
        <rFont val="Arial"/>
        <family val="2"/>
      </rPr>
      <t>Avez-vous</t>
    </r>
    <r>
      <rPr>
        <b/>
        <sz val="14"/>
        <color theme="1"/>
        <rFont val="Arial"/>
        <family val="2"/>
      </rPr>
      <t xml:space="preserve"> eu des calculs urinaires ou </t>
    </r>
    <r>
      <rPr>
        <b/>
        <sz val="14"/>
        <color rgb="FFFF0000"/>
        <rFont val="Arial"/>
        <family val="2"/>
      </rPr>
      <t>une</t>
    </r>
    <r>
      <rPr>
        <b/>
        <sz val="14"/>
        <color theme="1"/>
        <rFont val="Arial"/>
        <family val="2"/>
      </rPr>
      <t xml:space="preserve"> colique néphrétique </t>
    </r>
    <r>
      <rPr>
        <b/>
        <sz val="14"/>
        <color rgb="FFFF0000"/>
        <rFont val="Arial"/>
        <family val="2"/>
      </rPr>
      <t>?</t>
    </r>
  </si>
  <si>
    <r>
      <t xml:space="preserve">Q26 - </t>
    </r>
    <r>
      <rPr>
        <b/>
        <sz val="14"/>
        <color rgb="FFFF0000"/>
        <rFont val="Arial"/>
        <family val="2"/>
      </rPr>
      <t>Avez-vous</t>
    </r>
    <r>
      <rPr>
        <b/>
        <sz val="14"/>
        <color theme="1"/>
        <rFont val="Arial"/>
        <family val="2"/>
      </rPr>
      <t xml:space="preserve"> eu des phlébites ou </t>
    </r>
    <r>
      <rPr>
        <b/>
        <sz val="14"/>
        <color rgb="FFFF0000"/>
        <rFont val="Arial"/>
        <family val="2"/>
      </rPr>
      <t>une</t>
    </r>
    <r>
      <rPr>
        <b/>
        <sz val="14"/>
        <color theme="1"/>
        <rFont val="Arial"/>
        <family val="2"/>
      </rPr>
      <t xml:space="preserve"> embolie pulmonaire </t>
    </r>
    <r>
      <rPr>
        <b/>
        <sz val="14"/>
        <color rgb="FFFF0000"/>
        <rFont val="Arial"/>
        <family val="2"/>
      </rPr>
      <t>?</t>
    </r>
  </si>
  <si>
    <r>
      <t xml:space="preserve">Q27 - </t>
    </r>
    <r>
      <rPr>
        <b/>
        <sz val="14"/>
        <color rgb="FFFF0000"/>
        <rFont val="Arial"/>
        <family val="2"/>
      </rPr>
      <t>Avez-vous</t>
    </r>
    <r>
      <rPr>
        <b/>
        <sz val="14"/>
        <color theme="1"/>
        <rFont val="Arial"/>
        <family val="2"/>
      </rPr>
      <t xml:space="preserve"> eu de l'asthme ou des allergies respiratoires </t>
    </r>
    <r>
      <rPr>
        <b/>
        <sz val="14"/>
        <color rgb="FFFF0000"/>
        <rFont val="Arial"/>
        <family val="2"/>
      </rPr>
      <t>?</t>
    </r>
  </si>
  <si>
    <r>
      <t xml:space="preserve">Q30 - </t>
    </r>
    <r>
      <rPr>
        <b/>
        <sz val="14"/>
        <color rgb="FFFF0000"/>
        <rFont val="Arial"/>
        <family val="2"/>
      </rPr>
      <t>Avez-vous</t>
    </r>
    <r>
      <rPr>
        <b/>
        <sz val="14"/>
        <color theme="1"/>
        <rFont val="Arial"/>
        <family val="2"/>
      </rPr>
      <t xml:space="preserve"> des varices des membres inférieurs</t>
    </r>
    <r>
      <rPr>
        <b/>
        <sz val="14"/>
        <color rgb="FFFF0000"/>
        <rFont val="Arial"/>
        <family val="2"/>
      </rPr>
      <t xml:space="preserve"> ?</t>
    </r>
  </si>
  <si>
    <r>
      <t xml:space="preserve">Q36 - </t>
    </r>
    <r>
      <rPr>
        <b/>
        <sz val="14"/>
        <color rgb="FFFF0000"/>
        <rFont val="Arial"/>
        <family val="2"/>
      </rPr>
      <t>Au cours des</t>
    </r>
    <r>
      <rPr>
        <b/>
        <sz val="14"/>
        <color theme="1"/>
        <rFont val="Arial"/>
        <family val="2"/>
      </rPr>
      <t xml:space="preserve"> 2 derniéres années</t>
    </r>
    <r>
      <rPr>
        <b/>
        <sz val="14"/>
        <color rgb="FFFF0000"/>
        <rFont val="Arial"/>
        <family val="2"/>
      </rPr>
      <t>, avez-vous</t>
    </r>
    <r>
      <rPr>
        <b/>
        <sz val="14"/>
        <color theme="1"/>
        <rFont val="Arial"/>
        <family val="2"/>
      </rPr>
      <t xml:space="preserve"> réalisé un ou plusieurs des examens </t>
    </r>
    <r>
      <rPr>
        <b/>
        <sz val="14"/>
        <color rgb="FFFF0000"/>
        <rFont val="Arial"/>
        <family val="2"/>
      </rPr>
      <t>suivants :</t>
    </r>
    <r>
      <rPr>
        <b/>
        <sz val="14"/>
        <color theme="1"/>
        <rFont val="Arial"/>
        <family val="2"/>
      </rPr>
      <t xml:space="preserve"> </t>
    </r>
    <r>
      <rPr>
        <b/>
        <sz val="14"/>
        <color rgb="FFFF0000"/>
        <rFont val="Arial"/>
        <family val="2"/>
      </rPr>
      <t>scanner</t>
    </r>
    <r>
      <rPr>
        <b/>
        <sz val="14"/>
        <color theme="1"/>
        <rFont val="Arial"/>
        <family val="2"/>
      </rPr>
      <t xml:space="preserve"> ou radiographie du thorax; </t>
    </r>
    <r>
      <rPr>
        <b/>
        <sz val="14"/>
        <color rgb="FFFF0000"/>
        <rFont val="Arial"/>
        <family val="2"/>
      </rPr>
      <t>scanner,</t>
    </r>
    <r>
      <rPr>
        <b/>
        <sz val="14"/>
        <color theme="1"/>
        <rFont val="Arial"/>
        <family val="2"/>
      </rPr>
      <t xml:space="preserve"> IRM ou échographie de l'abdomen; IRM de la prostate ou de l'utéru</t>
    </r>
    <r>
      <rPr>
        <b/>
        <sz val="14"/>
        <color rgb="FFFF0000"/>
        <rFont val="Arial"/>
        <family val="2"/>
      </rPr>
      <t xml:space="preserve">s ; </t>
    </r>
    <r>
      <rPr>
        <b/>
        <sz val="14"/>
        <color theme="1"/>
        <rFont val="Arial"/>
        <family val="2"/>
      </rPr>
      <t xml:space="preserve"> échographie thyro</t>
    </r>
    <r>
      <rPr>
        <b/>
        <sz val="14"/>
        <color rgb="FFFF0000"/>
        <rFont val="Arial"/>
        <family val="2"/>
      </rPr>
      <t>ï</t>
    </r>
    <r>
      <rPr>
        <b/>
        <sz val="14"/>
        <color theme="1"/>
        <rFont val="Arial"/>
        <family val="2"/>
      </rPr>
      <t>dien</t>
    </r>
    <r>
      <rPr>
        <b/>
        <sz val="14"/>
        <color rgb="FFFF0000"/>
        <rFont val="Arial"/>
        <family val="2"/>
      </rPr>
      <t xml:space="preserve">ne ; </t>
    </r>
    <r>
      <rPr>
        <b/>
        <sz val="14"/>
        <color theme="1"/>
        <rFont val="Arial"/>
        <family val="2"/>
      </rPr>
      <t>échographie pelvienn</t>
    </r>
    <r>
      <rPr>
        <b/>
        <sz val="14"/>
        <color rgb="FFFF0000"/>
        <rFont val="Arial"/>
        <family val="2"/>
      </rPr>
      <t>e ?</t>
    </r>
  </si>
  <si>
    <r>
      <t xml:space="preserve">Q37 - </t>
    </r>
    <r>
      <rPr>
        <b/>
        <sz val="14"/>
        <color rgb="FFFF0000"/>
        <rFont val="Arial"/>
        <family val="2"/>
      </rPr>
      <t>Au cours des 2 derniéres années, avez-vous réalisé un scanner du thorax ou une radiographie pulmonaire ?</t>
    </r>
  </si>
  <si>
    <r>
      <t xml:space="preserve">Q38 - Au cours des 2 derniéres années, </t>
    </r>
    <r>
      <rPr>
        <b/>
        <sz val="14"/>
        <color rgb="FFFF0000"/>
        <rFont val="Arial"/>
        <family val="2"/>
      </rPr>
      <t>avez-vous réalisé une IRM de la prostate ?</t>
    </r>
  </si>
  <si>
    <r>
      <t xml:space="preserve">Q42 - Au cours des 2 derniéres années, </t>
    </r>
    <r>
      <rPr>
        <b/>
        <sz val="14"/>
        <color rgb="FFFF0000"/>
        <rFont val="Arial"/>
        <family val="2"/>
      </rPr>
      <t>avez-vous réalisé un dépistage du cancer du sein par mammographie</t>
    </r>
    <r>
      <rPr>
        <b/>
        <sz val="14"/>
        <color theme="1"/>
        <rFont val="Arial"/>
        <family val="2"/>
      </rPr>
      <t xml:space="preserve"> </t>
    </r>
    <r>
      <rPr>
        <b/>
        <sz val="14"/>
        <color rgb="FFFF0000"/>
        <rFont val="Arial"/>
        <family val="2"/>
      </rPr>
      <t>?</t>
    </r>
  </si>
  <si>
    <t>Q42bis - Au cours des 2 derniéres années, avez-vous réalisé un dépistage du cancer du col utérin ou êtes-vous vaccinée contre le HPV ?</t>
  </si>
  <si>
    <t xml:space="preserve">Q43 - Au cours des 2 derniéres années, avez-vous réalisé une épreuve d'effort ou un scanner coronaire ? </t>
  </si>
  <si>
    <r>
      <t xml:space="preserve">Q44 - </t>
    </r>
    <r>
      <rPr>
        <b/>
        <sz val="14"/>
        <color rgb="FFFF0000"/>
        <rFont val="Arial"/>
        <family val="2"/>
      </rPr>
      <t>Au cours des 2 derniéres années, avez-vous</t>
    </r>
    <r>
      <rPr>
        <b/>
        <sz val="14"/>
        <color theme="1"/>
        <rFont val="Arial"/>
        <family val="2"/>
      </rPr>
      <t xml:space="preserve"> un dépistage du cancer du colon par coloscopie ou recherche de sang dans les selles</t>
    </r>
    <r>
      <rPr>
        <b/>
        <sz val="14"/>
        <color rgb="FFFF0000"/>
        <rFont val="Arial"/>
        <family val="2"/>
      </rPr>
      <t xml:space="preserve"> ?</t>
    </r>
  </si>
  <si>
    <r>
      <t>Q45 - Quelle est votre taille (cm)</t>
    </r>
    <r>
      <rPr>
        <b/>
        <sz val="14"/>
        <color rgb="FFFF0000"/>
        <rFont val="Arial"/>
        <family val="2"/>
      </rPr>
      <t xml:space="preserve"> ?</t>
    </r>
  </si>
  <si>
    <r>
      <t xml:space="preserve">Q46 - Quel est votre poids (kg) </t>
    </r>
    <r>
      <rPr>
        <b/>
        <sz val="14"/>
        <color rgb="FFFF0000"/>
        <rFont val="Arial"/>
        <family val="2"/>
      </rPr>
      <t>?</t>
    </r>
  </si>
  <si>
    <r>
      <t>Q48 - Quel est votre tour de taille (cm)</t>
    </r>
    <r>
      <rPr>
        <b/>
        <sz val="14"/>
        <color rgb="FFFF0000"/>
        <rFont val="Arial"/>
        <family val="2"/>
      </rPr>
      <t xml:space="preserve"> ?</t>
    </r>
  </si>
  <si>
    <r>
      <t xml:space="preserve">Q49 - Quelle est votre pression artérielle systolique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</si>
  <si>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Q50 - Quelle est votre pression artérielle diastolique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</si>
  <si>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Q51 - </t>
    </r>
    <r>
      <rPr>
        <b/>
        <sz val="14"/>
        <color rgb="FFFF0000"/>
        <rFont val="Arial"/>
        <family val="2"/>
      </rPr>
      <t>Etes-vous</t>
    </r>
    <r>
      <rPr>
        <b/>
        <sz val="14"/>
        <color theme="1"/>
        <rFont val="Arial"/>
        <family val="2"/>
      </rPr>
      <t xml:space="preserve"> fumeur de cigarettes, cigares</t>
    </r>
    <r>
      <rPr>
        <b/>
        <sz val="14"/>
        <color rgb="FFFF0000"/>
        <rFont val="Arial"/>
        <family val="2"/>
      </rPr>
      <t xml:space="preserve"> ou de pipe</t>
    </r>
    <r>
      <rPr>
        <b/>
        <sz val="14"/>
        <color theme="1"/>
        <rFont val="Arial"/>
        <family val="2"/>
      </rPr>
      <t xml:space="preserve"> </t>
    </r>
    <r>
      <rPr>
        <b/>
        <sz val="14"/>
        <color rgb="FFFF0000"/>
        <rFont val="Arial"/>
        <family val="2"/>
      </rPr>
      <t>?</t>
    </r>
  </si>
  <si>
    <r>
      <t>Q52 - Consomme</t>
    </r>
    <r>
      <rPr>
        <b/>
        <sz val="14"/>
        <color rgb="FFFF0000"/>
        <rFont val="Arial"/>
        <family val="2"/>
      </rPr>
      <t>z-v</t>
    </r>
    <r>
      <rPr>
        <b/>
        <sz val="14"/>
        <color theme="1"/>
        <rFont val="Arial"/>
        <family val="2"/>
      </rPr>
      <t xml:space="preserve">ous régulièrement plus </t>
    </r>
    <r>
      <rPr>
        <b/>
        <sz val="14"/>
        <color rgb="FFFF0000"/>
        <rFont val="Arial"/>
        <family val="2"/>
      </rPr>
      <t>d'un demi verre</t>
    </r>
    <r>
      <rPr>
        <b/>
        <sz val="14"/>
        <color theme="1"/>
        <rFont val="Arial"/>
        <family val="2"/>
      </rPr>
      <t xml:space="preserve"> de vin ou plus de deux bières par </t>
    </r>
    <r>
      <rPr>
        <b/>
        <sz val="14"/>
        <color rgb="FFFF0000"/>
        <rFont val="Arial"/>
        <family val="2"/>
      </rPr>
      <t>jour ?</t>
    </r>
  </si>
  <si>
    <r>
      <t>Q54 - Pratique</t>
    </r>
    <r>
      <rPr>
        <b/>
        <sz val="14"/>
        <color rgb="FFFF0000"/>
        <rFont val="Arial"/>
        <family val="2"/>
      </rPr>
      <t>z-v</t>
    </r>
    <r>
      <rPr>
        <b/>
        <sz val="14"/>
        <color theme="1"/>
        <rFont val="Arial"/>
        <family val="2"/>
      </rPr>
      <t>ous une activité sportive supérieur à 30 minutes plus de 2 fois par semaine ou marchez vous en moyenne plus de 8000 pas par jou</t>
    </r>
    <r>
      <rPr>
        <b/>
        <sz val="14"/>
        <rFont val="Arial"/>
        <family val="2"/>
      </rPr>
      <t xml:space="preserve">r </t>
    </r>
    <r>
      <rPr>
        <b/>
        <sz val="14"/>
        <color theme="1"/>
        <rFont val="Arial"/>
        <family val="2"/>
      </rPr>
      <t>?</t>
    </r>
  </si>
  <si>
    <r>
      <t>Q55 - Consomme</t>
    </r>
    <r>
      <rPr>
        <b/>
        <sz val="14"/>
        <color rgb="FFFF0000"/>
        <rFont val="Arial"/>
        <family val="2"/>
      </rPr>
      <t>z-v</t>
    </r>
    <r>
      <rPr>
        <b/>
        <sz val="14"/>
        <color theme="1"/>
        <rFont val="Arial"/>
        <family val="2"/>
      </rPr>
      <t>ous régulièrement au moins 5 portions de fruits ou de légumes par jou</t>
    </r>
    <r>
      <rPr>
        <b/>
        <sz val="14"/>
        <color rgb="FFFF0000"/>
        <rFont val="Arial"/>
        <family val="2"/>
      </rPr>
      <t>r ?</t>
    </r>
    <r>
      <rPr>
        <b/>
        <sz val="14"/>
        <color theme="1"/>
        <rFont val="Arial"/>
        <family val="2"/>
      </rPr>
      <t xml:space="preserve"> </t>
    </r>
    <r>
      <rPr>
        <b/>
        <sz val="14"/>
        <color rgb="FFFF0000"/>
        <rFont val="Arial"/>
        <family val="2"/>
      </rPr>
      <t>(ex :</t>
    </r>
    <r>
      <rPr>
        <b/>
        <sz val="14"/>
        <color theme="1"/>
        <rFont val="Arial"/>
        <family val="2"/>
      </rPr>
      <t xml:space="preserve"> 5 portions = 1 tomate, 1 poignée de haricots verts, 1 tasse de soupe, 2 abricots, 5 fraise</t>
    </r>
    <r>
      <rPr>
        <b/>
        <sz val="14"/>
        <color rgb="FFFF0000"/>
        <rFont val="Arial"/>
        <family val="2"/>
      </rPr>
      <t xml:space="preserve">s) </t>
    </r>
  </si>
  <si>
    <r>
      <t>Q57 - Avez-vous un traitement (médicament) contre le diabè</t>
    </r>
    <r>
      <rPr>
        <b/>
        <sz val="14"/>
        <rFont val="Arial"/>
        <family val="2"/>
      </rPr>
      <t>te</t>
    </r>
    <r>
      <rPr>
        <b/>
        <sz val="14"/>
        <color theme="1"/>
        <rFont val="Arial"/>
        <family val="2"/>
      </rPr>
      <t xml:space="preserve"> ?</t>
    </r>
  </si>
  <si>
    <r>
      <t>Q58 - Avez-vous un traitement (médicament) pour réduire votre taux de cholestér</t>
    </r>
    <r>
      <rPr>
        <b/>
        <sz val="14"/>
        <rFont val="Arial"/>
        <family val="2"/>
      </rPr>
      <t>ol</t>
    </r>
    <r>
      <rPr>
        <b/>
        <sz val="14"/>
        <color theme="1"/>
        <rFont val="Arial"/>
        <family val="2"/>
      </rPr>
      <t xml:space="preserve"> ?</t>
    </r>
  </si>
  <si>
    <t>Q60 - Avez-vous un traitement pour réduire votre tension artérielle ?</t>
  </si>
  <si>
    <r>
      <t xml:space="preserve">Q61 - Avez-vous un traitement pour améliorer les érections (IPDE5) </t>
    </r>
    <r>
      <rPr>
        <b/>
        <sz val="14"/>
        <color rgb="FFFF0000"/>
        <rFont val="Arial"/>
        <family val="2"/>
      </rPr>
      <t>?</t>
    </r>
  </si>
  <si>
    <r>
      <t>Q59 - Avez-vous un traitement pour prévenir les caillots sanguins (aspirine, anticoagulants..</t>
    </r>
    <r>
      <rPr>
        <b/>
        <sz val="14"/>
        <rFont val="Arial"/>
        <family val="2"/>
      </rPr>
      <t>.)</t>
    </r>
    <r>
      <rPr>
        <b/>
        <sz val="14"/>
        <color theme="1"/>
        <rFont val="Arial"/>
        <family val="2"/>
      </rPr>
      <t xml:space="preserve"> </t>
    </r>
    <r>
      <rPr>
        <b/>
        <sz val="14"/>
        <color rgb="FFFF0000"/>
        <rFont val="Arial"/>
        <family val="2"/>
      </rPr>
      <t>?</t>
    </r>
  </si>
  <si>
    <r>
      <t xml:space="preserve">Q102-Combien de fréres et sœurs de plus de 35 ans avez-vous </t>
    </r>
    <r>
      <rPr>
        <b/>
        <sz val="14"/>
        <color rgb="FFFF0000"/>
        <rFont val="Arial"/>
        <family val="2"/>
      </rPr>
      <t>?</t>
    </r>
  </si>
  <si>
    <r>
      <t xml:space="preserve">Quel est votre volume de prostate mesuré en échographie ou IRM (cc ou ml) </t>
    </r>
    <r>
      <rPr>
        <b/>
        <sz val="14"/>
        <color rgb="FFFF0000"/>
        <rFont val="Arial"/>
        <family val="2"/>
      </rPr>
      <t>?</t>
    </r>
  </si>
  <si>
    <r>
      <t xml:space="preserve"> Q131-Si vous deviez passer le reste de votre vie avec votre état émotionnel ou nerveux tel qu'il est actuellement, que ressentiriez-vous à ce sujet </t>
    </r>
    <r>
      <rPr>
        <b/>
        <sz val="14"/>
        <color rgb="FFFF0000"/>
        <rFont val="Arial"/>
        <family val="2"/>
      </rPr>
      <t>?</t>
    </r>
  </si>
  <si>
    <r>
      <t xml:space="preserve"> Q130-Si vous deviez passer le reste de votre vie avec votre état ostéo-articulaire tel qu'il est actuellement, que ressentiriez-vous à ce sujet </t>
    </r>
    <r>
      <rPr>
        <b/>
        <sz val="14"/>
        <color rgb="FFFF0000"/>
        <rFont val="Arial"/>
        <family val="2"/>
      </rPr>
      <t>?</t>
    </r>
  </si>
  <si>
    <r>
      <t xml:space="preserve"> Q129-Si vous deviez passer le reste de votre vie avec votre état digestif tel qu'il est actuellement, que ressentiriez-vous à ce sujet</t>
    </r>
    <r>
      <rPr>
        <b/>
        <sz val="14"/>
        <color rgb="FFFF0000"/>
        <rFont val="Arial"/>
        <family val="2"/>
      </rPr>
      <t xml:space="preserve"> ?</t>
    </r>
  </si>
  <si>
    <r>
      <t>Q-128 Si vous deviez passer le reste de votre vie avec votre état sexuel tel qu'il est actuellement, que ressentiriez-vous à ce suje</t>
    </r>
    <r>
      <rPr>
        <b/>
        <sz val="14"/>
        <color rgb="FFFF0000"/>
        <rFont val="Arial"/>
        <family val="2"/>
      </rPr>
      <t>t ?</t>
    </r>
  </si>
  <si>
    <r>
      <t>Q62 - Prene</t>
    </r>
    <r>
      <rPr>
        <b/>
        <sz val="14"/>
        <color rgb="FFFF0000"/>
        <rFont val="Arial"/>
        <family val="2"/>
      </rPr>
      <t>z-v</t>
    </r>
    <r>
      <rPr>
        <b/>
        <sz val="14"/>
        <color theme="1"/>
        <rFont val="Arial"/>
        <family val="2"/>
      </rPr>
      <t>ous un des médicaments suivant</t>
    </r>
    <r>
      <rPr>
        <b/>
        <sz val="14"/>
        <color rgb="FFFF0000"/>
        <rFont val="Arial"/>
        <family val="2"/>
      </rPr>
      <t>s :</t>
    </r>
    <r>
      <rPr>
        <b/>
        <sz val="14"/>
        <color theme="1"/>
        <rFont val="Arial"/>
        <family val="2"/>
      </rPr>
      <t xml:space="preserve"> Dutasteride ou Finasteride (5ARI) </t>
    </r>
    <r>
      <rPr>
        <b/>
        <sz val="14"/>
        <color rgb="FFFF0000"/>
        <rFont val="Arial"/>
        <family val="2"/>
      </rPr>
      <t>?</t>
    </r>
  </si>
  <si>
    <r>
      <t xml:space="preserve">Q63 - Avez-vous </t>
    </r>
    <r>
      <rPr>
        <b/>
        <sz val="14"/>
        <color rgb="FFFF0000"/>
        <rFont val="Arial"/>
        <family val="2"/>
      </rPr>
      <t>suivi</t>
    </r>
    <r>
      <rPr>
        <b/>
        <sz val="14"/>
        <color theme="1"/>
        <rFont val="Arial"/>
        <family val="2"/>
      </rPr>
      <t xml:space="preserve"> un traitement par corti</t>
    </r>
    <r>
      <rPr>
        <b/>
        <sz val="14"/>
        <color rgb="FFFF0000"/>
        <rFont val="Arial"/>
        <family val="2"/>
      </rPr>
      <t>coï</t>
    </r>
    <r>
      <rPr>
        <b/>
        <sz val="14"/>
        <color theme="1"/>
        <rFont val="Arial"/>
        <family val="2"/>
      </rPr>
      <t xml:space="preserve">des </t>
    </r>
    <r>
      <rPr>
        <b/>
        <sz val="14"/>
        <color rgb="FFFF0000"/>
        <rFont val="Arial"/>
        <family val="2"/>
      </rPr>
      <t>pendant</t>
    </r>
    <r>
      <rPr>
        <b/>
        <sz val="14"/>
        <color theme="1"/>
        <rFont val="Arial"/>
        <family val="2"/>
      </rPr>
      <t xml:space="preserve"> plus de 3 mois </t>
    </r>
    <r>
      <rPr>
        <b/>
        <sz val="14"/>
        <color rgb="FFFF0000"/>
        <rFont val="Arial"/>
        <family val="2"/>
      </rPr>
      <t>?</t>
    </r>
  </si>
  <si>
    <r>
      <t>Q66 - Concernant votre sensibilité</t>
    </r>
    <r>
      <rPr>
        <b/>
        <sz val="14"/>
        <color rgb="FFFF0000"/>
        <rFont val="Arial"/>
        <family val="2"/>
      </rPr>
      <t xml:space="preserve"> cutanée : </t>
    </r>
  </si>
  <si>
    <r>
      <rPr>
        <b/>
        <sz val="14"/>
        <color rgb="FFFF0000"/>
        <rFont val="Arial"/>
        <family val="2"/>
      </rPr>
      <t>Avez-vous vécu plus d’un an dans un pays très ensoleillé</t>
    </r>
    <r>
      <rPr>
        <b/>
        <sz val="14"/>
        <color theme="1"/>
        <rFont val="Arial"/>
        <family val="2"/>
      </rPr>
      <t xml:space="preserve"> (Afrique, Moyen-Orient, Territoires français d’outre-mer, Sud des États-Unis, Australie, </t>
    </r>
    <r>
      <rPr>
        <b/>
        <sz val="14"/>
        <color rgb="FFFF0000"/>
        <rFont val="Arial"/>
        <family val="2"/>
      </rPr>
      <t>etc.</t>
    </r>
    <r>
      <rPr>
        <b/>
        <sz val="14"/>
        <color theme="1"/>
        <rFont val="Arial"/>
        <family val="2"/>
      </rPr>
      <t xml:space="preserve">) </t>
    </r>
    <r>
      <rPr>
        <b/>
        <sz val="14"/>
        <color rgb="FFFF0000"/>
        <rFont val="Arial"/>
        <family val="2"/>
      </rPr>
      <t>?</t>
    </r>
  </si>
  <si>
    <r>
      <rPr>
        <b/>
        <sz val="14"/>
        <color rgb="FFFF0000"/>
        <rFont val="Arial"/>
        <family val="2"/>
      </rPr>
      <t>Avez-vous</t>
    </r>
    <r>
      <rPr>
        <b/>
        <sz val="14"/>
        <color theme="1"/>
        <rFont val="Arial"/>
        <family val="2"/>
      </rPr>
      <t xml:space="preserve"> plus de 20 grains de beauté, au total, sur vos 2 membres supérieurs</t>
    </r>
    <r>
      <rPr>
        <b/>
        <sz val="14"/>
        <color rgb="FFFF0000"/>
        <rFont val="Arial"/>
        <family val="2"/>
      </rPr>
      <t xml:space="preserve"> ?</t>
    </r>
  </si>
  <si>
    <r>
      <rPr>
        <b/>
        <sz val="14"/>
        <color rgb="FFFF0000"/>
        <rFont val="Arial"/>
        <family val="2"/>
      </rPr>
      <t>Avez-vous déjà eu des</t>
    </r>
    <r>
      <rPr>
        <b/>
        <sz val="14"/>
        <color theme="1"/>
        <rFont val="Arial"/>
        <family val="2"/>
      </rPr>
      <t xml:space="preserve"> coups de soleil graves très douloureux avec cloques</t>
    </r>
    <r>
      <rPr>
        <b/>
        <sz val="14"/>
        <color rgb="FFFF0000"/>
        <rFont val="Arial"/>
        <family val="2"/>
      </rPr>
      <t xml:space="preserve"> ?</t>
    </r>
  </si>
  <si>
    <r>
      <rPr>
        <b/>
        <sz val="14"/>
        <color rgb="FFFF0000"/>
        <rFont val="Arial"/>
        <family val="2"/>
      </rPr>
      <t xml:space="preserve">Avez-vous </t>
    </r>
    <r>
      <rPr>
        <b/>
        <sz val="14"/>
        <color theme="1"/>
        <rFont val="Arial"/>
        <family val="2"/>
      </rPr>
      <t xml:space="preserve">la peau très </t>
    </r>
    <r>
      <rPr>
        <b/>
        <sz val="14"/>
        <color rgb="FFFF0000"/>
        <rFont val="Arial"/>
        <family val="2"/>
      </rPr>
      <t>claire qui bronze</t>
    </r>
    <r>
      <rPr>
        <b/>
        <sz val="14"/>
        <color theme="1"/>
        <rFont val="Arial"/>
        <family val="2"/>
      </rPr>
      <t xml:space="preserve"> difficilement ou avec des taches de rousseur</t>
    </r>
    <r>
      <rPr>
        <b/>
        <sz val="14"/>
        <color rgb="FFFF0000"/>
        <rFont val="Arial"/>
        <family val="2"/>
      </rPr>
      <t xml:space="preserve"> ?</t>
    </r>
  </si>
  <si>
    <r>
      <t>Q70 - Devez-vous vous arrêter parce que vous êtes essouffl</t>
    </r>
    <r>
      <rPr>
        <b/>
        <sz val="14"/>
        <color rgb="FFFF0000"/>
        <rFont val="Arial"/>
        <family val="2"/>
      </rPr>
      <t>é(e)</t>
    </r>
    <r>
      <rPr>
        <b/>
        <sz val="14"/>
        <color theme="1"/>
        <rFont val="Arial"/>
        <family val="2"/>
      </rPr>
      <t xml:space="preserve"> lorsque vous montez 3 étages ou moin</t>
    </r>
    <r>
      <rPr>
        <b/>
        <sz val="14"/>
        <color rgb="FFFF0000"/>
        <rFont val="Arial"/>
        <family val="2"/>
      </rPr>
      <t>s ?</t>
    </r>
  </si>
  <si>
    <r>
      <t>Q79 - Durant les 4 dernières semaine</t>
    </r>
    <r>
      <rPr>
        <b/>
        <sz val="14"/>
        <color rgb="FFFF0000"/>
        <rFont val="Arial"/>
        <family val="2"/>
      </rPr>
      <t>s, avez-vous</t>
    </r>
    <r>
      <rPr>
        <b/>
        <sz val="14"/>
        <color theme="1"/>
        <rFont val="Arial"/>
        <family val="2"/>
      </rPr>
      <t xml:space="preserve"> eu des fuites urinaires au cours d’efforts physiques </t>
    </r>
    <r>
      <rPr>
        <b/>
        <sz val="14"/>
        <color rgb="FFFF0000"/>
        <rFont val="Arial"/>
        <family val="2"/>
      </rPr>
      <t>?</t>
    </r>
  </si>
  <si>
    <r>
      <t xml:space="preserve">Q81 - </t>
    </r>
    <r>
      <rPr>
        <b/>
        <sz val="14"/>
        <color rgb="FFFF0000"/>
        <rFont val="Arial"/>
        <family val="2"/>
      </rPr>
      <t>Lorsque vous avez un besoin urgent d'uriner, combien de temps en moyenne pouvez-vous vous retenir ?</t>
    </r>
  </si>
  <si>
    <r>
      <t xml:space="preserve">Q88 - </t>
    </r>
    <r>
      <rPr>
        <b/>
        <sz val="14"/>
        <color rgb="FFFF0000"/>
        <rFont val="Arial"/>
        <family val="2"/>
      </rPr>
      <t>Concernant les apnées du sommeil, veuillez indiquer si vous rencontrez les situations suivantes :</t>
    </r>
  </si>
  <si>
    <r>
      <t>Vous vous endormez fréquemment après le dîner</t>
    </r>
    <r>
      <rPr>
        <b/>
        <sz val="14"/>
        <color rgb="FFFF0000"/>
        <rFont val="Arial"/>
        <family val="2"/>
      </rPr>
      <t>.</t>
    </r>
  </si>
  <si>
    <r>
      <t>Vous avez des réveils répétés, ou un sommeil agité</t>
    </r>
    <r>
      <rPr>
        <b/>
        <sz val="14"/>
        <color rgb="FFFF0000"/>
        <rFont val="Arial"/>
        <family val="2"/>
      </rPr>
      <t>.</t>
    </r>
  </si>
  <si>
    <r>
      <t>Vous êtes sujet aux ronflements</t>
    </r>
    <r>
      <rPr>
        <b/>
        <sz val="14"/>
        <color rgb="FFFF0000"/>
        <rFont val="Arial"/>
        <family val="2"/>
      </rPr>
      <t>.</t>
    </r>
  </si>
  <si>
    <r>
      <t>Vous vous sentez fatigué</t>
    </r>
    <r>
      <rPr>
        <b/>
        <sz val="14"/>
        <color rgb="FFFF0000"/>
        <rFont val="Arial"/>
        <family val="2"/>
      </rPr>
      <t>(e)</t>
    </r>
    <r>
      <rPr>
        <b/>
        <sz val="14"/>
        <color theme="1"/>
        <rFont val="Arial"/>
        <family val="2"/>
      </rPr>
      <t xml:space="preserve"> ou sans entrain au réveil</t>
    </r>
    <r>
      <rPr>
        <b/>
        <sz val="14"/>
        <color rgb="FFFF0000"/>
        <rFont val="Arial"/>
        <family val="2"/>
      </rPr>
      <t>.</t>
    </r>
  </si>
  <si>
    <r>
      <t>Vous avez tendance à somnoler la journée dans vos activités quotidiennes</t>
    </r>
    <r>
      <rPr>
        <b/>
        <sz val="14"/>
        <color rgb="FFFF0000"/>
        <rFont val="Arial"/>
        <family val="2"/>
      </rPr>
      <t>.</t>
    </r>
  </si>
  <si>
    <r>
      <t>Vous vous endormez facilement devant la télévision ou lors d'un spectacle</t>
    </r>
    <r>
      <rPr>
        <b/>
        <sz val="14"/>
        <color rgb="FFFF0000"/>
        <rFont val="Arial"/>
        <family val="2"/>
      </rPr>
      <t>.</t>
    </r>
  </si>
  <si>
    <r>
      <t>Q89 - Votre père</t>
    </r>
    <r>
      <rPr>
        <b/>
        <sz val="14"/>
        <color rgb="FFFF0000"/>
        <rFont val="Arial"/>
        <family val="2"/>
      </rPr>
      <t xml:space="preserve"> a-t-il</t>
    </r>
    <r>
      <rPr>
        <b/>
        <sz val="14"/>
        <color theme="1"/>
        <rFont val="Arial"/>
        <family val="2"/>
      </rPr>
      <t xml:space="preserve"> eu un cancer </t>
    </r>
    <r>
      <rPr>
        <b/>
        <sz val="14"/>
        <color rgb="FFFF0000"/>
        <rFont val="Arial"/>
        <family val="2"/>
      </rPr>
      <t>?</t>
    </r>
  </si>
  <si>
    <r>
      <t xml:space="preserve">Q97 - Votre mére </t>
    </r>
    <r>
      <rPr>
        <b/>
        <sz val="14"/>
        <color rgb="FFFF0000"/>
        <rFont val="Arial"/>
        <family val="2"/>
      </rPr>
      <t>a-t-elle</t>
    </r>
    <r>
      <rPr>
        <b/>
        <sz val="14"/>
        <color theme="1"/>
        <rFont val="Arial"/>
        <family val="2"/>
      </rPr>
      <t xml:space="preserve"> eu un cancer </t>
    </r>
    <r>
      <rPr>
        <b/>
        <sz val="14"/>
        <color rgb="FFFF0000"/>
        <rFont val="Arial"/>
        <family val="2"/>
      </rPr>
      <t>?</t>
    </r>
  </si>
  <si>
    <r>
      <t xml:space="preserve">Q93 - Votre père </t>
    </r>
    <r>
      <rPr>
        <b/>
        <sz val="14"/>
        <color rgb="FFFF0000"/>
        <rFont val="Arial"/>
        <family val="2"/>
      </rPr>
      <t>a-t-il</t>
    </r>
    <r>
      <rPr>
        <b/>
        <sz val="14"/>
        <color theme="1"/>
        <rFont val="Arial"/>
        <family val="2"/>
      </rPr>
      <t xml:space="preserve"> eu un mélanome </t>
    </r>
    <r>
      <rPr>
        <b/>
        <sz val="14"/>
        <color rgb="FFFF0000"/>
        <rFont val="Arial"/>
        <family val="2"/>
      </rPr>
      <t>?</t>
    </r>
  </si>
  <si>
    <r>
      <t xml:space="preserve">Q90 - Votre père </t>
    </r>
    <r>
      <rPr>
        <b/>
        <sz val="14"/>
        <color rgb="FFFF0000"/>
        <rFont val="Arial"/>
        <family val="2"/>
      </rPr>
      <t>a-t-il</t>
    </r>
    <r>
      <rPr>
        <b/>
        <sz val="14"/>
        <color theme="1"/>
        <rFont val="Arial"/>
        <family val="2"/>
      </rPr>
      <t xml:space="preserve"> eu un cancer de la prostate </t>
    </r>
    <r>
      <rPr>
        <b/>
        <sz val="14"/>
        <color rgb="FFFF0000"/>
        <rFont val="Arial"/>
        <family val="2"/>
      </rPr>
      <t>avant l'âge de</t>
    </r>
    <r>
      <rPr>
        <b/>
        <sz val="14"/>
        <color theme="1"/>
        <rFont val="Arial"/>
        <family val="2"/>
      </rPr>
      <t xml:space="preserve"> 70 ans </t>
    </r>
    <r>
      <rPr>
        <b/>
        <sz val="14"/>
        <color rgb="FFFF0000"/>
        <rFont val="Arial"/>
        <family val="2"/>
      </rPr>
      <t>?</t>
    </r>
  </si>
  <si>
    <r>
      <t xml:space="preserve">Q99 - Votre mére </t>
    </r>
    <r>
      <rPr>
        <b/>
        <sz val="14"/>
        <color rgb="FFFF0000"/>
        <rFont val="Arial"/>
        <family val="2"/>
      </rPr>
      <t>a-t-elle</t>
    </r>
    <r>
      <rPr>
        <b/>
        <sz val="14"/>
        <color theme="1"/>
        <rFont val="Arial"/>
        <family val="2"/>
      </rPr>
      <t xml:space="preserve"> eu un cancer du colon </t>
    </r>
    <r>
      <rPr>
        <b/>
        <sz val="14"/>
        <color rgb="FFFF0000"/>
        <rFont val="Arial"/>
        <family val="2"/>
      </rPr>
      <t>?</t>
    </r>
  </si>
  <si>
    <r>
      <t xml:space="preserve">Q101 - Votre mére </t>
    </r>
    <r>
      <rPr>
        <b/>
        <sz val="14"/>
        <color rgb="FFFF0000"/>
        <rFont val="Arial"/>
        <family val="2"/>
      </rPr>
      <t>a-t-elle</t>
    </r>
    <r>
      <rPr>
        <b/>
        <sz val="14"/>
        <color theme="1"/>
        <rFont val="Arial"/>
        <family val="2"/>
      </rPr>
      <t xml:space="preserve"> </t>
    </r>
    <r>
      <rPr>
        <b/>
        <sz val="14"/>
        <color rgb="FFFF0000"/>
        <rFont val="Arial"/>
        <family val="2"/>
      </rPr>
      <t>eu u</t>
    </r>
    <r>
      <rPr>
        <b/>
        <sz val="14"/>
        <color theme="1"/>
        <rFont val="Arial"/>
        <family val="2"/>
      </rPr>
      <t>n mélanome</t>
    </r>
    <r>
      <rPr>
        <b/>
        <sz val="14"/>
        <color rgb="FFFF0000"/>
        <rFont val="Arial"/>
        <family val="2"/>
      </rPr>
      <t xml:space="preserve"> ?</t>
    </r>
  </si>
  <si>
    <r>
      <t>Q111 - Combien de frére</t>
    </r>
    <r>
      <rPr>
        <b/>
        <sz val="14"/>
        <color rgb="FFFF0000"/>
        <rFont val="Arial"/>
        <family val="2"/>
      </rPr>
      <t>(s)</t>
    </r>
    <r>
      <rPr>
        <b/>
        <sz val="14"/>
        <color theme="1"/>
        <rFont val="Arial"/>
        <family val="2"/>
      </rPr>
      <t xml:space="preserve"> ont eu un cancer de la prostate</t>
    </r>
    <r>
      <rPr>
        <b/>
        <sz val="14"/>
        <color rgb="FFFF0000"/>
        <rFont val="Arial"/>
        <family val="2"/>
      </rPr>
      <t xml:space="preserve"> ?</t>
    </r>
  </si>
  <si>
    <r>
      <t>Q114 - Combien de soeur</t>
    </r>
    <r>
      <rPr>
        <b/>
        <sz val="14"/>
        <color rgb="FFFF0000"/>
        <rFont val="Arial"/>
        <family val="2"/>
      </rPr>
      <t>(s)</t>
    </r>
    <r>
      <rPr>
        <b/>
        <sz val="14"/>
        <color theme="1"/>
        <rFont val="Arial"/>
        <family val="2"/>
      </rPr>
      <t xml:space="preserve"> ou frére</t>
    </r>
    <r>
      <rPr>
        <b/>
        <sz val="14"/>
        <color rgb="FFFF0000"/>
        <rFont val="Arial"/>
        <family val="2"/>
      </rPr>
      <t xml:space="preserve">(s) </t>
    </r>
    <r>
      <rPr>
        <b/>
        <sz val="14"/>
        <color theme="1"/>
        <rFont val="Arial"/>
        <family val="2"/>
      </rPr>
      <t xml:space="preserve">ont eu un cancer du sein </t>
    </r>
    <r>
      <rPr>
        <b/>
        <sz val="14"/>
        <color rgb="FFFF0000"/>
        <rFont val="Arial"/>
        <family val="2"/>
      </rPr>
      <t>?</t>
    </r>
  </si>
  <si>
    <r>
      <t>Q115 - Combien de soeur</t>
    </r>
    <r>
      <rPr>
        <b/>
        <sz val="14"/>
        <color rgb="FFFF0000"/>
        <rFont val="Arial"/>
        <family val="2"/>
      </rPr>
      <t>(s)</t>
    </r>
    <r>
      <rPr>
        <b/>
        <sz val="14"/>
        <color theme="1"/>
        <rFont val="Arial"/>
        <family val="2"/>
      </rPr>
      <t xml:space="preserve"> ou frére</t>
    </r>
    <r>
      <rPr>
        <b/>
        <sz val="14"/>
        <color rgb="FFFF0000"/>
        <rFont val="Arial"/>
        <family val="2"/>
      </rPr>
      <t>(s)</t>
    </r>
    <r>
      <rPr>
        <b/>
        <sz val="14"/>
        <color theme="1"/>
        <rFont val="Arial"/>
        <family val="2"/>
      </rPr>
      <t xml:space="preserve"> ont eu un mélanome</t>
    </r>
    <r>
      <rPr>
        <b/>
        <sz val="14"/>
        <color rgb="FFFF0000"/>
        <rFont val="Arial"/>
        <family val="2"/>
      </rPr>
      <t xml:space="preserve"> ?</t>
    </r>
  </si>
  <si>
    <r>
      <t>Q115bis - Combien de soeur</t>
    </r>
    <r>
      <rPr>
        <b/>
        <sz val="14"/>
        <color rgb="FFFF0000"/>
        <rFont val="Arial"/>
        <family val="2"/>
      </rPr>
      <t>(s)</t>
    </r>
    <r>
      <rPr>
        <b/>
        <sz val="14"/>
        <color theme="1"/>
        <rFont val="Arial"/>
        <family val="2"/>
      </rPr>
      <t xml:space="preserve"> ou frére</t>
    </r>
    <r>
      <rPr>
        <b/>
        <sz val="14"/>
        <color rgb="FFFF0000"/>
        <rFont val="Arial"/>
        <family val="2"/>
      </rPr>
      <t>(s)</t>
    </r>
    <r>
      <rPr>
        <b/>
        <sz val="14"/>
        <color theme="1"/>
        <rFont val="Arial"/>
        <family val="2"/>
      </rPr>
      <t xml:space="preserve"> ont eu un cancer du colon </t>
    </r>
    <r>
      <rPr>
        <b/>
        <sz val="14"/>
        <color rgb="FFFF0000"/>
        <rFont val="Arial"/>
        <family val="2"/>
      </rPr>
      <t>?</t>
    </r>
  </si>
  <si>
    <r>
      <t xml:space="preserve">Q120 - </t>
    </r>
    <r>
      <rPr>
        <b/>
        <sz val="14"/>
        <color rgb="FFFF0000"/>
        <rFont val="Arial"/>
        <family val="2"/>
      </rPr>
      <t>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qui a eu un ou des calcul</t>
    </r>
    <r>
      <rPr>
        <b/>
        <sz val="14"/>
        <color rgb="FFFF0000"/>
        <rFont val="Arial"/>
        <family val="2"/>
      </rPr>
      <t>(s)</t>
    </r>
    <r>
      <rPr>
        <b/>
        <sz val="14"/>
        <color theme="1"/>
        <rFont val="Arial"/>
        <family val="2"/>
      </rPr>
      <t xml:space="preserve"> de la vésicule biliaire</t>
    </r>
    <r>
      <rPr>
        <b/>
        <sz val="14"/>
        <color rgb="FFFF0000"/>
        <rFont val="Arial"/>
        <family val="2"/>
      </rPr>
      <t xml:space="preserve"> ou </t>
    </r>
    <r>
      <rPr>
        <b/>
        <sz val="14"/>
        <color theme="1"/>
        <rFont val="Arial"/>
        <family val="2"/>
      </rPr>
      <t>une ablation de la vésicule bil</t>
    </r>
    <r>
      <rPr>
        <b/>
        <sz val="14"/>
        <color rgb="FFFF0000"/>
        <rFont val="Arial"/>
        <family val="2"/>
      </rPr>
      <t>iaire</t>
    </r>
    <r>
      <rPr>
        <b/>
        <sz val="14"/>
        <color theme="1"/>
        <rFont val="Arial"/>
        <family val="2"/>
      </rPr>
      <t xml:space="preserve"> </t>
    </r>
    <r>
      <rPr>
        <b/>
        <sz val="14"/>
        <color rgb="FFFF0000"/>
        <rFont val="Arial"/>
        <family val="2"/>
      </rPr>
      <t>?</t>
    </r>
  </si>
  <si>
    <r>
      <t xml:space="preserve">Q121 -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un infarctus ou un accident vasculaire avant 75 ans</t>
    </r>
    <r>
      <rPr>
        <b/>
        <sz val="14"/>
        <color rgb="FFFF0000"/>
        <rFont val="Arial"/>
        <family val="2"/>
      </rPr>
      <t xml:space="preserve"> ?</t>
    </r>
  </si>
  <si>
    <r>
      <t xml:space="preserve">Q123 - </t>
    </r>
    <r>
      <rPr>
        <b/>
        <sz val="14"/>
        <color rgb="FFFF0000"/>
        <rFont val="Arial"/>
        <family val="2"/>
      </rPr>
      <t>Avez-vous</t>
    </r>
    <r>
      <rPr>
        <b/>
        <sz val="14"/>
        <color theme="1"/>
        <rFont val="Arial"/>
        <family val="2"/>
      </rPr>
      <t xml:space="preserve"> un parent</t>
    </r>
    <r>
      <rPr>
        <b/>
        <sz val="14"/>
        <color rgb="FFFF0000"/>
        <rFont val="Arial"/>
        <family val="2"/>
      </rPr>
      <t xml:space="preserve"> (mère, père, sœur, frère)</t>
    </r>
    <r>
      <rPr>
        <b/>
        <sz val="14"/>
        <color theme="1"/>
        <rFont val="Arial"/>
        <family val="2"/>
      </rPr>
      <t xml:space="preserve"> qui a eu un ou des calcul</t>
    </r>
    <r>
      <rPr>
        <b/>
        <sz val="14"/>
        <color rgb="FFFF0000"/>
        <rFont val="Arial"/>
        <family val="2"/>
      </rPr>
      <t>(s)</t>
    </r>
    <r>
      <rPr>
        <b/>
        <sz val="14"/>
        <color theme="1"/>
        <rFont val="Arial"/>
        <family val="2"/>
      </rPr>
      <t xml:space="preserve"> urinaires </t>
    </r>
    <r>
      <rPr>
        <b/>
        <sz val="14"/>
        <color rgb="FFFF0000"/>
        <rFont val="Arial"/>
        <family val="2"/>
      </rPr>
      <t>?</t>
    </r>
  </si>
  <si>
    <r>
      <t xml:space="preserve">Q124 -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une phlébite ou </t>
    </r>
    <r>
      <rPr>
        <b/>
        <sz val="14"/>
        <color rgb="FFFF0000"/>
        <rFont val="Arial"/>
        <family val="2"/>
      </rPr>
      <t>une</t>
    </r>
    <r>
      <rPr>
        <b/>
        <sz val="14"/>
        <color theme="1"/>
        <rFont val="Arial"/>
        <family val="2"/>
      </rPr>
      <t xml:space="preserve"> embolie pulmonaire </t>
    </r>
    <r>
      <rPr>
        <b/>
        <sz val="14"/>
        <color rgb="FFFF0000"/>
        <rFont val="Arial"/>
        <family val="2"/>
      </rPr>
      <t>?</t>
    </r>
  </si>
  <si>
    <r>
      <t xml:space="preserve">Q125 - </t>
    </r>
    <r>
      <rPr>
        <b/>
        <sz val="14"/>
        <color rgb="FFFF0000"/>
        <rFont val="Arial"/>
        <family val="2"/>
      </rPr>
      <t>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 xml:space="preserve">qui a eu un diabète avant 70 ans </t>
    </r>
    <r>
      <rPr>
        <b/>
        <sz val="14"/>
        <color rgb="FFFF0000"/>
        <rFont val="Arial"/>
        <family val="2"/>
      </rPr>
      <t>?</t>
    </r>
  </si>
  <si>
    <r>
      <t>Q126 -</t>
    </r>
    <r>
      <rPr>
        <b/>
        <sz val="14"/>
        <color rgb="FFFF0000"/>
        <rFont val="Arial"/>
        <family val="2"/>
      </rPr>
      <t xml:space="preserve"> 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 xml:space="preserve">qui a eu une une dyslipidémie (cholestérol ou triglycérides) </t>
    </r>
    <r>
      <rPr>
        <b/>
        <sz val="14"/>
        <color rgb="FFFF0000"/>
        <rFont val="Arial"/>
        <family val="2"/>
      </rPr>
      <t>?</t>
    </r>
  </si>
  <si>
    <r>
      <t xml:space="preserve">Q127 -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de l'asthme ou une allergie respiratoir</t>
    </r>
    <r>
      <rPr>
        <b/>
        <sz val="14"/>
        <color rgb="FFFF0000"/>
        <rFont val="Arial"/>
        <family val="2"/>
      </rPr>
      <t>e ?</t>
    </r>
  </si>
  <si>
    <r>
      <t xml:space="preserve">Q71 - Si vous deviez passer le reste de votre vie avec votre état urinaire </t>
    </r>
    <r>
      <rPr>
        <b/>
        <sz val="14"/>
        <color rgb="FFFF0000"/>
        <rFont val="Arial"/>
        <family val="2"/>
      </rPr>
      <t xml:space="preserve"> </t>
    </r>
    <r>
      <rPr>
        <b/>
        <sz val="14"/>
        <rFont val="Arial"/>
        <family val="2"/>
      </rPr>
      <t>tel qu'il est actuellement, que r</t>
    </r>
    <r>
      <rPr>
        <b/>
        <sz val="14"/>
        <color theme="1"/>
        <rFont val="Arial"/>
        <family val="2"/>
      </rPr>
      <t>essentiriez-vous à ce suje</t>
    </r>
    <r>
      <rPr>
        <b/>
        <sz val="14"/>
        <color rgb="FFFF0000"/>
        <rFont val="Arial"/>
        <family val="2"/>
      </rPr>
      <t>t ?</t>
    </r>
  </si>
  <si>
    <r>
      <t xml:space="preserve">Q17 - </t>
    </r>
    <r>
      <rPr>
        <b/>
        <sz val="14"/>
        <color rgb="FFFF0000"/>
        <rFont val="Arial"/>
        <family val="2"/>
      </rPr>
      <t>Avez-vous</t>
    </r>
    <r>
      <rPr>
        <b/>
        <sz val="14"/>
        <color theme="1"/>
        <rFont val="Arial"/>
        <family val="2"/>
      </rPr>
      <t xml:space="preserve"> une tumeur de vessie ou de l'uretere</t>
    </r>
    <r>
      <rPr>
        <b/>
        <sz val="14"/>
        <color rgb="FFFF0000"/>
        <rFont val="Arial"/>
        <family val="2"/>
      </rPr>
      <t xml:space="preserve"> ?</t>
    </r>
  </si>
  <si>
    <r>
      <t>Q4 - Quelle est votre type</t>
    </r>
    <r>
      <rPr>
        <b/>
        <sz val="14"/>
        <color rgb="FFFF0000"/>
        <rFont val="Arial"/>
        <family val="2"/>
      </rPr>
      <t xml:space="preserve"> </t>
    </r>
    <r>
      <rPr>
        <b/>
        <sz val="14"/>
        <color rgb="FF00B0F0"/>
        <rFont val="Arial"/>
        <family val="2"/>
      </rPr>
      <t>/ origine ethnique</t>
    </r>
    <r>
      <rPr>
        <b/>
        <sz val="14"/>
        <color rgb="FFFF0000"/>
        <rFont val="Arial"/>
        <family val="2"/>
      </rPr>
      <t xml:space="preserve"> ?</t>
    </r>
  </si>
  <si>
    <t>Vision</t>
  </si>
  <si>
    <t>Audition</t>
  </si>
  <si>
    <t>Spirométrie (rapport VEMS1/CVF)</t>
  </si>
  <si>
    <t>&gt;80%</t>
  </si>
  <si>
    <t>&lt;80%</t>
  </si>
  <si>
    <t>Spirométrie (rapport VEMS1/CVF) en %</t>
  </si>
  <si>
    <t>La valeur normale est supérieure à 80 %. La spirométrie  mesure des volumes pulmonaires et des débits ventilatoires. Son rôle est central dans le diagnostic de l’asthme et la bronchopneumopathie obstructive chronique (BPCO)</t>
  </si>
  <si>
    <t>Acuité visuelle (somme des 2) 0 à 20</t>
  </si>
  <si>
    <t>Tension oculaire (non fait, normale ou anormale)</t>
  </si>
  <si>
    <t>Examen de la rétine  (non fait, normale ou anormale)</t>
  </si>
  <si>
    <t>Surdité légère perte auditive en décibel entre 21 et 40 dB</t>
  </si>
  <si>
    <t>Normale perte auditive en décibel &lt;20 dB</t>
  </si>
  <si>
    <t>Surdité perte auditive en décibel &gt; 40 dB</t>
  </si>
  <si>
    <t>Acuité auditive</t>
  </si>
  <si>
    <t xml:space="preserve"> </t>
  </si>
  <si>
    <t>Si la qualité de vie urinaire évaluée par intégratome est réduite une consultation spécialisée d'urologie est proposée</t>
  </si>
  <si>
    <t>Si la qualité de vie sexuelle évaluée par intégratome est réduite une consultation spécialisée d'urologie ou de gynécologie est proposée</t>
  </si>
  <si>
    <t>Si la qualité de vie digestive évaluée par intégratome est réduite une consultation spécialisée de gastro-entérologie est proposée</t>
  </si>
  <si>
    <t>Si la qualité de vie de l'appareil locomoteur évaluée par intégratome est réduite une consultation spécialisée de rhumatologie est proposée</t>
  </si>
  <si>
    <t>Si la qualité de vie nerveuse évaluée par intégratome est réduite une consultation spécialisée de neurologie ou psychologique est proposée</t>
  </si>
  <si>
    <t>Si la qualité du sommeil évaluée par intégratome est réduite un enregistrement du sommeil (polysomnographie) peut être demandé</t>
  </si>
  <si>
    <r>
      <t xml:space="preserve">Q91 - Votre père </t>
    </r>
    <r>
      <rPr>
        <b/>
        <sz val="14"/>
        <color rgb="FFFF0000"/>
        <rFont val="Arial"/>
        <family val="2"/>
      </rPr>
      <t xml:space="preserve">a-t-il </t>
    </r>
    <r>
      <rPr>
        <b/>
        <sz val="14"/>
        <color theme="1"/>
        <rFont val="Arial"/>
        <family val="2"/>
      </rPr>
      <t>eu un cancer du colon</t>
    </r>
    <r>
      <rPr>
        <b/>
        <sz val="14"/>
        <color rgb="FFFF0000"/>
        <rFont val="Arial"/>
        <family val="2"/>
      </rPr>
      <t xml:space="preserve"> avant l'âge de 70 ans?</t>
    </r>
  </si>
  <si>
    <r>
      <t xml:space="preserve">Q98 - Votre mére </t>
    </r>
    <r>
      <rPr>
        <b/>
        <sz val="14"/>
        <color rgb="FFFF0000"/>
        <rFont val="Arial"/>
        <family val="2"/>
      </rPr>
      <t xml:space="preserve">a-t-elle </t>
    </r>
    <r>
      <rPr>
        <b/>
        <sz val="14"/>
        <color theme="1"/>
        <rFont val="Arial"/>
        <family val="2"/>
      </rPr>
      <t>eu un cancer du sein avant l'âge de 50 ans</t>
    </r>
    <r>
      <rPr>
        <b/>
        <sz val="14"/>
        <color rgb="FFFF0000"/>
        <rFont val="Arial"/>
        <family val="2"/>
      </rPr>
      <t>?</t>
    </r>
  </si>
  <si>
    <t>RatioRisque</t>
  </si>
  <si>
    <t>&lt;1,2</t>
  </si>
  <si>
    <t>&gt;2,2</t>
  </si>
  <si>
    <t>1,2-2,2</t>
  </si>
  <si>
    <r>
      <rPr>
        <b/>
        <sz val="14"/>
        <color rgb="FFFF0000"/>
        <rFont val="Aptos"/>
        <family val="2"/>
      </rPr>
      <t>O</t>
    </r>
    <r>
      <rPr>
        <b/>
        <sz val="14"/>
        <color theme="1"/>
        <rFont val="Aptos"/>
        <family val="2"/>
      </rPr>
      <t>ui"Y"</t>
    </r>
  </si>
  <si>
    <r>
      <rPr>
        <b/>
        <sz val="14"/>
        <color rgb="FFFF0000"/>
        <rFont val="Aptos"/>
        <family val="2"/>
      </rPr>
      <t>N</t>
    </r>
    <r>
      <rPr>
        <b/>
        <sz val="14"/>
        <color theme="1"/>
        <rFont val="Aptos"/>
        <family val="2"/>
      </rPr>
      <t>on"N"</t>
    </r>
  </si>
  <si>
    <t>appareil respiratoire</t>
  </si>
  <si>
    <t>Appareil respiratoire</t>
  </si>
  <si>
    <t>Sexualité</t>
  </si>
  <si>
    <t>Appareil cardio-vasculaire</t>
  </si>
  <si>
    <t>Q150 - Toussez-vous souvent (tous les jours) ?</t>
  </si>
  <si>
    <t>Q151 - Avez-vous l’impression de voir moins bien (difficultés pour lire, pour voir de loin…) ?</t>
  </si>
  <si>
    <t>Q152 - Avez-vous l’impression d’entendre moins bien et/ou votre entourage a-t-i l’impression que votre audition a baissé ?</t>
  </si>
  <si>
    <t>Q154 - Avez-vous la sensation d’oublier des choses ?</t>
  </si>
  <si>
    <t>Q155 - Avez-vous observé des gonflements importants et/ou inhabituels de vos chevilles ou de vos jambes ?</t>
  </si>
  <si>
    <t>Qualité du Sommeil</t>
  </si>
  <si>
    <t>Si la qualité auditive évaluée par intégratome est réduite un bilan ORL est conseillé: mesure l'acuité auditive (Audiométrie). Une anomalie justifie un examen ORL plus approfondi.</t>
  </si>
  <si>
    <t>Si la qualité visuelle évaluée par intégratome est réduite un bilan ophtalmologique est conseillé: mesure de l’acuité visuelle, Une mesure de la pression intraoculaire (dépistage du glaucome), un examen de la rétine (fond d'œil ou rétinographie). Une anomalie d'un de ces examens justifie un examen ophtamolgique plus approfondi.</t>
  </si>
  <si>
    <t>Le bilan auditif est mesure l'acuité auditive (Audiométrie). Une anomalie justifie un examen ORL plus approfondi.</t>
  </si>
  <si>
    <t>Le bilan ophtalmologique mesure l’acuité visuelle, mesure la pression intraoculaire (dépistage du glaucome), et fait un examen de la rétine (fond d'œil ou rétinographie). Une anomalie d'un de ces examens justifie un examen ophtamolgique plus approfondi.</t>
  </si>
  <si>
    <t>Q153 Avez-vous des bouffées de chaleur ou sueurs nocturnes</t>
  </si>
  <si>
    <t>Avec actionRatio</t>
  </si>
  <si>
    <t>Avec action colonne a utiliser</t>
  </si>
  <si>
    <t>Non fait</t>
  </si>
  <si>
    <t>ReferenceCurrentcalcul inteemediare</t>
  </si>
  <si>
    <t>RisquesRefa5ansIntermediare</t>
  </si>
  <si>
    <t>Endométriose</t>
  </si>
  <si>
    <t>Q2 - Avez-vous un ou plusieurs enfants à la maison ?</t>
  </si>
  <si>
    <t>Oui"Y"</t>
  </si>
  <si>
    <t>Non"N"</t>
  </si>
  <si>
    <t>Q3 - Si oui, les élevez-vous seul(e) ?</t>
  </si>
  <si>
    <t>Q4 - Assumez-vous un rôle d’aidant ? Aidez-vous une personne de manière régulière, et fréquente, en raison de son âge, de la maladie ou d’une situation de handicap ?</t>
  </si>
  <si>
    <t>Q5 - En cas de besoin, pouvez-vous compter sur une personne de votre entourage ?</t>
  </si>
  <si>
    <t>Q2 - Vous êtes :</t>
  </si>
  <si>
    <t>En études</t>
  </si>
  <si>
    <t xml:space="preserve"> En emploi</t>
  </si>
  <si>
    <t>A la recherche d’un emploi</t>
  </si>
  <si>
    <t>En cumul étude-emploi</t>
  </si>
  <si>
    <t>Autre</t>
  </si>
  <si>
    <t>Q3 - Vous habitez :</t>
  </si>
  <si>
    <t>Seul(e)</t>
  </si>
  <si>
    <t xml:space="preserve"> Chez vos parents (vous êtes hébergé par votre famille)</t>
  </si>
  <si>
    <t>En couple</t>
  </si>
  <si>
    <t>Avec d’autres personnes (amis, colocataires, …)</t>
  </si>
  <si>
    <t>Q6 - Envisagez-vous d’avoir un enfant dans les 5 prochaines années ?</t>
  </si>
  <si>
    <t>Ne sais pas</t>
  </si>
  <si>
    <t>Q24 - Vos conditions de vie et/ou de travail sont-elles difficiles/pénibles ?</t>
  </si>
  <si>
    <t>Q4 - Au cours des 6 derniers mois, avez-vous eu des contacts avec des proches (amis, membres de votre famille) ?</t>
  </si>
  <si>
    <t>Maladie congénitale</t>
  </si>
  <si>
    <t>Maladie inflammatoire chronique de l’intestin (maladie de Crohn, rectocolite hémorragique)</t>
  </si>
  <si>
    <t>Arthrose ou maladie rhumatismale</t>
  </si>
  <si>
    <t>Fractures d’une vertèbre ou du col du fémur et/ou ostéoporose</t>
  </si>
  <si>
    <t>Autre(s) maladie(s) :</t>
  </si>
  <si>
    <t>Q11 - Avez-vous déjà été hospitalisé(e) ?</t>
  </si>
  <si>
    <t>Q8 - À quand remonte votre dernière prise de sang et/ou une analyse d’urine ?</t>
  </si>
  <si>
    <t>Moins de 6 mois</t>
  </si>
  <si>
    <t>Plus de 6 mois</t>
  </si>
  <si>
    <t>Q29 - Êtes-vous allée chez le gynécologue dans les 12 derniers mois ?</t>
  </si>
  <si>
    <t>Non concerné(e)</t>
  </si>
  <si>
    <t xml:space="preserve">Q31 - Avez-vous des douleurs intenses au bas ventre au moment de la période des règles ? </t>
  </si>
  <si>
    <t xml:space="preserve">Q32 - Avez-vous déjà réalisé un dépistage des des infections sexuellement transmissibles ? </t>
  </si>
  <si>
    <t>Q18 - Diriez-vous que la nourriture occupe une place très importante dans votre vie ?</t>
  </si>
  <si>
    <t>Q13 - Avez-vous constaté une variation de votre poids lors des 6 derniers mois ?</t>
  </si>
  <si>
    <t>Oui, un amaigrissement</t>
  </si>
  <si>
    <t>Oui, une prise de poids</t>
  </si>
  <si>
    <t>Etes vous ménopausée</t>
  </si>
  <si>
    <t>Q10 - Suivez-vous actuellement un traitement ?</t>
  </si>
  <si>
    <t>Q30 - Utilisez-vous un moyen de contraception ?</t>
  </si>
  <si>
    <t>Q38 - Si vous avez arrêté de fumer, depuis combien de temps ?</t>
  </si>
  <si>
    <t>Moins d’un an</t>
  </si>
  <si>
    <t>Entre 1 an et 5 ans</t>
  </si>
  <si>
    <t>Plus de 5 ans</t>
  </si>
  <si>
    <t>Q39 - Avez-vous consommé d’autres substances au cours des 12 derniers mois ? Cannabis (haschisch, marijuana, herbe, joint ou shit) ou d’autres drogues (ecstasy, cocaïne, héroïne etc.) ?</t>
  </si>
  <si>
    <t>Oui, du cannabis</t>
  </si>
  <si>
    <t>Oui, d’autres drogues</t>
  </si>
  <si>
    <t>Q40 - Au cours des 12 derniers mois, avez-vous misé de l’argent pour un jeu (loterie, poker, ...), un pari (sportif, hippique, ...) ?</t>
  </si>
  <si>
    <t>Oui, souvent</t>
  </si>
  <si>
    <t>Oui, de temps en temps</t>
  </si>
  <si>
    <t>Oui, rarement</t>
  </si>
  <si>
    <t>Q39 - Concernant le sommeil, en moyenne vous dormez :</t>
  </si>
  <si>
    <t>Moins de 6h par nuit</t>
  </si>
  <si>
    <t>Entre 6h et 10h par nuit</t>
  </si>
  <si>
    <t>10h ou plus par nuit</t>
  </si>
  <si>
    <t>Plus d’un(e) partenaire sexuel(le) au cours des 12 derniers mois</t>
  </si>
  <si>
    <t>Mon(ma) partenaire sexuel(le) a eu un (ou plusieurs) diagnostic(s) d’infection sexuellement transmissible (VIH, chlamydia, gonocoque, syphilis…) dans les 12 derniers mois</t>
  </si>
  <si>
    <t>Rapports sexuels ces 12 derniers mois, mais non concerné(e) par une de ces trois situations ci-dessus</t>
  </si>
  <si>
    <t>Q41 - Votre regard sur le fait de passer ou d’être à la retraite est :</t>
  </si>
  <si>
    <t>Très positif</t>
  </si>
  <si>
    <t>Plutôt positif</t>
  </si>
  <si>
    <t>Plutôt négatif</t>
  </si>
  <si>
    <t>Très négatif</t>
  </si>
  <si>
    <t>Q42 - À l’approche de la retraite (ou depuis le passage à la retraite), envisagez-vous de nouveaux projets (passe-temps, sorties, associations, …) ?</t>
  </si>
  <si>
    <t>Oui, et j’ai déjà mis en place ces projets</t>
  </si>
  <si>
    <t>Oui, j’ai des projets prévus mais je ne les ai pas encore concrétisés</t>
  </si>
  <si>
    <t>Non, je ne sais pas encore quels seront mes projets</t>
  </si>
  <si>
    <t>Q40 - Au cours des 2 dernières semaines, combien de fois avez-vous eu un sentiment de nervosité, d’anxiété ou de tension ?</t>
  </si>
  <si>
    <t>Jamais</t>
  </si>
  <si>
    <t>Plusieurs jours</t>
  </si>
  <si>
    <t>Plus de sept jours</t>
  </si>
  <si>
    <t>Presque tous les jours</t>
  </si>
  <si>
    <t xml:space="preserve">Q41 - Au cours des 2 dernières semaines, combien de fois avez-vous été incapable d’arrêter de vous inquiéter ou de contrôler vos inquiétudes ?  </t>
  </si>
  <si>
    <t>Q42 - Au cours des 2 dernières semaines, combien de fois avez-vous éprouvé peu d’intérêt ou de plaisir à faire les choses ?</t>
  </si>
  <si>
    <t>Q43 - Au cours des 2 dernières semaines, combien de fois avez-vous éprouvé un sentiment de tristesse, de déprime ou de désespoir ?</t>
  </si>
  <si>
    <t>Q44 - Avez-vous déjà eu des idées noires/ des idées noires/suicidaires ?</t>
  </si>
  <si>
    <t>Oui, des idées noires/suicidaires</t>
  </si>
  <si>
    <t>Oui, une ou des tentative(s) de suicide</t>
  </si>
  <si>
    <t xml:space="preserve">Q45 - Avez-vous déjà été victime de violences physiques, sexuelles ou psychiques (menaces, chantage, humiliations, coups, mutilations…), harcèlements, discrimination, … </t>
  </si>
  <si>
    <t>Q31 - Avez-vous un logement facile d’accès en cas de mobilité réduite ? (logement de plainpied, logement avec ascenseur, présence d’une rampe d’accès à l’immeuble ou au perron de la maison, …)</t>
  </si>
  <si>
    <t>Q32 - Avez-vous un logement adapté à la prévention des chutes ? (douche plutôt qu’une baignoire, barre de douche, revêtement anti-chutes, WC surélevé, …)</t>
  </si>
  <si>
    <t>Q46 - Souhaitez-vous aborder un ou plusieurs sujets en priorité, avec le professionnel de santé au cours de votre Bilan Prévention ?</t>
  </si>
  <si>
    <t>Mieux dormir</t>
  </si>
  <si>
    <t>Améliorer mon alimentation et bouger plus</t>
  </si>
  <si>
    <t>Réduire ou arrêter ma consommation de tabac</t>
  </si>
  <si>
    <t>Réduire ou arrêter ma consommation d’alcool</t>
  </si>
  <si>
    <t>Améliorer mon bien-être mental, réduire mon stress ou mon anxiété</t>
  </si>
  <si>
    <t>Passer moins de temps devant un écran ou mon téléphone</t>
  </si>
  <si>
    <t>Mieux m’informer sur les dépistages concernant ma tranche d’âge</t>
  </si>
  <si>
    <t>Mieux connaitre / comprendre / prévenir les effets du vieillissement</t>
  </si>
  <si>
    <t>Q19 - Souhaitez-vous aborder lors de votre Bilan Prévention les symptômes de ménopause (bouffées de chaleur, problèmes de sommeil, sécheresse vaginale, troubles urinaires, fatigue, anxiété, irritabilité) ?</t>
  </si>
  <si>
    <t>Souhait d’arrêter le préservatif avec mon nouveau (ou ma nouvelle) partenaire</t>
  </si>
  <si>
    <t>Q46 bis - Souhaitez-vous aborder un ou plusieurs sujets en priorité, avec le professionnel de santé au cours de votre Bilan Prévention ?</t>
  </si>
  <si>
    <t>Mots clés liste déroulante</t>
  </si>
  <si>
    <t>Tumeur Voie excrétrice urinaire</t>
  </si>
  <si>
    <t>Cancer du poumon et des bronches</t>
  </si>
  <si>
    <t>Cancer de la langue et pharyngo-larynx</t>
  </si>
  <si>
    <t>Cancer du rein</t>
  </si>
  <si>
    <t>Cancer de l’ovaire</t>
  </si>
  <si>
    <t>Cancer de l’endomètre (utérus)</t>
  </si>
  <si>
    <t>Cancer du col de l’utérus</t>
  </si>
  <si>
    <t>Mélanome et cancers cutanés</t>
  </si>
  <si>
    <t>Cancer de l’estomac</t>
  </si>
  <si>
    <t>Cancer du foie</t>
  </si>
  <si>
    <t>Hypertrophie bénigne de la prostate (adénome de la prostate)</t>
  </si>
  <si>
    <t>Insuffisance rénale chronique</t>
  </si>
  <si>
    <t>Stéatose hépatique et NASH</t>
  </si>
  <si>
    <t>Cirrhose hépatique</t>
  </si>
  <si>
    <t>Lithiase (calculs) biliaire</t>
  </si>
  <si>
    <t>Reflux gastro-oesophagien</t>
  </si>
  <si>
    <t>Colopathie fonctionnelle</t>
  </si>
  <si>
    <t>Hypertension artérielle</t>
  </si>
  <si>
    <t>Arythmie cardiaque et fibrillation auriculaire</t>
  </si>
  <si>
    <t>Dépression</t>
  </si>
  <si>
    <t>Apnée du sommeil</t>
  </si>
  <si>
    <t>Dysfonction thyroidienne</t>
  </si>
  <si>
    <t>Déficit androgénique lié à l’âge (homme)</t>
  </si>
  <si>
    <t>Sarcopénie</t>
  </si>
  <si>
    <t>Arthrose dégénérative</t>
  </si>
  <si>
    <t>Rhumatisme inflammatoire et goutte</t>
  </si>
  <si>
    <t>Intolérance ou allergie médicamenteuse</t>
  </si>
  <si>
    <t>Anémie</t>
  </si>
  <si>
    <t>Polyglobulie</t>
  </si>
  <si>
    <t>Thrombocytose</t>
  </si>
  <si>
    <t>Thrombopénie</t>
  </si>
  <si>
    <t>Leucocytose</t>
  </si>
  <si>
    <t>Q32 - Êtes-vous à jour de vos vaccins et rappels de vaccins ?</t>
  </si>
  <si>
    <t>Plusieurs fois par jour</t>
  </si>
  <si>
    <t>Plusieurs fois par semaine</t>
  </si>
  <si>
    <t>Une fois par semaine</t>
  </si>
  <si>
    <t>Une fois par mois ou Jamais</t>
  </si>
  <si>
    <t xml:space="preserve">Q24 - Combien de fois par semaine faites-vous au moins 30 minutes d’activités physiques dynamiques au cours d’une journée (marche, ménage, jogging, vélo, activité physique liée à votre profession, autre activité sportive, …) ? </t>
  </si>
  <si>
    <t>1 à 2 fois par semaine</t>
  </si>
  <si>
    <t>3 à 4 fois par semaine</t>
  </si>
  <si>
    <t>5 à 7 fois par semaine</t>
  </si>
  <si>
    <t>Q71 - Si vous deviez passer le reste de votre vie avec votre état urinaire  tel qu'il est actuellement, que ressentiriez-vous à ce sujet ?</t>
  </si>
  <si>
    <t>Q38 - Diriez-vous que vous avez des problèmes de sommeil ?</t>
  </si>
  <si>
    <t>Oui, parfois</t>
  </si>
  <si>
    <t>Vous prenez des somnifères</t>
  </si>
  <si>
    <t>Q-128 Si vous deviez passer le reste de votre vie avec votre état sexuel tel qu'il est actuellement, que ressentiriez-vous à ce sujet ?</t>
  </si>
  <si>
    <t xml:space="preserve"> Q129-Si vous deviez passer le reste de votre vie avec votre état digestif tel qu'il est actuellement, que ressentiriez-vous à ce sujet ?</t>
  </si>
  <si>
    <t xml:space="preserve"> Q130-Si vous deviez passer le reste de votre vie avec votre état ostéo-articulaire tel qu'il est actuellement, que ressentiriez-vous à ce sujet ?</t>
  </si>
  <si>
    <t xml:space="preserve"> Q131-Si vous deviez passer le reste de votre vie avec votre état émotionnel ou nerveux tel qu'il est actuellement, que ressentiriez-vous à ce sujet ?</t>
  </si>
  <si>
    <t>Q21 - Avez-vous l’impression de voir moins bien (difficultés pour lire, pour voir de loin…) ?</t>
  </si>
  <si>
    <t>Q22 - Avez-vous l’impression d’entendre moins bien et/ou votre entourage a-t-i l’impression que votre audition a baissé ?</t>
  </si>
  <si>
    <r>
      <t>Q1 - Vous</t>
    </r>
    <r>
      <rPr>
        <b/>
        <sz val="11"/>
        <color rgb="FFFF0000"/>
        <rFont val="Aptos"/>
        <family val="2"/>
      </rPr>
      <t xml:space="preserve"> ê</t>
    </r>
    <r>
      <rPr>
        <b/>
        <sz val="11"/>
        <color theme="1"/>
        <rFont val="Aptos"/>
        <family val="2"/>
      </rPr>
      <t>tes (genre)</t>
    </r>
  </si>
  <si>
    <r>
      <rPr>
        <b/>
        <sz val="11"/>
        <color rgb="FFFF0000"/>
        <rFont val="Aptos"/>
        <family val="2"/>
      </rPr>
      <t>H</t>
    </r>
    <r>
      <rPr>
        <b/>
        <sz val="11"/>
        <color theme="1"/>
        <rFont val="Aptos"/>
        <family val="2"/>
      </rPr>
      <t>omme "H"</t>
    </r>
  </si>
  <si>
    <r>
      <rPr>
        <b/>
        <sz val="11"/>
        <color rgb="FFFF0000"/>
        <rFont val="Aptos"/>
        <family val="2"/>
      </rPr>
      <t>F</t>
    </r>
    <r>
      <rPr>
        <b/>
        <sz val="11"/>
        <color theme="1"/>
        <rFont val="Aptos"/>
        <family val="2"/>
      </rPr>
      <t>emme "F"</t>
    </r>
  </si>
  <si>
    <t>Situation personnelle, environnement social et familial</t>
  </si>
  <si>
    <r>
      <rPr>
        <b/>
        <sz val="11"/>
        <color rgb="FFFF0000"/>
        <rFont val="Aptos"/>
        <family val="2"/>
      </rPr>
      <t>O</t>
    </r>
    <r>
      <rPr>
        <b/>
        <sz val="11"/>
        <color theme="1"/>
        <rFont val="Aptos"/>
        <family val="2"/>
      </rPr>
      <t>ui"Y"</t>
    </r>
  </si>
  <si>
    <r>
      <rPr>
        <b/>
        <sz val="11"/>
        <color rgb="FFFF0000"/>
        <rFont val="Aptos"/>
        <family val="2"/>
      </rPr>
      <t>N</t>
    </r>
    <r>
      <rPr>
        <b/>
        <sz val="11"/>
        <color theme="1"/>
        <rFont val="Aptos"/>
        <family val="2"/>
      </rPr>
      <t>on"N"</t>
    </r>
  </si>
  <si>
    <r>
      <t xml:space="preserve"> Chez vos parents</t>
    </r>
    <r>
      <rPr>
        <b/>
        <sz val="11"/>
        <color rgb="FFFF0000"/>
        <rFont val="Aptos"/>
        <family val="2"/>
      </rPr>
      <t xml:space="preserve"> (vous êtes hébergé par votre famille)</t>
    </r>
  </si>
  <si>
    <t>Vos antécédents personnels et familiaux</t>
  </si>
  <si>
    <t>Q7 - Avez-vous ou avez-vous eu une de ces maladies ou facteurs de risques ?</t>
  </si>
  <si>
    <t>Hypertension artérielle, diabète, cholestérol sanguin élevé</t>
  </si>
  <si>
    <t>Allergie</t>
  </si>
  <si>
    <t>Maladies cardiovasculaires (infarctus, maladie coronaire, insuffisance cardiaque, AVC…)</t>
  </si>
  <si>
    <t>Dépression et/ou troubles anxieux et/ou troubles du comportement alimentaire (anorexie, boulimie…)</t>
  </si>
  <si>
    <t>Cancers</t>
  </si>
  <si>
    <t>Maladies respiratoires (asthme, bronchite chronique, BPCO)</t>
  </si>
  <si>
    <t>Q9 - Des personnes de votre famille proche (mère, père, soeur ou frère) sont ou ont été atteintes d'un cancer?</t>
  </si>
  <si>
    <r>
      <t>Q45 - Quelle est votre taille (cm)</t>
    </r>
    <r>
      <rPr>
        <b/>
        <sz val="11"/>
        <color rgb="FFFF0000"/>
        <rFont val="Aptos"/>
        <family val="2"/>
      </rPr>
      <t xml:space="preserve"> ?</t>
    </r>
  </si>
  <si>
    <r>
      <t xml:space="preserve">Q46 - Quel est votre poids (kg) </t>
    </r>
    <r>
      <rPr>
        <b/>
        <sz val="11"/>
        <color rgb="FFFF0000"/>
        <rFont val="Aptos"/>
        <family val="2"/>
      </rPr>
      <t>?</t>
    </r>
  </si>
  <si>
    <t>Q14 - Avez-vous observé des gonflements importants et/ou inhabituels de vos chevilles ou de vos jambes ?</t>
  </si>
  <si>
    <t>Q13 - Vous arrive-t-il d’avoir des douleurs dans la poitrine notamment lors d’un effort ?</t>
  </si>
  <si>
    <t>Q15 - Toussez-vous souvent (tous les jours) ?</t>
  </si>
  <si>
    <t>Q16 - Avez-vous souvent une toux grasse ou qui ramène des crachats ?</t>
  </si>
  <si>
    <t>Q17 - Êtes-vous plus facilement essoufflé(e) que les personnes de votre âge ?</t>
  </si>
  <si>
    <t>Q18 - Faites-vous des pauses respiratoires ou des ronflements importants lors de votre
sommeil, notamment constatés par votre entourage ?</t>
  </si>
  <si>
    <t>Je suis déjà ménopausée</t>
  </si>
  <si>
    <t>Pas  concerné(e)</t>
  </si>
  <si>
    <t>Q18 - Si vous êtes une femme, à quel âge avez-vous été ménopausée ?</t>
  </si>
  <si>
    <t>Q20 - Êtes-vous allé(e) chez le dentiste dans les 12 derniers mois</t>
  </si>
  <si>
    <t>Q22 - Êtes-vous sujet à des troubles urinaires ?</t>
  </si>
  <si>
    <t>Q23 - Avez-vous eu, durant les 12 derniers mois, des problèmes (courbatures, douleur, inconfort) au niveau du cou, du dos, des épaules ou des mains qui impactent votre vie quotidienne ?</t>
  </si>
  <si>
    <t>Q25 - Avez-vous la sensation d’oublier des choses ?</t>
  </si>
  <si>
    <t>Q26 - Avez-vous l’impression d’avoir plus de difficultés à réaliser vos activités quotidiennes ?</t>
  </si>
  <si>
    <t xml:space="preserve">Q25 - Avez-vous des difficultés à réaliser certains gestes de la vie quotidienne ? </t>
  </si>
  <si>
    <t>Quitter son lit et/ou se coucher seul(e)</t>
  </si>
  <si>
    <t>Aller seul(e) aux toilettes</t>
  </si>
  <si>
    <t>Faire sa toilette seul(e)</t>
  </si>
  <si>
    <t>Se vêtir et/ou se dévêtir seul(e)</t>
  </si>
  <si>
    <t>Manger et boire seul(e)</t>
  </si>
  <si>
    <t>Marcher seul(e) avec ou sans béquille, canne…</t>
  </si>
  <si>
    <t>Utiliser seul(e) un moyen de transport (transports en commun, voiture….)</t>
  </si>
  <si>
    <t>Activité physique, sédentarité et alimentation</t>
  </si>
  <si>
    <t xml:space="preserve">Q25 - Concernant votre consommation de fruits et légumes, vous en mangez : </t>
  </si>
  <si>
    <t>Au moins 5 portions par jour</t>
  </si>
  <si>
    <t>Entre 1 et 4 portions par jour</t>
  </si>
  <si>
    <t>De temps en temps</t>
  </si>
  <si>
    <t>Rarement ou Jamais</t>
  </si>
  <si>
    <t>Q26 - À quelle fréquence consommez-vous des aliments gras/sucrés/salés (exemple : charcuterie, soda, bonbons, pâtisseries, chips, fast-food, glaces) ?</t>
  </si>
  <si>
    <t>Q27 - Combien de temps par jour passezvous assis(e) ou allongé(e) hors période de sommeil ?</t>
  </si>
  <si>
    <t>Moins de 2 heures</t>
  </si>
  <si>
    <t>Entre 2 et 4 heures</t>
  </si>
  <si>
    <t>Entre 4 et 7 heures</t>
  </si>
  <si>
    <t>Plus de 7 heures</t>
  </si>
  <si>
    <t>Je ne sais pas</t>
  </si>
  <si>
    <t>Q28 - Combien de temps par jour passezvous devant un écran en dehors du travail (téléphone portable, télévision, ordinateur) ?</t>
  </si>
  <si>
    <t>Moins d’une heure</t>
  </si>
  <si>
    <t>Entre 1 heure et 2 heures</t>
  </si>
  <si>
    <t>Plus de 4 heures</t>
  </si>
  <si>
    <t>Conduites addictives, consommation de boissons alcoolisées, tabac et autres substances</t>
  </si>
  <si>
    <t>Q36 - Au cours de l’année écoulée, concernant votre consommation de boissons alcoolisées :</t>
  </si>
  <si>
    <t>Vous buvez plus de 2 verres standards par jour</t>
  </si>
  <si>
    <t>Vous buvez plus de 10 verres standards par semaine</t>
  </si>
  <si>
    <t>Vous ne buvez pas de boissons alcoolisées au moins 2 jours dans la semaine</t>
  </si>
  <si>
    <t>Q37 - Actuellement, fumez-vous (cigarette, tabac à rouler, cigare, pipe, chicha, narguilé…) ou vapotez-vous ?</t>
  </si>
  <si>
    <t xml:space="preserve">Oui, je fume </t>
  </si>
  <si>
    <t>Oui, je vapote</t>
  </si>
  <si>
    <t>Non J’ai arrêté</t>
  </si>
  <si>
    <t>Non Je n'ai jamais fumé</t>
  </si>
  <si>
    <t>Vaccins, dépistages et santé sexuelle</t>
  </si>
  <si>
    <t>Q33 - Avez-vous déjà réalisé un test de dépistage du cancer colorectal ?</t>
  </si>
  <si>
    <t>Oui, il y a moins de 2 ans</t>
  </si>
  <si>
    <t>Oui, il y a plus de 2 ans</t>
  </si>
  <si>
    <t>Non, jamais</t>
  </si>
  <si>
    <t>Q34 - Avez-vous déjà réalisé une mammographie de dépistage du cancer du sein ?</t>
  </si>
  <si>
    <t>Q27 - Êtes-vous vacciné(e) contre les papillomavirus humains (HPV) ?</t>
  </si>
  <si>
    <t>Q34 bis - Avez-vous déjà réalisé un frottis de dépistage du cancer du col de l’utérus ?</t>
  </si>
  <si>
    <t>Oui, il y a moins de 5 ans</t>
  </si>
  <si>
    <t>Oui, il y a plus de 5 ans</t>
  </si>
  <si>
    <t>Q35 - Êtes-vous dans l’une des situations suivantes (possibilité de cocher plusieurs réponses) ?</t>
  </si>
  <si>
    <t>Santé et bien-être mental, violences</t>
  </si>
  <si>
    <t>Santé-environnement</t>
  </si>
  <si>
    <t>Ajouter autre ou sexe naissance?</t>
  </si>
  <si>
    <t>Masquer Origine ethnique</t>
  </si>
  <si>
    <t>si Y ouvre Q57,58,59,60,61,62</t>
  </si>
  <si>
    <t>Q9 - Des personnes de votre famille proche (mère, père, soeur ou frère) sont ou ont été atteintes de maladies connues (sauf cancer)</t>
  </si>
  <si>
    <t>Si Y ouvre Q120,121,122,123,124,125,126,127</t>
  </si>
  <si>
    <t>Si Y ouvre Q89, Q97, Q111,Q114, Q115, Q115bis</t>
  </si>
  <si>
    <t>test de AMLER (DMLA)</t>
  </si>
  <si>
    <t>Général</t>
  </si>
  <si>
    <t>Antécédents personnels</t>
  </si>
  <si>
    <t>Facteurs de risque €</t>
  </si>
  <si>
    <t>Traitements</t>
  </si>
  <si>
    <t>Antécédents familiaux</t>
  </si>
  <si>
    <t>Symptomes</t>
  </si>
  <si>
    <t>Habitus</t>
  </si>
  <si>
    <t>Anomalies biologiques</t>
  </si>
  <si>
    <t>Bilan thyroidien</t>
  </si>
  <si>
    <t>Bilan hématologique</t>
  </si>
  <si>
    <t>Numération formule sanguine</t>
  </si>
  <si>
    <t>Bilan métabolique</t>
  </si>
  <si>
    <t>Uricémie</t>
  </si>
  <si>
    <t>insulinémie à jeun</t>
  </si>
  <si>
    <t>Bilan inflammatoire</t>
  </si>
  <si>
    <t>Electrophorése des protéines</t>
  </si>
  <si>
    <t>Ferritine</t>
  </si>
  <si>
    <t>fibrinogéne</t>
  </si>
  <si>
    <t>Bilan hépatique</t>
  </si>
  <si>
    <t>alanine aminotransférase (ALAT ou ALT) </t>
  </si>
  <si>
    <t>aspartate aminotransférase (ASAT, ou AST)</t>
  </si>
  <si>
    <t>gamma-glutamyl transférase (GGT)</t>
  </si>
  <si>
    <t>Bilan hormone steroides</t>
  </si>
  <si>
    <t>Testosteronemie*</t>
  </si>
  <si>
    <t>SHBG*</t>
  </si>
  <si>
    <t>Dehydroepiandrosterone Sulfate(DHEAS) sanguine*</t>
  </si>
  <si>
    <t>androstanolone, ou dihydrotestostérone (DHT) sanguine*</t>
  </si>
  <si>
    <t>Cortisol sanguin*</t>
  </si>
  <si>
    <t>FSH/LH*</t>
  </si>
  <si>
    <t>Oestrogénes*</t>
  </si>
  <si>
    <t>Bilan vitamines</t>
  </si>
  <si>
    <t>Vitamin D sanguine</t>
  </si>
  <si>
    <t>Vitamin B6 sanguine</t>
  </si>
  <si>
    <t>Acide folique</t>
  </si>
  <si>
    <t>Vitamine B12 sang</t>
  </si>
  <si>
    <t>Bilan prostatique</t>
  </si>
  <si>
    <t>PSA libre*</t>
  </si>
  <si>
    <t>index Phi*</t>
  </si>
  <si>
    <t>Bilan Martial</t>
  </si>
  <si>
    <t>Fer sérique</t>
  </si>
  <si>
    <t>Bilan musculaire</t>
  </si>
  <si>
    <t>thyréostimuline ou thyréotrophine (TSH)</t>
  </si>
  <si>
    <t>T4 libre*</t>
  </si>
  <si>
    <t>T3*</t>
  </si>
  <si>
    <t>anticorps anti-TPO *</t>
  </si>
  <si>
    <t>anti-récepteurs de la TSH *</t>
  </si>
  <si>
    <t>Bilan cardiaque</t>
  </si>
  <si>
    <t>Lipoproteine-a*</t>
  </si>
  <si>
    <t>BNP*</t>
  </si>
  <si>
    <t>Bilan rénal</t>
  </si>
  <si>
    <t>Creatininémie</t>
  </si>
  <si>
    <t>DFG</t>
  </si>
  <si>
    <t>β-2-microglobuline*</t>
  </si>
  <si>
    <t>Bilan urinaire</t>
  </si>
  <si>
    <t>CBU</t>
  </si>
  <si>
    <t>Diurese (24h)</t>
  </si>
  <si>
    <t>Urée urine</t>
  </si>
  <si>
    <t>Acide urique urine</t>
  </si>
  <si>
    <t>Densité Urine</t>
  </si>
  <si>
    <t>creatinine urinaire des 24 heures</t>
  </si>
  <si>
    <t>sodium urinaire</t>
  </si>
  <si>
    <t>Glycosurie</t>
  </si>
  <si>
    <t>Bilirubine urine</t>
  </si>
  <si>
    <t>Cytologie urinaire*</t>
  </si>
  <si>
    <t>Bilan Allergie</t>
  </si>
  <si>
    <t>IgE*</t>
  </si>
  <si>
    <t>Bilan génétique</t>
  </si>
  <si>
    <t>Score Polygénique *</t>
  </si>
  <si>
    <t>* optionnel</t>
  </si>
  <si>
    <t>Bilan stress oxydatif</t>
  </si>
  <si>
    <t>Cu/Zn</t>
  </si>
  <si>
    <t>Bilan Expostion (Tabac, Alcool)</t>
  </si>
  <si>
    <t>Déficit oestrogénique lié à l’âge (femme)</t>
  </si>
  <si>
    <t>Insuffissance rénale</t>
  </si>
  <si>
    <t>Vitesse de marche</t>
  </si>
  <si>
    <t>Dynamométrie</t>
  </si>
  <si>
    <t>Psoas en L3</t>
  </si>
  <si>
    <t>DXA</t>
  </si>
  <si>
    <t>Vous vous endormez fréquemment après le dîner.</t>
  </si>
  <si>
    <t>Vous avez des réveils répétés, ou un sommeil agité.</t>
  </si>
  <si>
    <t>Vous êtes sujet aux ronflements.</t>
  </si>
  <si>
    <t>Vous vous sentez fatigué(e) ou sans entrain au réveil.</t>
  </si>
  <si>
    <t>Vous avez tendance à somnoler la journée dans vos activités quotidiennes.</t>
  </si>
  <si>
    <t>Vous vous endormez facilement devant la télévision ou lors d'un spectacle.</t>
  </si>
  <si>
    <t>SOCIAL</t>
  </si>
  <si>
    <t>Votre poids a il varié (amaigrissement ou prise de poids au cours des 6 derniers mois</t>
  </si>
  <si>
    <t>Avez-vous eu, durant les 12 derniers mois, des problèmes (courbatures, douleur, inconfort) au niveau du cou, du dos, des épaules ou des mains qui impactent votre vie quotidienne ?</t>
  </si>
  <si>
    <t>Diriez-vous que vous avez des problèmes de sommeil ?</t>
  </si>
  <si>
    <t xml:space="preserve"> Devez-vous vous arrêter parce que vous êtes essoufflé(e) lorsque vous montez 3 étages ou moins ?</t>
  </si>
  <si>
    <t>Toussez-vous souvent (tous les jours) ?</t>
  </si>
  <si>
    <t>Avez-vous l’impression de voir moins bien (difficultés pour lire, pour voir de loin…) ?</t>
  </si>
  <si>
    <t>Avez-vous l’impression d’entendre moins bien et/ou votre entourage a-t-i l’impression que votre audition a baissé ?</t>
  </si>
  <si>
    <t>Avez-vous des bouffées de chaleur ou sueurs nocturnes</t>
  </si>
  <si>
    <t xml:space="preserve"> Avez-vous la sensation d’oublier des choses ?</t>
  </si>
  <si>
    <t xml:space="preserve"> Avez-vous observé des gonflements importants et/ou inhabituels de vos chevilles ou de vos jambes ?</t>
  </si>
  <si>
    <t>Vous arrive-t-il d’avoir des douleurs dans la poitrine notamment lors d’un effort ?</t>
  </si>
  <si>
    <t xml:space="preserve"> Avez-vous des douleurs intenses au bas ventre ou dans les parties génitales? </t>
  </si>
  <si>
    <t>Avez-vous des diarrhées ou selles liquides ou glaireuses plusieurs fois par semaine</t>
  </si>
  <si>
    <t>Etes vous fatigué tout au long de la journée de façon chronique (plus de 6 mois) et sans avoir fait d'effort particulier?</t>
  </si>
  <si>
    <t>Avez-vous réguliérement des problémes de constipation récurrents (plus de 6 mois)</t>
  </si>
  <si>
    <t>Vous sentez vous fébrile réguliérement, en particulier le soir de façon chronique (plus de 6 semaines consécutives)</t>
  </si>
  <si>
    <t>Avez-vous des tremblements des mains au repos ou lorsque vous réalisée des gestes précis?</t>
  </si>
  <si>
    <t>Avez-vous des douleurs dans le creux de l'estomac (épigastre) ou des brulures remontant vers le thorax?</t>
  </si>
  <si>
    <t>Prenez vous réguliérement (plusieurs fois par semaine) des somminiféres?</t>
  </si>
  <si>
    <t>Si vous deviez passer le reste de votre vie avec votre état sexuel tel qu'il est actuellement, que ressentiriez-vous à ce sujet ? (0=Très satisfaisant ; 1=Assez satisfaisant ; 2=Peu satisfaisant ; 3=Pas du tout satisfaisant)</t>
  </si>
  <si>
    <t>Si vous deviez passer le reste de votre vie avec votre état digestif tel qu'il est actuellement, que ressentiriez-vous à ce sujet ? (0=Très satisfaisant ; 1=Assez satisfaisant ; 2=Peu satisfaisant ; 3=Pas du tout satisfaisant)</t>
  </si>
  <si>
    <t>Si vous deviez passer le reste de votre vie avec votre état ostéo-articulaire tel qu'il est actuellement, que ressentiriez-vous à ce sujet ?(0=Très satisfaisant ; 1=Assez satisfaisant ; 2=Peu satisfaisant ; 3=Pas du tout satisfaisant)</t>
  </si>
  <si>
    <t>Si vous deviez passer le reste de votre vie avec votre état émotionnel ou nerveux tel qu'il est actuellement, que ressentiriez-vous à ce sujet ? (0=Très satisfaisant ; 1=Assez satisfaisant ; 2=Peu satisfaisant ; 3=Pas du tout satisfaisant)</t>
  </si>
  <si>
    <t xml:space="preserve"> Durant les 4 dernières semaines, avez-vous eu des fuites urinaires au cours d’efforts physiques ? (0=Jamais de fuite d’urine; 1=Moins d’une fuite d’urine par semaine;	2=Plusieurs fuites d’urine par semaine; 3=Plusieurs fuites d’urine par jour)</t>
  </si>
  <si>
    <t>Lorsque vous avez un besoin urgent d'uriner, combien de temps en moyenne pouvez-vous vous retenir ? (0=Plus de 15 minutes;  1=De 6 à 15 minutes; 2=De 1 à 5 minutes; 3=Moins de 1 minute)</t>
  </si>
  <si>
    <t>REFERENCE</t>
  </si>
  <si>
    <t>Si vous deviez passer le reste de votre vie avec votre état urinaire  tel qu'il est actuellement, que ressentiriez-vous à ce sujet ? (0=Très satisfaisant ; 1=Assez satisfaisant ; 2=Peu satisfaisant ; 3=Pas du tout satisfaisant)</t>
  </si>
  <si>
    <t>Genetique MMR, HRD</t>
  </si>
  <si>
    <t>Score Polygenic</t>
  </si>
  <si>
    <t>DNAm</t>
  </si>
  <si>
    <t>Dépistages et Vaccins</t>
  </si>
  <si>
    <r>
      <t>Taille (cm)</t>
    </r>
    <r>
      <rPr>
        <b/>
        <sz val="14"/>
        <color rgb="FFFF0000"/>
        <rFont val="Arial"/>
        <family val="2"/>
      </rPr>
      <t xml:space="preserve"> ?</t>
    </r>
  </si>
  <si>
    <r>
      <t xml:space="preserve">Poids (kg) </t>
    </r>
    <r>
      <rPr>
        <b/>
        <sz val="14"/>
        <color rgb="FFFF0000"/>
        <rFont val="Arial"/>
        <family val="2"/>
      </rPr>
      <t>?</t>
    </r>
  </si>
  <si>
    <t>Volets</t>
  </si>
  <si>
    <t>Questions</t>
  </si>
  <si>
    <t>Scores Intermédiaires</t>
  </si>
  <si>
    <t>Charge social score</t>
  </si>
  <si>
    <t>Score Cancer Peau</t>
  </si>
  <si>
    <t>Score NutritionEquilibré</t>
  </si>
  <si>
    <t>Score Sédentarité</t>
  </si>
  <si>
    <t>Score Pollution aerienne</t>
  </si>
  <si>
    <t>Score Addiction</t>
  </si>
  <si>
    <t>Score MST</t>
  </si>
  <si>
    <t>Score Medication</t>
  </si>
  <si>
    <t>Score ATCD familiaux Veracité</t>
  </si>
  <si>
    <t>Score Qualité de vie</t>
  </si>
  <si>
    <t>Score Qualité du sommeil</t>
  </si>
  <si>
    <t>Score Apnées du sommeil</t>
  </si>
  <si>
    <t>Score Symptomes</t>
  </si>
  <si>
    <r>
      <t xml:space="preserve"> Quel est votre tour de taille (cm)</t>
    </r>
    <r>
      <rPr>
        <b/>
        <sz val="14"/>
        <color rgb="FFFF0000"/>
        <rFont val="Arial"/>
        <family val="2"/>
      </rPr>
      <t xml:space="preserve"> ?</t>
    </r>
  </si>
  <si>
    <r>
      <t xml:space="preserve"> Quelle est votre pression artérielle systolique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</si>
  <si>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Quelle est votre pression artérielle diastolique (mmHg) </t>
    </r>
    <r>
      <rPr>
        <b/>
        <sz val="14"/>
        <color rgb="FFFF0000"/>
        <rFont val="Arial"/>
        <family val="2"/>
      </rPr>
      <t>au repos en position couché</t>
    </r>
    <r>
      <rPr>
        <b/>
        <sz val="14"/>
        <color theme="1"/>
        <rFont val="Arial"/>
        <family val="2"/>
      </rPr>
      <t xml:space="preserve"> </t>
    </r>
    <r>
      <rPr>
        <b/>
        <sz val="14"/>
        <color rgb="FFFF0000"/>
        <rFont val="Arial"/>
        <family val="2"/>
      </rPr>
      <t>?</t>
    </r>
  </si>
  <si>
    <t>NFS</t>
  </si>
  <si>
    <t>Si Biol Vide</t>
  </si>
  <si>
    <t xml:space="preserve"> inflammatoire</t>
  </si>
  <si>
    <t xml:space="preserve"> hépatique</t>
  </si>
  <si>
    <t xml:space="preserve"> prostatique</t>
  </si>
  <si>
    <t xml:space="preserve"> Martial</t>
  </si>
  <si>
    <t xml:space="preserve"> musculaire</t>
  </si>
  <si>
    <t xml:space="preserve"> thyroidien</t>
  </si>
  <si>
    <t xml:space="preserve"> rénal</t>
  </si>
  <si>
    <t xml:space="preserve"> Allergie</t>
  </si>
  <si>
    <t>HBP</t>
  </si>
  <si>
    <t>AVC</t>
  </si>
  <si>
    <t>Score Surpoids</t>
  </si>
  <si>
    <t>Score Maigreur</t>
  </si>
  <si>
    <t>Apnée</t>
  </si>
  <si>
    <t>Co-Morbidités</t>
  </si>
  <si>
    <t>Erection</t>
  </si>
  <si>
    <t>ScoreFRAX</t>
  </si>
  <si>
    <t>A</t>
  </si>
  <si>
    <t>MST</t>
  </si>
  <si>
    <t>Résistance à l'insuline</t>
  </si>
  <si>
    <t>Hyperéosinophilie</t>
  </si>
  <si>
    <t>Lymphopénie</t>
  </si>
  <si>
    <t>Score lithiase</t>
  </si>
  <si>
    <t>Dysfonction hépatique</t>
  </si>
  <si>
    <t>Points-1</t>
  </si>
  <si>
    <t>Points-2</t>
  </si>
  <si>
    <t>ENVIRONNEMENT</t>
  </si>
  <si>
    <t>Échelle de score</t>
  </si>
  <si>
    <t>Signification du score</t>
  </si>
  <si>
    <t>Risque associé</t>
  </si>
  <si>
    <t>0 à 6</t>
  </si>
  <si>
    <t>1 à 5</t>
  </si>
  <si>
    <t>Risque croissant de cancer cliniquement significatif</t>
  </si>
  <si>
    <t>LR-1 à LR-5 + variantes</t>
  </si>
  <si>
    <t>Progression du risque de bénignité → HCC confirmé</t>
  </si>
  <si>
    <t>0 à 4X</t>
  </si>
  <si>
    <t>1 : bénin ; 2 : probablement bénin ; 3 : suspicion faible ; 4A : suspicion modérée ; 4B : suspicion forte ; 4X : suspicion très forte</t>
  </si>
  <si>
    <t>1 à 4</t>
  </si>
  <si>
    <t>1 : pas de récidive ; 2 : suspicion faible ; 3 : suspicion élevée ; 4 : récidive prouvée</t>
  </si>
  <si>
    <t>Risque croissant de récidive tumorale</t>
  </si>
  <si>
    <t>0 à 5</t>
  </si>
  <si>
    <t>0 : non interprétable ; 1 : normal ; 2 : bénin ; 3 : faible risque ; 4 : risque intermédiaire ; 5 : risque élevé</t>
  </si>
  <si>
    <t>Variable</t>
  </si>
  <si>
    <t>Guide l’évaluation selon critères TNM en imagerie</t>
  </si>
  <si>
    <t>En développement / non standardisé</t>
  </si>
  <si>
    <t>0 : examen incomplet ; 1 : normal ; 2 : bénin ; 3 : probablement bénin ; 4 (a,b,c) : suspicion ; 5 : très suspect ; 6 : cancer prouvé</t>
  </si>
  <si>
    <t>0–2 : bénin ; 3 : &lt;2 % ; 4a : 2–10 % ; 4b : 10–50 % ; 4c : 50–95 % ; 5 : &gt;95 % ; 6 : confirmé</t>
  </si>
  <si>
    <t>1 : très probablement bénin → 5 : très probablement malin</t>
  </si>
  <si>
    <t>LR-1 : bénin ; LR-2 : probablement bénin ; LR-3 : indéterminé ; LR-4 : probablement HCC ; LR-5 : HCC certain ; LR-M : malin non HCC ; LR-TIV : invasion vasculaire</t>
  </si>
  <si>
    <t>Risque : 1–2 : &lt;1 % ; 3 : 1–2 % ; 4A : 5–15 % ; 4B/X : &gt;15 %</t>
  </si>
  <si>
    <t>Risque malignité : 2 : &lt;1 % ; 3 : 1–&lt;10 % ; 4 : 10–&lt;50 % ; 5 : ≥50 %</t>
  </si>
  <si>
    <t>TR1 à TR5</t>
  </si>
  <si>
    <t>TR1 : bénin ; TR2 : probablement bénin ; TR3 : suspicion faible ; TR4 : suspicion intermédiaire ; TR5 : suspicion forte</t>
  </si>
  <si>
    <t>Risque : TR1 ≈0 % ; TR2 &lt;2 % ; TR3 ≈5 % ; TR4 : 5–20 % ; TR5 : &gt;20–35 %</t>
  </si>
  <si>
    <t>FSH</t>
  </si>
  <si>
    <t>LH</t>
  </si>
  <si>
    <t>Estrogens</t>
  </si>
  <si>
    <t>Progesterone</t>
  </si>
  <si>
    <t>Phase folliculaire </t>
  </si>
  <si>
    <t>Pic ovulatoire </t>
  </si>
  <si>
    <t>Phase lutéale </t>
  </si>
  <si>
    <t>Post ménopause </t>
  </si>
  <si>
    <t>FSH (UI/L) </t>
  </si>
  <si>
    <t>3,3-8,8</t>
  </si>
  <si>
    <t>4,5-22,5</t>
  </si>
  <si>
    <t>1,8-5,1</t>
  </si>
  <si>
    <t>16,7-113,6</t>
  </si>
  <si>
    <t>LH (UI/L) </t>
  </si>
  <si>
    <t>2,1-10,9</t>
  </si>
  <si>
    <t>19,2-103,0</t>
  </si>
  <si>
    <t>1,2-12,9</t>
  </si>
  <si>
    <t>10,9-58,6</t>
  </si>
  <si>
    <t>Oestradiol (pg/ml) </t>
  </si>
  <si>
    <t>22,4-115</t>
  </si>
  <si>
    <t>32,1-517</t>
  </si>
  <si>
    <t>36,5-246</t>
  </si>
  <si>
    <t>&lt;25,1</t>
  </si>
  <si>
    <t>Progestérone (ng/ml) </t>
  </si>
  <si>
    <t>0,31-1,52</t>
  </si>
  <si>
    <t>–</t>
  </si>
  <si>
    <t>5,16-18,56</t>
  </si>
  <si>
    <t>&lt;0,78</t>
  </si>
  <si>
    <t>AMH (hormone anti-müllérienne)</t>
  </si>
  <si>
    <t>https://mindology.fr/menopause/tout-savoir-sur-linterpretation-du-bilan-hormonal-a-la-menopause/</t>
  </si>
  <si>
    <t>HOMA= Glycémie à jeun (mmol/L) * Insulinémie à jeun (mui/mL)/22.5.</t>
  </si>
  <si>
    <t>Valeurs usuelles : &lt;2.4</t>
  </si>
  <si>
    <t>NT-proBNP</t>
  </si>
  <si>
    <t>ICA très improbable</t>
  </si>
  <si>
    <t>ICA très probable</t>
  </si>
  <si>
    <t>Taux de BNP (ng/L)</t>
  </si>
  <si>
    <t>&lt; 100</t>
  </si>
  <si>
    <t>&gt; 400</t>
  </si>
  <si>
    <t>Taux de NTproBNP (ng/L)</t>
  </si>
  <si>
    <t>&lt; 300</t>
  </si>
  <si>
    <r>
      <t>&gt; 450</t>
    </r>
    <r>
      <rPr>
        <sz val="9.9"/>
        <color rgb="FF000000"/>
        <rFont val="Arial"/>
        <family val="2"/>
      </rPr>
      <t>       &lt; 50 ans</t>
    </r>
  </si>
  <si>
    <r>
      <t>&gt; 900</t>
    </r>
    <r>
      <rPr>
        <sz val="9.9"/>
        <color rgb="FF000000"/>
        <rFont val="Arial"/>
        <family val="2"/>
      </rPr>
      <t>   &lt;50 – 75 ans&gt;</t>
    </r>
  </si>
  <si>
    <r>
      <t>&gt; 1800</t>
    </r>
    <r>
      <rPr>
        <sz val="9.9"/>
        <color rgb="FF000000"/>
        <rFont val="Arial"/>
        <family val="2"/>
      </rPr>
      <t>     &gt; 75 an</t>
    </r>
  </si>
  <si>
    <r>
      <t>BI-RADS</t>
    </r>
    <r>
      <rPr>
        <sz val="14"/>
        <color theme="1"/>
        <rFont val="Aptos"/>
        <family val="2"/>
      </rPr>
      <t xml:space="preserve"> (Breast Imaging)</t>
    </r>
  </si>
  <si>
    <r>
      <t>PI-RADS</t>
    </r>
    <r>
      <rPr>
        <sz val="14"/>
        <color theme="1"/>
        <rFont val="Aptos"/>
        <family val="2"/>
      </rPr>
      <t xml:space="preserve"> (Prostate Imaging)</t>
    </r>
  </si>
  <si>
    <r>
      <t>LI-RADS</t>
    </r>
    <r>
      <rPr>
        <sz val="14"/>
        <color theme="1"/>
        <rFont val="Aptos"/>
        <family val="2"/>
      </rPr>
      <t xml:space="preserve"> (Liver Imaging)</t>
    </r>
  </si>
  <si>
    <r>
      <t>LUNG-RADS</t>
    </r>
    <r>
      <rPr>
        <sz val="14"/>
        <color theme="1"/>
        <rFont val="Aptos"/>
        <family val="2"/>
      </rPr>
      <t xml:space="preserve"> (CT Screening)</t>
    </r>
  </si>
  <si>
    <r>
      <t>NI-RADS</t>
    </r>
    <r>
      <rPr>
        <sz val="14"/>
        <color theme="1"/>
        <rFont val="Aptos"/>
        <family val="2"/>
      </rPr>
      <t xml:space="preserve"> (Neck Imaging)</t>
    </r>
  </si>
  <si>
    <r>
      <t>O-RADS</t>
    </r>
    <r>
      <rPr>
        <sz val="14"/>
        <color theme="1"/>
        <rFont val="Aptos"/>
        <family val="2"/>
      </rPr>
      <t xml:space="preserve"> (Ovarian Imaging)</t>
    </r>
  </si>
  <si>
    <r>
      <t>TI-RADS</t>
    </r>
    <r>
      <rPr>
        <sz val="14"/>
        <color theme="1"/>
        <rFont val="Aptos"/>
        <family val="2"/>
      </rPr>
      <t xml:space="preserve"> (Thyroid Imaging)</t>
    </r>
  </si>
  <si>
    <r>
      <t>TNM-RADS</t>
    </r>
    <r>
      <rPr>
        <sz val="14"/>
        <color theme="1"/>
        <rFont val="Aptos"/>
        <family val="2"/>
      </rPr>
      <t xml:space="preserve"> (proposé)</t>
    </r>
  </si>
  <si>
    <t>Imagerie</t>
  </si>
  <si>
    <t>InsulinoResistance</t>
  </si>
  <si>
    <t>Lipides</t>
  </si>
  <si>
    <t xml:space="preserve"> Expo(Alcool)</t>
  </si>
  <si>
    <t xml:space="preserve"> Expo(Tabac)</t>
  </si>
  <si>
    <t xml:space="preserve"> urinaireBioch</t>
  </si>
  <si>
    <t>ECBU</t>
  </si>
  <si>
    <t>Sang Feces</t>
  </si>
  <si>
    <t>CytoU</t>
  </si>
  <si>
    <t>QV</t>
  </si>
  <si>
    <t>GammaPathie</t>
  </si>
  <si>
    <t>Syndrome inflammatoire</t>
  </si>
  <si>
    <t>Methylation CRP/IL6</t>
  </si>
  <si>
    <t>CDT (transferrine carboxydeficiente)</t>
  </si>
  <si>
    <t xml:space="preserve">Methylation AHRR </t>
  </si>
  <si>
    <t>cotinurie</t>
  </si>
  <si>
    <t>Cystatinemie</t>
  </si>
  <si>
    <t>ProBNP*</t>
  </si>
  <si>
    <t>Lipoproteine Lpa</t>
  </si>
  <si>
    <t>Avez-vous des saignements pronlogés (gencives), hématomes spontanés ou une maladie de la coagulation (Hémophilie)</t>
  </si>
  <si>
    <t>Avez-vous des douleurs anales, hémoroides ou fissure anale</t>
  </si>
  <si>
    <t>Fréquence cardiaque maximale à l'effort/ (Homme)</t>
  </si>
  <si>
    <t>Fréquence cardiaque maximale à l'effort/ (Femme)</t>
  </si>
  <si>
    <t>Fréquence cardiaque au repos</t>
  </si>
  <si>
    <t>Afin d’adapter son entrainement la FC cible peut être estimée par : %souhaité x (FC max –FC de repos) + FC de repos. Une activité intense (marche &gt;6km/h, essoufflement marqué sans conversation possible) correspondra à environ 80% de la FCmax.</t>
  </si>
  <si>
    <t>Le niveau d’activité physique peut être adapté sur la fréquence cardiaque maximale (FCmax). La FCmax est estimée pour la femme à FCmax=208.3-0.74*âge</t>
  </si>
  <si>
    <t>Le niveau d’activité physique peut être adapté sur la fréquence cardiaque maximale (FCmax). La FCmax est estimée pour  l’homme à FCmax=207.5 – 0.78 * âge</t>
  </si>
  <si>
    <t>&lt;40 : Rythme cardiaque trop lent. Entre 41 et 49 Rythme lent. (peut être normal chez un athlète de fond entrainé). Entre 50 et 85 rythme au repos  « normal » Entre 86 et 99 Rythme un peu rapide au repos. (Manque d’exercice physique). &gt;100 Rythme rapide au repos pouvant évoquer une anomalie cardiaque ou thyroïdienne.</t>
  </si>
  <si>
    <t>50-85</t>
  </si>
  <si>
    <t>40-50 ou 85-99</t>
  </si>
  <si>
    <t>&lt;40 ou &gt;100</t>
  </si>
  <si>
    <t>Avez-vous des idées noires/suicidaires ou fait une tentative de suicide ?</t>
  </si>
  <si>
    <t>Avez-vous réguliérement le sentiment d'être découragé ou triste ?</t>
  </si>
  <si>
    <t>Avez-vous réguliérement des douleurs ou sensationsdésagréable dans les jambes la nuit et qui disparaissent en marchant ?</t>
  </si>
  <si>
    <t>Avez-vous réguliérement des douleurs dans les jambes qui limitent votre distance de marche à moins de 100m (moins de 5 minutes) et qui disparaissent au repos ?</t>
  </si>
  <si>
    <t>Vous sentez vous frustré(e) ou sans motivation par votre travail?</t>
  </si>
  <si>
    <t>TP/TCK</t>
  </si>
  <si>
    <t xml:space="preserve"> vitamines/Mg</t>
  </si>
  <si>
    <t>Q CAST</t>
  </si>
  <si>
    <t>Q AUDIT</t>
  </si>
  <si>
    <t>Action à afficher</t>
  </si>
  <si>
    <t>Action référence</t>
  </si>
  <si>
    <t>steroidesFemme</t>
  </si>
  <si>
    <t>steroidesHomme</t>
  </si>
  <si>
    <t>Q Mental</t>
  </si>
  <si>
    <t>Cs Cardiologie</t>
  </si>
  <si>
    <t>Cs Pneumo-allergologie</t>
  </si>
  <si>
    <t>Cs Urologie</t>
  </si>
  <si>
    <t>Cs Gynécologie</t>
  </si>
  <si>
    <t>Cs Endocrinologie</t>
  </si>
  <si>
    <t>Cs Rhumatolohie</t>
  </si>
  <si>
    <t>Cs Bucco-dentaire</t>
  </si>
  <si>
    <t>Supplémentation VitaD</t>
  </si>
  <si>
    <t>Supplémentation Vitamine B12</t>
  </si>
  <si>
    <t>Supplémentation Vitamine B6</t>
  </si>
  <si>
    <t>LipoProteinA</t>
  </si>
  <si>
    <t>Insulinémie</t>
  </si>
  <si>
    <t>Cotinurie</t>
  </si>
  <si>
    <t>-</t>
  </si>
  <si>
    <t>Supplémentation Ubiquinol</t>
  </si>
  <si>
    <t>Bilan Biologique</t>
  </si>
  <si>
    <t>Questionnaires Complémentaires</t>
  </si>
  <si>
    <t xml:space="preserve">Numération formule sanguine, Plaquettes, </t>
  </si>
  <si>
    <t xml:space="preserve">Glycémie, Hb1Ac, Insuline et indice HOMA-IR, </t>
  </si>
  <si>
    <t xml:space="preserve">Testostérone Totale, FSH; Cortisol; Sulfate DHEA, </t>
  </si>
  <si>
    <t xml:space="preserve">Oestradiol FSH; Cortisol; Sulfate DHEA, </t>
  </si>
  <si>
    <t xml:space="preserve">Vitamine D2-D3, Vitamine B6; Magnésium sang, </t>
  </si>
  <si>
    <t xml:space="preserve">PSA, </t>
  </si>
  <si>
    <t xml:space="preserve">Fer sérique, Ferritine, Coefficient saturation, </t>
  </si>
  <si>
    <t xml:space="preserve">CPK, </t>
  </si>
  <si>
    <t xml:space="preserve">TSH, </t>
  </si>
  <si>
    <t xml:space="preserve">BNP et ProBNP, </t>
  </si>
  <si>
    <t xml:space="preserve">Créatininémie, DFG, </t>
  </si>
  <si>
    <t xml:space="preserve">ECBU, </t>
  </si>
  <si>
    <t xml:space="preserve">Bilan urinaire des 24 heures (diurése, pH, Densité, Urée, Créatininémie, Sodium, Calcium, Acide Urique), </t>
  </si>
  <si>
    <t xml:space="preserve">Cytologie urinaire avec recherche d'atypie celllaire, </t>
  </si>
  <si>
    <t xml:space="preserve">Bilan IST (Sélogies: Syphilis, VIH1-2, Hépatite B. Recherche de chlamydia trachomatis et neisseria gonorrhoeae), </t>
  </si>
  <si>
    <t xml:space="preserve">Cotinurie, Methylation AHRR, </t>
  </si>
  <si>
    <t xml:space="preserve">Lipoproteine a, </t>
  </si>
  <si>
    <t xml:space="preserve">Questionnaire AUDIT, </t>
  </si>
  <si>
    <t xml:space="preserve">Questionnaire CAST (Cannabis), </t>
  </si>
  <si>
    <t>Cs Oncogénétique</t>
  </si>
  <si>
    <t xml:space="preserve">Questionnaire Santé mental, </t>
  </si>
  <si>
    <t>Cs Addictologie</t>
  </si>
  <si>
    <r>
      <t>test</t>
    </r>
    <r>
      <rPr>
        <sz val="10"/>
        <color rgb="FF1F1F1F"/>
        <rFont val="Arial"/>
        <family val="2"/>
      </rPr>
      <t xml:space="preserve"> immunochimique fécal (TIF), </t>
    </r>
  </si>
  <si>
    <t>Dépistage des cancers</t>
  </si>
  <si>
    <t>Supplémentation nutritionnelle</t>
  </si>
  <si>
    <t xml:space="preserve">Supplémentation VitaD, </t>
  </si>
  <si>
    <t xml:space="preserve">Supplémentation Vitamine B12, </t>
  </si>
  <si>
    <t xml:space="preserve">Supplémentation Vitamine B6, </t>
  </si>
  <si>
    <t>Supplémentation Ubiquinol,</t>
  </si>
  <si>
    <t>Q Nutrition</t>
  </si>
  <si>
    <t xml:space="preserve">Questionnaire Nutritionnel, </t>
  </si>
  <si>
    <t>Frequence cardiaque d'entrainement 70% (Homme)</t>
  </si>
  <si>
    <t>Frequence cardiaque d'entrainement 70% (Femme)</t>
  </si>
  <si>
    <t>Cs Gastro-entérologie Hépatologie</t>
  </si>
  <si>
    <t>Cs Neurologie ou Psychologie</t>
  </si>
  <si>
    <t>Consultations</t>
  </si>
  <si>
    <t>Cs sommeil</t>
  </si>
  <si>
    <t xml:space="preserve">Cs Gastro-entérologie, </t>
  </si>
  <si>
    <t xml:space="preserve">Cs Trouble du sommeil, </t>
  </si>
  <si>
    <t xml:space="preserve">Cs Addictologie, </t>
  </si>
  <si>
    <t xml:space="preserve">Cs Bucco-dentaire, </t>
  </si>
  <si>
    <t xml:space="preserve">Cs Oncogénétique, </t>
  </si>
  <si>
    <t xml:space="preserve">Cs Cardiologie, </t>
  </si>
  <si>
    <t>Cs Pneumo-allergologie,</t>
  </si>
  <si>
    <t xml:space="preserve">Cs Urologie, </t>
  </si>
  <si>
    <t xml:space="preserve">Cs Gynécologie, </t>
  </si>
  <si>
    <t xml:space="preserve">Cs Endocrinologie, </t>
  </si>
  <si>
    <t xml:space="preserve">Cs Rhumatologie, </t>
  </si>
  <si>
    <t xml:space="preserve">Cs Neurologie, </t>
  </si>
  <si>
    <t>HOMA-IR</t>
  </si>
  <si>
    <t>mUI/mL</t>
  </si>
  <si>
    <t xml:space="preserve">µg/L </t>
  </si>
  <si>
    <t> ng/ml</t>
  </si>
  <si>
    <t>CDT (transferrine carboxydeficiente</t>
  </si>
  <si>
    <t>pg/ml</t>
  </si>
  <si>
    <t>Estradiol</t>
  </si>
  <si>
    <t>pg/mL</t>
  </si>
  <si>
    <t>BNP (peptides natriurétiques)</t>
  </si>
  <si>
    <t>Hyperleucocytose</t>
  </si>
  <si>
    <t>Score HOMA-IR</t>
  </si>
  <si>
    <t>Un score HOMA-IR (Glycémie à jeun en mg/dL) x (Insulinémie à jeun en mUI/mL) / 405) supérieur à 2,4 est souvent interprété comme un signe de résistance à l'insuline</t>
  </si>
  <si>
    <t>Une valeur &lt; 0,5 ng/ml suggère une réserve ovarienne très faible. </t>
  </si>
  <si>
    <t>Chez une femme non ménopausée, le taux est le plus bas en début de cycle (environ 30-120 pg/mL), atteint un pic au moment de l'ovulation (environ 140-300 pg/mL ou plus) et diminue ensuite pendant la phase lutéale (environ 50-210 pg/mL). Après la ménopause, le taux chute généralement à moins de 20 ou 30 pg/mL. </t>
  </si>
  <si>
    <t>Un taux normal est généralement inférieur à 100 pg/mL</t>
  </si>
  <si>
    <t>L'insulinémie à jeun se situent généralement entre 2 et 20 µUI/mL (soit 14 à 140 pmol/L)</t>
  </si>
  <si>
    <t>En cas de consommation excessive d’alcool (≥ 50–80 g/j pendant plus d’une semaine), la CDT est  ≥ 1,7 %</t>
  </si>
  <si>
    <t>Chez les non-fumeurs les valeurs de cotinurie &lt; 10 µg/L (ou &lt; 0,01 µg/mL)</t>
  </si>
  <si>
    <t>Vaccination Zona</t>
  </si>
  <si>
    <t>Vaccination Tetanos</t>
  </si>
  <si>
    <t>Vaccination grippe</t>
  </si>
  <si>
    <t>Prévention cancer du col utérien</t>
  </si>
  <si>
    <t>Dépistage  cancer du sein</t>
  </si>
  <si>
    <t>Dépistage  cancer du colon</t>
  </si>
  <si>
    <t>Dépistage cancer de la prostate</t>
  </si>
  <si>
    <t>Dépistage cancer du poumon</t>
  </si>
  <si>
    <t>Dépistage cancer de l'estomac</t>
  </si>
  <si>
    <t xml:space="preserve">Prévention cancer du col utérin, </t>
  </si>
  <si>
    <t xml:space="preserve">Dépistage cancer de la prostate, </t>
  </si>
  <si>
    <t xml:space="preserve">Dépistage cancer du poumon, </t>
  </si>
  <si>
    <t xml:space="preserve">Dépistage cancer de l'estomac, </t>
  </si>
  <si>
    <t>Vaccinations</t>
  </si>
  <si>
    <t xml:space="preserve">Vaccination Zona, </t>
  </si>
  <si>
    <t xml:space="preserve">Dépistage  cancer du colon, </t>
  </si>
  <si>
    <t>Vitamine B6</t>
  </si>
  <si>
    <t>les valeurs normales du dosage de la vitamine B6 dans le sang se situent entre 20 et 121 nmol/L. Les besoins journaliers sont d'environ environ 1,8 mg/jour pour l'Homme et 1,5mgmg/jour pour la Femme . Le surdosage en Vitamine B6 peut donner des troubles neurologiques et digestifs. Les déficits en vitamine B6 ont été associée aux troubles dépressifs, à la fatigabilité et aux crampes musculaires, au risque cardivasculaire et à une baisse de l'immunité.</t>
  </si>
  <si>
    <t>20-121</t>
  </si>
  <si>
    <t>&gt; 121</t>
  </si>
  <si>
    <t>&gt;1,6%</t>
  </si>
  <si>
    <t>&gt; 10microg/ml</t>
  </si>
  <si>
    <t>&lt; 0,5</t>
  </si>
  <si>
    <t>La valeur normale est entre 1,5 et 12 UI/L</t>
  </si>
  <si>
    <t>&lt;12</t>
  </si>
  <si>
    <t>&gt; 2,4</t>
  </si>
  <si>
    <t>&gt;20</t>
  </si>
  <si>
    <t>2 à 20</t>
  </si>
  <si>
    <t>Tour de Cou (cm)</t>
  </si>
  <si>
    <t>&gt;43</t>
  </si>
  <si>
    <t xml:space="preserve"> Qualité de vie 100% aucun trouble)</t>
  </si>
  <si>
    <t xml:space="preserve"> Symptomes (100% aucun symptome)</t>
  </si>
  <si>
    <t xml:space="preserve"> Qualité Nutrition 100% bonne</t>
  </si>
  <si>
    <t xml:space="preserve"> Activité (100% bonne)</t>
  </si>
  <si>
    <t>Addiction (aucune 100%)</t>
  </si>
  <si>
    <t>Exposition IST (100% aucune)</t>
  </si>
  <si>
    <t xml:space="preserve"> Medications (100% pas de polymédication)</t>
  </si>
  <si>
    <t>Biométrie</t>
  </si>
  <si>
    <t>Consommation recommandée de NaCl (sel) g/j</t>
  </si>
  <si>
    <t>Apport de vitamine D recommandés</t>
  </si>
  <si>
    <t>Les apports journaliers recommandés en vitamine D sont de 600 UI  (15microg/j)</t>
  </si>
  <si>
    <t>Cancérologie</t>
  </si>
  <si>
    <t>Axes de vigilance</t>
  </si>
  <si>
    <t>Système nerveux et état mental</t>
  </si>
  <si>
    <t>Système cardiovasculaire et risque métabolique</t>
  </si>
  <si>
    <t>Systéme des voies aeriennes</t>
  </si>
  <si>
    <t>Systéme du tube digestif</t>
  </si>
  <si>
    <t>Système urinaire</t>
  </si>
  <si>
    <t>Appareil génital</t>
  </si>
  <si>
    <t xml:space="preserve"> Qualité du sommeil, Fatigue (100% aucun trouble)</t>
  </si>
  <si>
    <t>Tour de cou (cm)</t>
  </si>
  <si>
    <t>Score Mallampati (1 à 4)</t>
  </si>
  <si>
    <t>Stadification ASA (0-5)</t>
  </si>
  <si>
    <t>Apport hydriques (boissons)  recommandés</t>
  </si>
  <si>
    <t>Systéme hépato-biliaire</t>
  </si>
  <si>
    <t>Tour de Taille (cm)</t>
  </si>
  <si>
    <t>Test d'aptitude fréquence cardiaque à l'effort (Indice de Ruffier)</t>
  </si>
  <si>
    <t xml:space="preserve">IgE spécifique, </t>
  </si>
  <si>
    <t>Cs Ophtalmologie</t>
  </si>
  <si>
    <t>Cs ORL</t>
  </si>
  <si>
    <t xml:space="preserve">Cs Ophtalmologie, </t>
  </si>
  <si>
    <t xml:space="preserve">Cs ORL, </t>
  </si>
  <si>
    <t>Tenez vous en  équilibre sur une jambe plus de 10 secondes (tester les 2 jambes)</t>
  </si>
  <si>
    <t>Score KFRE</t>
  </si>
  <si>
    <t>Risque à 5 ans</t>
  </si>
  <si>
    <t>eL/1+1eL</t>
  </si>
  <si>
    <t>Implication pratique</t>
  </si>
  <si>
    <t>&lt; 5 %</t>
  </si>
  <si>
    <t>Suivi standard en médecine générale ± néphrologie</t>
  </si>
  <si>
    <t>5–15 %</t>
  </si>
  <si>
    <t>Surveillance néphrologique rapprochée</t>
  </si>
  <si>
    <t>&gt; 15 %</t>
  </si>
  <si>
    <t>Anticipation dialyse / préparation fistule / éducation thérapeutique</t>
  </si>
  <si>
    <t>Albuminurie/Creatininurie</t>
  </si>
  <si>
    <t>F3</t>
  </si>
  <si>
    <t>ImportQ</t>
  </si>
  <si>
    <t>F6</t>
  </si>
  <si>
    <t>F7</t>
  </si>
  <si>
    <t>F77</t>
  </si>
  <si>
    <t>F78</t>
  </si>
  <si>
    <t>F11</t>
  </si>
  <si>
    <t>F14</t>
  </si>
  <si>
    <t>F17</t>
  </si>
  <si>
    <t>F20</t>
  </si>
  <si>
    <t>F23</t>
  </si>
  <si>
    <t>F29</t>
  </si>
  <si>
    <t>F26</t>
  </si>
  <si>
    <t>F231</t>
  </si>
  <si>
    <t>F35</t>
  </si>
  <si>
    <t>F38</t>
  </si>
  <si>
    <t>F41</t>
  </si>
  <si>
    <t>F44</t>
  </si>
  <si>
    <t>F47</t>
  </si>
  <si>
    <t>F50</t>
  </si>
  <si>
    <t>F53</t>
  </si>
  <si>
    <t>F59</t>
  </si>
  <si>
    <t>F172</t>
  </si>
  <si>
    <t>F62</t>
  </si>
  <si>
    <t>F65</t>
  </si>
  <si>
    <t>F68</t>
  </si>
  <si>
    <t>F71</t>
  </si>
  <si>
    <t>F74</t>
  </si>
  <si>
    <t>F82</t>
  </si>
  <si>
    <t>F86</t>
  </si>
  <si>
    <t>F89</t>
  </si>
  <si>
    <t>F92</t>
  </si>
  <si>
    <t>F117</t>
  </si>
  <si>
    <t>F118</t>
  </si>
  <si>
    <t>F119</t>
  </si>
  <si>
    <t>F120</t>
  </si>
  <si>
    <t>F95</t>
  </si>
  <si>
    <t>F98</t>
  </si>
  <si>
    <t>F101</t>
  </si>
  <si>
    <t>F104</t>
  </si>
  <si>
    <t>F107</t>
  </si>
  <si>
    <t>F110</t>
  </si>
  <si>
    <t>F113</t>
  </si>
  <si>
    <t>F148</t>
  </si>
  <si>
    <t>F151</t>
  </si>
  <si>
    <t>F163</t>
  </si>
  <si>
    <t>F176</t>
  </si>
  <si>
    <t>F180</t>
  </si>
  <si>
    <t>F184</t>
  </si>
  <si>
    <t>F188</t>
  </si>
  <si>
    <t>F191</t>
  </si>
  <si>
    <t>F194</t>
  </si>
  <si>
    <t>F197</t>
  </si>
  <si>
    <t>F200</t>
  </si>
  <si>
    <t>F203</t>
  </si>
  <si>
    <t>F206</t>
  </si>
  <si>
    <t>F141</t>
  </si>
  <si>
    <t>F142</t>
  </si>
  <si>
    <t>F143</t>
  </si>
  <si>
    <t>F144</t>
  </si>
  <si>
    <t>F145</t>
  </si>
  <si>
    <t>F146</t>
  </si>
  <si>
    <t>F209</t>
  </si>
  <si>
    <t>F214</t>
  </si>
  <si>
    <t>F219</t>
  </si>
  <si>
    <t>F224</t>
  </si>
  <si>
    <t>F122</t>
  </si>
  <si>
    <t>F258</t>
  </si>
  <si>
    <t>F261</t>
  </si>
  <si>
    <t>F264</t>
  </si>
  <si>
    <t>F267</t>
  </si>
  <si>
    <t>F270</t>
  </si>
  <si>
    <t>F273</t>
  </si>
  <si>
    <t>F130</t>
  </si>
  <si>
    <t>F135</t>
  </si>
  <si>
    <t>F232</t>
  </si>
  <si>
    <t>F154&amp;F166</t>
  </si>
  <si>
    <t>F157&amp;F169</t>
  </si>
  <si>
    <t>F</t>
  </si>
  <si>
    <t>F79</t>
  </si>
  <si>
    <t>F80</t>
  </si>
  <si>
    <t>F81</t>
  </si>
  <si>
    <t>Basophiles</t>
  </si>
  <si>
    <t>Monocytes (VA)</t>
  </si>
  <si>
    <t>Les plages habituelles sont 0,01-0,05 x 10(9)/L. , il existe de très nombreuses causes réactionnelles et transitoires. Une élévation des basophiles (basophilie) est généralement définie par un taux supérieur à 0,1 G/L . Une augmentation modérée peut être liée à des allergies ou inflammations, tandis qu'une forte élévation (&gt;0,5 G/L) est souvent associée à des syndromes prolifératifs</t>
  </si>
  <si>
    <t xml:space="preserve">Les plages habituelles sont 0,15-1 x 10(9)/L. , il existe de très nombreuses causes réactionnelles et transitoires. Une Monocytose chronique (au-delà de 3 mois) devra être explorée. </t>
  </si>
  <si>
    <t>&lt;0,01</t>
  </si>
  <si>
    <t>0,01-0,1</t>
  </si>
  <si>
    <t>&lt;0,15</t>
  </si>
  <si>
    <t>0,15-1</t>
  </si>
  <si>
    <r>
      <t>Leucocytes (10</t>
    </r>
    <r>
      <rPr>
        <b/>
        <vertAlign val="superscript"/>
        <sz val="16"/>
        <color rgb="FF000000"/>
        <rFont val="Calibri"/>
        <family val="2"/>
        <scheme val="minor"/>
      </rPr>
      <t>9</t>
    </r>
    <r>
      <rPr>
        <b/>
        <sz val="16"/>
        <color rgb="FF000000"/>
        <rFont val="Calibri"/>
        <family val="2"/>
        <scheme val="minor"/>
      </rPr>
      <t>/l)</t>
    </r>
  </si>
  <si>
    <r>
      <t>Neutrophiles (10</t>
    </r>
    <r>
      <rPr>
        <b/>
        <vertAlign val="superscript"/>
        <sz val="16"/>
        <color rgb="FF000000"/>
        <rFont val="Calibri"/>
        <family val="2"/>
        <scheme val="minor"/>
      </rPr>
      <t>9</t>
    </r>
    <r>
      <rPr>
        <b/>
        <sz val="16"/>
        <color rgb="FF000000"/>
        <rFont val="Calibri"/>
        <family val="2"/>
        <scheme val="minor"/>
      </rPr>
      <t>/l)</t>
    </r>
  </si>
  <si>
    <r>
      <t>Éosinophiles (10</t>
    </r>
    <r>
      <rPr>
        <b/>
        <vertAlign val="superscript"/>
        <sz val="16"/>
        <color rgb="FF000000"/>
        <rFont val="Calibri"/>
        <family val="2"/>
        <scheme val="minor"/>
      </rPr>
      <t>9</t>
    </r>
    <r>
      <rPr>
        <b/>
        <sz val="16"/>
        <color rgb="FF000000"/>
        <rFont val="Calibri"/>
        <family val="2"/>
        <scheme val="minor"/>
      </rPr>
      <t>/l)</t>
    </r>
  </si>
  <si>
    <r>
      <t>Lymphocytes (10</t>
    </r>
    <r>
      <rPr>
        <b/>
        <vertAlign val="superscript"/>
        <sz val="16"/>
        <color rgb="FF000000"/>
        <rFont val="Calibri"/>
        <family val="2"/>
        <scheme val="minor"/>
      </rPr>
      <t>9</t>
    </r>
    <r>
      <rPr>
        <b/>
        <sz val="16"/>
        <color rgb="FF000000"/>
        <rFont val="Calibri"/>
        <family val="2"/>
        <scheme val="minor"/>
      </rPr>
      <t>/l)</t>
    </r>
  </si>
  <si>
    <r>
      <t>Plaquettes (10</t>
    </r>
    <r>
      <rPr>
        <b/>
        <vertAlign val="superscript"/>
        <sz val="16"/>
        <color rgb="FF000000"/>
        <rFont val="Calibri"/>
        <family val="2"/>
        <scheme val="minor"/>
      </rPr>
      <t>9</t>
    </r>
    <r>
      <rPr>
        <b/>
        <sz val="16"/>
        <color rgb="FF000000"/>
        <rFont val="Calibri"/>
        <family val="2"/>
        <scheme val="minor"/>
      </rPr>
      <t>/l)</t>
    </r>
  </si>
  <si>
    <r>
      <t>La TSH est une hormone qui stimule la synthèse et la libération des hormones thyroïdiennes </t>
    </r>
    <r>
      <rPr>
        <b/>
        <u/>
        <sz val="16"/>
        <rFont val="Calibri"/>
        <family val="2"/>
        <scheme val="minor"/>
      </rPr>
      <t>T3</t>
    </r>
    <r>
      <rPr>
        <b/>
        <sz val="16"/>
        <rFont val="Calibri"/>
        <family val="2"/>
        <scheme val="minor"/>
      </rPr>
      <t> et </t>
    </r>
    <r>
      <rPr>
        <b/>
        <u/>
        <sz val="16"/>
        <rFont val="Calibri"/>
        <family val="2"/>
        <scheme val="minor"/>
      </rPr>
      <t>T4</t>
    </r>
    <r>
      <rPr>
        <b/>
        <sz val="16"/>
        <rFont val="Calibri"/>
        <family val="2"/>
        <scheme val="minor"/>
      </rPr>
      <t> dans le sang. (TSH &gt; 4.0 mUI/L suspicion d' hypothyroïdie: TSH &lt; 0.4 mUI/L suscipcion d' hyperthyroïdie</t>
    </r>
  </si>
  <si>
    <r>
      <t>Basophiles  ( 10</t>
    </r>
    <r>
      <rPr>
        <b/>
        <vertAlign val="superscript"/>
        <sz val="16"/>
        <color rgb="FF222222"/>
        <rFont val="Calibri"/>
        <family val="2"/>
        <scheme val="minor"/>
      </rPr>
      <t>9</t>
    </r>
    <r>
      <rPr>
        <b/>
        <sz val="16"/>
        <color rgb="FF222222"/>
        <rFont val="Calibri"/>
        <family val="2"/>
        <scheme val="minor"/>
      </rPr>
      <t>/l))</t>
    </r>
  </si>
  <si>
    <r>
      <t>Monocytes ( 10</t>
    </r>
    <r>
      <rPr>
        <b/>
        <vertAlign val="superscript"/>
        <sz val="16"/>
        <color rgb="FF222222"/>
        <rFont val="Calibri"/>
        <family val="2"/>
        <scheme val="minor"/>
      </rPr>
      <t>9</t>
    </r>
    <r>
      <rPr>
        <b/>
        <sz val="16"/>
        <color rgb="FF222222"/>
        <rFont val="Calibri"/>
        <family val="2"/>
        <scheme val="minor"/>
      </rPr>
      <t>/l))</t>
    </r>
  </si>
  <si>
    <t xml:space="preserve"> Cirrhose</t>
  </si>
  <si>
    <t xml:space="preserve"> Dépression</t>
  </si>
  <si>
    <t xml:space="preserve"> Burnout</t>
  </si>
  <si>
    <t xml:space="preserve"> Asthme</t>
  </si>
  <si>
    <t>SOPK</t>
  </si>
  <si>
    <t>NASH</t>
  </si>
  <si>
    <t xml:space="preserve"> Ulcére</t>
  </si>
  <si>
    <t>RGO</t>
  </si>
  <si>
    <t xml:space="preserve"> ThromboEP</t>
  </si>
  <si>
    <t>ACFA</t>
  </si>
  <si>
    <t xml:space="preserve"> Apnée</t>
  </si>
  <si>
    <t>SJSRepos</t>
  </si>
  <si>
    <t>Démences</t>
  </si>
  <si>
    <t xml:space="preserve"> Syndmétabolique</t>
  </si>
  <si>
    <t xml:space="preserve"> Diabète</t>
  </si>
  <si>
    <t>BPCO</t>
  </si>
  <si>
    <t xml:space="preserve"> Pollinose</t>
  </si>
  <si>
    <t>Kprostate</t>
  </si>
  <si>
    <t>   Kovaire</t>
  </si>
  <si>
    <t>   Kcol</t>
  </si>
  <si>
    <t>   Kpoumon</t>
  </si>
  <si>
    <t xml:space="preserve"> Krein</t>
  </si>
  <si>
    <t>TVEU</t>
  </si>
  <si>
    <t xml:space="preserve"> Thyroide</t>
  </si>
  <si>
    <t>   Inconti</t>
  </si>
  <si>
    <t>calculsU</t>
  </si>
  <si>
    <t>   Endomé</t>
  </si>
  <si>
    <t>calculsB</t>
  </si>
  <si>
    <t xml:space="preserve"> Pancreatite</t>
  </si>
  <si>
    <t xml:space="preserve"> Colopat</t>
  </si>
  <si>
    <t>IntolGluLac</t>
  </si>
  <si>
    <t xml:space="preserve"> AnévryAO</t>
  </si>
  <si>
    <t xml:space="preserve"> ArtériopatMI</t>
  </si>
  <si>
    <t>coronaire</t>
  </si>
  <si>
    <t>Dyslipid</t>
  </si>
  <si>
    <t xml:space="preserve"> Ostéopo</t>
  </si>
  <si>
    <t xml:space="preserve"> Sarco</t>
  </si>
  <si>
    <t xml:space="preserve"> Arthro</t>
  </si>
  <si>
    <t xml:space="preserve"> Rhuma</t>
  </si>
  <si>
    <t>   Kcolo</t>
  </si>
  <si>
    <t>   Kesto</t>
  </si>
  <si>
    <t>   Kfoie</t>
  </si>
  <si>
    <t>   Kpanc</t>
  </si>
  <si>
    <t>   Ksein</t>
  </si>
  <si>
    <t>   KORL</t>
  </si>
  <si>
    <t>  Mélano</t>
  </si>
  <si>
    <t> IRC</t>
  </si>
  <si>
    <t>ATCD Examen</t>
  </si>
  <si>
    <t>HABITUS</t>
  </si>
  <si>
    <t>MEDICAMENT</t>
  </si>
  <si>
    <t>QdV</t>
  </si>
  <si>
    <t>SYMPTOMES</t>
  </si>
  <si>
    <t>Point-3</t>
  </si>
  <si>
    <t>Volume de prostate mesuré en échographie ou IRM (cc ou ml)</t>
  </si>
  <si>
    <t>Protéines totales</t>
  </si>
  <si>
    <t>Acides gras erythrocytaires</t>
  </si>
  <si>
    <t>Homocystéine</t>
  </si>
  <si>
    <t>g/L et mmol/L</t>
  </si>
  <si>
    <t>Apolipoproteine B</t>
  </si>
  <si>
    <t>Lpa</t>
  </si>
  <si>
    <t>ng/L</t>
  </si>
  <si>
    <t>mg/L et µg/L</t>
  </si>
  <si>
    <t>Urée</t>
  </si>
  <si>
    <t>mmol/L</t>
  </si>
  <si>
    <t>Calcémie</t>
  </si>
  <si>
    <t>U/L</t>
  </si>
  <si>
    <t>PAL</t>
  </si>
  <si>
    <t>Bilirubine</t>
  </si>
  <si>
    <t>Cholinestérase</t>
  </si>
  <si>
    <t>Score Fib4</t>
  </si>
  <si>
    <t>NASH Test Biopredictive</t>
  </si>
  <si>
    <t>T3</t>
  </si>
  <si>
    <t>T4</t>
  </si>
  <si>
    <t>Zinc erythrocytaire</t>
  </si>
  <si>
    <t>µmol/l</t>
  </si>
  <si>
    <t>Sélénium</t>
  </si>
  <si>
    <t>Magnésium erythrocytaire</t>
  </si>
  <si>
    <t>Vitamine D</t>
  </si>
  <si>
    <t>Vitamine B9</t>
  </si>
  <si>
    <t>Vitamine B12</t>
  </si>
  <si>
    <t>ng/l</t>
  </si>
  <si>
    <t>Coenzyme Q10</t>
  </si>
  <si>
    <t>Sérologie HIV</t>
  </si>
  <si>
    <t>Sérologie Hépatite B: Ag Hbs + Ac Hbs + Ac Hbc</t>
  </si>
  <si>
    <t>Sérologie Hépatite C</t>
  </si>
  <si>
    <t>Frottis cervico vaginal + recherche HPV par PCR</t>
  </si>
  <si>
    <t>Dépistage sang dans les selles si age &gt; 45ans</t>
  </si>
  <si>
    <t>Indice de HOMA si IMC élevé</t>
  </si>
  <si>
    <t>Holotranscobalamine (vit B12 active)si B12 entre 200 et 400ng/L</t>
  </si>
  <si>
    <t>pmol/L</t>
  </si>
  <si>
    <t>Acide méthylmalonique si holotranscobalamine entre 35 et 50 pmol/L</t>
  </si>
  <si>
    <t>mg/g de crétinine</t>
  </si>
  <si>
    <t>FindelClinique</t>
  </si>
  <si>
    <t xml:space="preserve"> Anesthésiologie</t>
  </si>
  <si>
    <t>Score ROMA</t>
  </si>
  <si>
    <t>CA125</t>
  </si>
  <si>
    <t>HEA</t>
  </si>
  <si>
    <t>Ionogramme sang</t>
  </si>
  <si>
    <t>RR</t>
  </si>
  <si>
    <t>Cancers Sein</t>
  </si>
  <si>
    <t>SPOK</t>
  </si>
  <si>
    <t>Incontinence urinaire</t>
  </si>
  <si>
    <t>Kendo</t>
  </si>
  <si>
    <t>Debit</t>
  </si>
  <si>
    <t>PSAcorrigé</t>
  </si>
  <si>
    <t>FRAX</t>
  </si>
  <si>
    <t>Hb1ac</t>
  </si>
  <si>
    <t>Hema</t>
  </si>
  <si>
    <t>ROMA</t>
  </si>
  <si>
    <t>AFP</t>
  </si>
  <si>
    <t>W</t>
  </si>
  <si>
    <t>Fibrinogéne</t>
  </si>
  <si>
    <t>Score Total</t>
  </si>
  <si>
    <t>A déjà Maladie</t>
  </si>
  <si>
    <t>A été dépisté ouVacciné</t>
  </si>
  <si>
    <t>Sensibilité cutanée UV(100% faible sensibilité)</t>
  </si>
  <si>
    <t>Score Pondéré</t>
  </si>
  <si>
    <t>Score Clinique</t>
  </si>
  <si>
    <t>Score Biologique</t>
  </si>
  <si>
    <t>Score Mixte</t>
  </si>
  <si>
    <t>BioNonFait</t>
  </si>
  <si>
    <t>Asthme</t>
  </si>
  <si>
    <t>Cancer du pancréas</t>
  </si>
  <si>
    <t>Creat</t>
  </si>
  <si>
    <t xml:space="preserve">Leucopénie </t>
  </si>
  <si>
    <t>Eosinophilie</t>
  </si>
  <si>
    <t>Monocytose</t>
  </si>
  <si>
    <t>Action calcul</t>
  </si>
  <si>
    <t>Paquets années</t>
  </si>
  <si>
    <t>Vitesse de marche &gt;0,8 m/s</t>
  </si>
  <si>
    <t>Dynamométrie  &gt;27 kg (H) / &gt;16 kg (F)</t>
  </si>
  <si>
    <t>Surface muscle Psoas en L3:  L500 mm²/taille-m² (H) &gt; 385 mm²/taille-m² (F)</t>
  </si>
  <si>
    <t>Déficit Muscle</t>
  </si>
  <si>
    <t>Appui Unipodal &gt; 10sec</t>
  </si>
  <si>
    <t>Résidu postmictionnel (échographie) ml &gt; 100ml (H), &lt; 5ml (F)</t>
  </si>
  <si>
    <t>Débitmétrie mictionnelle (ml/sec) moyen &gt; 10ml /sec</t>
  </si>
  <si>
    <t>F229</t>
  </si>
  <si>
    <t>F250</t>
  </si>
  <si>
    <t>F251</t>
  </si>
  <si>
    <t>F252</t>
  </si>
  <si>
    <t>F253</t>
  </si>
  <si>
    <t>Score Thrombose</t>
  </si>
  <si>
    <t>Plq Hb</t>
  </si>
  <si>
    <t>CRP Fibri</t>
  </si>
  <si>
    <t>% Risque à 5 ans</t>
  </si>
  <si>
    <t>UI/ml</t>
  </si>
  <si>
    <t>Score ROMA (Ovaire)</t>
  </si>
  <si>
    <t>ScorCVimc(à10 ans)</t>
  </si>
  <si>
    <t>Uro-génital</t>
  </si>
  <si>
    <t>Endocrino-Métabolisme</t>
  </si>
  <si>
    <t>Nerveux</t>
  </si>
  <si>
    <t>Leucopénie</t>
  </si>
  <si>
    <t>Respiratoire</t>
  </si>
  <si>
    <t>Systéme nerveux, sensoriel et mental</t>
  </si>
  <si>
    <t>Troubles neurodégénératifs</t>
  </si>
  <si>
    <t>Burnout</t>
  </si>
  <si>
    <t>Syndrome des Jambes sans repos</t>
  </si>
  <si>
    <t>Addictions</t>
  </si>
  <si>
    <t>Autoévaluation</t>
  </si>
  <si>
    <t>Qualité du sommeil</t>
  </si>
  <si>
    <t>Qualité de vie nerveuse et émotionnelle</t>
  </si>
  <si>
    <t>Tremblements des mains</t>
  </si>
  <si>
    <t xml:space="preserve">Sensation d’oublier des choses </t>
  </si>
  <si>
    <t>Traitement antidépresseur ou anxiolytique</t>
  </si>
  <si>
    <t>Consommation de Cannabis</t>
  </si>
  <si>
    <t>Consommation de Somniféres</t>
  </si>
  <si>
    <t>Douleurs dans les jambes la nuit</t>
  </si>
  <si>
    <t>ATCD familiaux de dépression</t>
  </si>
  <si>
    <t>Détail des analyses</t>
  </si>
  <si>
    <t>Pression artérielle systolique (mmHg) repos couché</t>
  </si>
  <si>
    <t>Pression artérielle diastolique (mmHg) repos couché</t>
  </si>
  <si>
    <t>Score cardiovasculaire type 2 (Cholesterol)</t>
  </si>
  <si>
    <t>Score CV IMC</t>
  </si>
  <si>
    <t>Ratio Cortisol/S-DHEA</t>
  </si>
  <si>
    <t>Test DMLA  grille de AMSLER</t>
  </si>
  <si>
    <t>Voies aeriennes et allergologie</t>
  </si>
  <si>
    <t>Essouflement</t>
  </si>
  <si>
    <t>Allergie respiratoire</t>
  </si>
  <si>
    <t>Tabagisme</t>
  </si>
  <si>
    <t>Exposition professionelle</t>
  </si>
  <si>
    <t>Pollution domestiques</t>
  </si>
  <si>
    <t>ATCD personnelasthme ou des allergies respiratoires (Pollinose…)?</t>
  </si>
  <si>
    <t>Atopie ou des allergies cutanées  (métaux, latex…)</t>
  </si>
  <si>
    <t>Allergie alimentaire Kiwi, Avocat, Chataigne, Sarrasin</t>
  </si>
  <si>
    <t>Test d'aptitude fréquence cardiaque à l'effort</t>
  </si>
  <si>
    <t>Spirométrie - rapport VEMS1/CVF (%)</t>
  </si>
  <si>
    <t>SpO2 effort (%)</t>
  </si>
  <si>
    <t>Diabete type </t>
  </si>
  <si>
    <t>Douleurs thoraciques</t>
  </si>
  <si>
    <t>Oedeme des cheville</t>
  </si>
  <si>
    <t>Périmétre de marche</t>
  </si>
  <si>
    <t>Apnée du sommeil (score %)</t>
  </si>
  <si>
    <t>Traitement pour dyslipidémie</t>
  </si>
  <si>
    <t>Traitement pour le diabéte</t>
  </si>
  <si>
    <t>Traitement anticoagulant ou antiagrégant</t>
  </si>
  <si>
    <t>Traitement pour les troubles du rythme cardiaque</t>
  </si>
  <si>
    <t>ATCD familial de maladie cardiovasculaire</t>
  </si>
  <si>
    <t>Varices des Membres inférieurs</t>
  </si>
  <si>
    <t>Contraception hormonale</t>
  </si>
  <si>
    <t>Ménopause</t>
  </si>
  <si>
    <t>Tour de Cou</t>
  </si>
  <si>
    <t>Score cardiovasculaire type 2</t>
  </si>
  <si>
    <t>Consommation de NaCl (g/jour)</t>
  </si>
  <si>
    <t>Frequence cardiaque d`entrainement 70% (Homme)/(Femme</t>
  </si>
  <si>
    <t>Fréquence cardiaque maximale à l`effort/ (Homme)/Femme</t>
  </si>
  <si>
    <t>Hypotension orthostatique (mmHg)</t>
  </si>
  <si>
    <t>Test d'aptitude tension artérielle à l'effort - delta TA  effort-TA repos (mmHg)</t>
  </si>
  <si>
    <t>pro-BNP</t>
  </si>
  <si>
    <t>Appareil digestif et hépato-biliaire</t>
  </si>
  <si>
    <t>Calculs Biliaires</t>
  </si>
  <si>
    <t>Ulcére gastroduaodénal</t>
  </si>
  <si>
    <t>Cancer de l'estomac</t>
  </si>
  <si>
    <t>Intolérance Gluten ou lactose</t>
  </si>
  <si>
    <t>Qualité de vie appareil digestif</t>
  </si>
  <si>
    <t>Diarrhées chroniques</t>
  </si>
  <si>
    <t>Constipation chronique</t>
  </si>
  <si>
    <t>Douleurs anales, hémoroides ou fissure anale</t>
  </si>
  <si>
    <t>Douleurs abdominales sus-mésocoliques</t>
  </si>
  <si>
    <t>Douleurs abdominales sous-mésocoliques</t>
  </si>
  <si>
    <t>Consommation d'alcool</t>
  </si>
  <si>
    <t>ATCD de calculs biliaires ou de cholecystectomie</t>
  </si>
  <si>
    <t>ATCD de Maladie inflammatoire chronique de l’intestin (maladie de Crohn, rectocolite hémorragique)</t>
  </si>
  <si>
    <t>ATCD d'hépatite virale</t>
  </si>
  <si>
    <t>ATCD familial cancer du colon</t>
  </si>
  <si>
    <t>ATCD dépistage cance du colon et rectum &lt; 2 ans</t>
  </si>
  <si>
    <t>ATCD imagerie abdominale &lt; 2 ans</t>
  </si>
  <si>
    <t>ALAT/ASAT (score)</t>
  </si>
  <si>
    <t>Sang dans les selles</t>
  </si>
  <si>
    <t>Appareil génito-urinaire</t>
  </si>
  <si>
    <t>Tumeur de la vessie</t>
  </si>
  <si>
    <t>Cancers sein</t>
  </si>
  <si>
    <t>Cancer endomètre</t>
  </si>
  <si>
    <t>Cancer ovaire</t>
  </si>
  <si>
    <t>Cancer du col utérin</t>
  </si>
  <si>
    <t>Infection sexuellement transmissibles</t>
  </si>
  <si>
    <t>Oédemes des Chevilles</t>
  </si>
  <si>
    <t>Qualité de vie urinaire</t>
  </si>
  <si>
    <t>Qualité de vie sexuelle</t>
  </si>
  <si>
    <t>Urgenturie</t>
  </si>
  <si>
    <t>Traitement pour les érections IPDE5</t>
  </si>
  <si>
    <t>Supplémentation hormonale pour la ménopause ou l'andropause</t>
  </si>
  <si>
    <t>Contraception à base d'hormones (pilule)</t>
  </si>
  <si>
    <t>Traitement par médicaments Dutasteride ou Finasteride (5ARI)</t>
  </si>
  <si>
    <t>Douleurs pelviennes ou des OGE</t>
  </si>
  <si>
    <t>Vaccination et dépistage HPV</t>
  </si>
  <si>
    <t>Dépistage IST</t>
  </si>
  <si>
    <t>Testostéronémie libre</t>
  </si>
  <si>
    <t>Testosteronémie biodisponible</t>
  </si>
  <si>
    <t>Testosteronémie totale</t>
  </si>
  <si>
    <t>Résidu postmictionnel (échographie) ml</t>
  </si>
  <si>
    <t>Débitmétrie mictionnelle (ml/sec)</t>
  </si>
  <si>
    <t>Diabete type 2</t>
  </si>
  <si>
    <t>Insuffisance thyroïdienne</t>
  </si>
  <si>
    <t>Stéatose et NASH</t>
  </si>
  <si>
    <t>Amaigrissement récent</t>
  </si>
  <si>
    <t>régime alimentaire Végane</t>
  </si>
  <si>
    <t>Consommationdu porc, du boeuf, du veau, du mouton ou de l’agneau</t>
  </si>
  <si>
    <t>Consommation aliments salés (exemple : charcuterie, chips, ….)</t>
  </si>
  <si>
    <t>Consommation des produits laitiers ?</t>
  </si>
  <si>
    <t>Consommation des aliments sucrés (exemple :  soda, bonbons, pâtisseries, glaces)</t>
  </si>
  <si>
    <t>Consommation des aliments gras (exemple :  hamburger fast-food, viennoiseries au beurre, beurre en tartine..)</t>
  </si>
  <si>
    <t>Sédentarité</t>
  </si>
  <si>
    <t>Consommation de fruits ou de légumes par jour</t>
  </si>
  <si>
    <t>Traitement pour la thyroide</t>
  </si>
  <si>
    <t>Acide urique sanguin</t>
  </si>
  <si>
    <t>Acide urique urinaire</t>
  </si>
  <si>
    <t>Endocrinologie Métabolisme Nutrition</t>
  </si>
  <si>
    <t>Système immuno-hématologique</t>
  </si>
  <si>
    <t>Thrombophlébites et Embolie pulmonaire</t>
  </si>
  <si>
    <t>Risque hémorragique</t>
  </si>
  <si>
    <t>ATCD de Cancer</t>
  </si>
  <si>
    <t>ATCD de phlébite ou embolie pulmonaire ou déficit protein S</t>
  </si>
  <si>
    <t>ATCD d'infection chronique</t>
  </si>
  <si>
    <t>Traitement immunodépresseur</t>
  </si>
  <si>
    <t>Exposition professionnelle</t>
  </si>
  <si>
    <t>Pollution Domestique</t>
  </si>
  <si>
    <t>Traitement antiagrégant ou anticoagulant</t>
  </si>
  <si>
    <t>Varices des membres inférieurs</t>
  </si>
  <si>
    <t>Saignements pronlogés  ou une maladie de la coagulation ou pour les femmes des régles très abondantes</t>
  </si>
  <si>
    <r>
      <t>Leucocytes (10</t>
    </r>
    <r>
      <rPr>
        <vertAlign val="superscript"/>
        <sz val="11"/>
        <color rgb="FF000000"/>
        <rFont val="Calibri"/>
        <family val="2"/>
        <scheme val="minor"/>
      </rPr>
      <t>9</t>
    </r>
    <r>
      <rPr>
        <sz val="11"/>
        <color rgb="FF000000"/>
        <rFont val="Calibri"/>
        <family val="2"/>
        <scheme val="minor"/>
      </rPr>
      <t>/l)</t>
    </r>
  </si>
  <si>
    <r>
      <t>Neutrophiles (10</t>
    </r>
    <r>
      <rPr>
        <vertAlign val="superscript"/>
        <sz val="11"/>
        <color rgb="FF000000"/>
        <rFont val="Calibri"/>
        <family val="2"/>
        <scheme val="minor"/>
      </rPr>
      <t>9</t>
    </r>
    <r>
      <rPr>
        <sz val="11"/>
        <color rgb="FF000000"/>
        <rFont val="Calibri"/>
        <family val="2"/>
        <scheme val="minor"/>
      </rPr>
      <t>/l)</t>
    </r>
  </si>
  <si>
    <r>
      <t>Éosinophiles (10</t>
    </r>
    <r>
      <rPr>
        <vertAlign val="superscript"/>
        <sz val="11"/>
        <color rgb="FF000000"/>
        <rFont val="Calibri"/>
        <family val="2"/>
        <scheme val="minor"/>
      </rPr>
      <t>9</t>
    </r>
    <r>
      <rPr>
        <sz val="11"/>
        <color rgb="FF000000"/>
        <rFont val="Calibri"/>
        <family val="2"/>
        <scheme val="minor"/>
      </rPr>
      <t>/l)</t>
    </r>
  </si>
  <si>
    <r>
      <t>Lymphocytes (10</t>
    </r>
    <r>
      <rPr>
        <vertAlign val="superscript"/>
        <sz val="11"/>
        <color rgb="FF000000"/>
        <rFont val="Calibri"/>
        <family val="2"/>
        <scheme val="minor"/>
      </rPr>
      <t>9</t>
    </r>
    <r>
      <rPr>
        <sz val="11"/>
        <color rgb="FF000000"/>
        <rFont val="Calibri"/>
        <family val="2"/>
        <scheme val="minor"/>
      </rPr>
      <t>/l)</t>
    </r>
  </si>
  <si>
    <r>
      <t>Plaquettes (10</t>
    </r>
    <r>
      <rPr>
        <vertAlign val="superscript"/>
        <sz val="11"/>
        <color rgb="FF000000"/>
        <rFont val="Calibri"/>
        <family val="2"/>
        <scheme val="minor"/>
      </rPr>
      <t>9</t>
    </r>
    <r>
      <rPr>
        <sz val="11"/>
        <color rgb="FF000000"/>
        <rFont val="Calibri"/>
        <family val="2"/>
        <scheme val="minor"/>
      </rPr>
      <t>/l)</t>
    </r>
  </si>
  <si>
    <r>
      <t>Basophiles  ( 10</t>
    </r>
    <r>
      <rPr>
        <vertAlign val="superscript"/>
        <sz val="11"/>
        <color rgb="FF222222"/>
        <rFont val="Calibri"/>
        <family val="2"/>
        <scheme val="minor"/>
      </rPr>
      <t>9</t>
    </r>
    <r>
      <rPr>
        <sz val="11"/>
        <color rgb="FF222222"/>
        <rFont val="Calibri"/>
        <family val="2"/>
        <scheme val="minor"/>
      </rPr>
      <t>/l))</t>
    </r>
  </si>
  <si>
    <r>
      <t>Monocytes ( 10</t>
    </r>
    <r>
      <rPr>
        <vertAlign val="superscript"/>
        <sz val="11"/>
        <color rgb="FF222222"/>
        <rFont val="Calibri"/>
        <family val="2"/>
        <scheme val="minor"/>
      </rPr>
      <t>9</t>
    </r>
    <r>
      <rPr>
        <sz val="11"/>
        <color rgb="FF222222"/>
        <rFont val="Calibri"/>
        <family val="2"/>
        <scheme val="minor"/>
      </rPr>
      <t>/l))</t>
    </r>
  </si>
  <si>
    <t>Ostéoporose</t>
  </si>
  <si>
    <t>Rhumatisme inflammatoire</t>
  </si>
  <si>
    <t>Qualité de vie Locomoteur</t>
  </si>
  <si>
    <t>Fatigue chronique</t>
  </si>
  <si>
    <t>Fiévre chronique</t>
  </si>
  <si>
    <t>Douleur articulaires</t>
  </si>
  <si>
    <t>Traitement pour le cholestérol</t>
  </si>
  <si>
    <t>Traitement par corticoïdes pendant plus de 3 mois</t>
  </si>
  <si>
    <t>Traitement immunosuppresseur</t>
  </si>
  <si>
    <t>Supplémentation hormonale (ménopause ou andropause)</t>
  </si>
  <si>
    <t>ATCD familial de fracture ostéoporotique</t>
  </si>
  <si>
    <t>ATCD familial de rhumatisme inflammatoire</t>
  </si>
  <si>
    <t>ATCD personnel de maladie inflammatoire digestive</t>
  </si>
  <si>
    <t>Régine Végane</t>
  </si>
  <si>
    <t>Supplémentation en Vitamine D</t>
  </si>
  <si>
    <t>CPK</t>
  </si>
  <si>
    <t>Créatininémie</t>
  </si>
  <si>
    <t>Co-enzyme Q10</t>
  </si>
  <si>
    <t>Score Sarcopénie (bilan urinaire)</t>
  </si>
  <si>
    <t>Test de la Chaise</t>
  </si>
  <si>
    <t>Test appui unipodal &gt; 10sec</t>
  </si>
  <si>
    <t>Cancer du sein</t>
  </si>
  <si>
    <t>Cancer de l'ovaire</t>
  </si>
  <si>
    <t>Cancer de l'endométre</t>
  </si>
  <si>
    <t>Cancer du col de l'utérus</t>
  </si>
  <si>
    <t>Cancer du colon et rectum</t>
  </si>
  <si>
    <t>Amaigrissement</t>
  </si>
  <si>
    <t>Consommation alcool</t>
  </si>
  <si>
    <t>Consommation fruits et légumes</t>
  </si>
  <si>
    <t>Pollution domestique</t>
  </si>
  <si>
    <t>Supplémentation hormonale pour la ménopause ou andropause</t>
  </si>
  <si>
    <t>ATCD personnel de cancer</t>
  </si>
  <si>
    <t>ATCD familial de cancer</t>
  </si>
  <si>
    <t>ATCD Hépatite</t>
  </si>
  <si>
    <t>ATCD d'ulcére gastro-duodénal</t>
  </si>
  <si>
    <t>ATCD de la madie inflammatoire digestive</t>
  </si>
  <si>
    <t>Toux chronique</t>
  </si>
  <si>
    <t>Diarrhée chroniques</t>
  </si>
  <si>
    <t>Exposition aux UV</t>
  </si>
  <si>
    <t>Vaccination ou dépistage HPV</t>
  </si>
  <si>
    <t>Dépistage du cancer du sein &lt; 2 ans</t>
  </si>
  <si>
    <t>Dépistage du cancer du colon &lt; 2 ans</t>
  </si>
  <si>
    <t>IRM prostatique &lt; 2 ans</t>
  </si>
  <si>
    <t>Scanner thoracique &lt;2 ans</t>
  </si>
  <si>
    <t>Imagerie abdominale &lt; 2 ans</t>
  </si>
  <si>
    <t>PSA total</t>
  </si>
  <si>
    <t>PSA densité</t>
  </si>
  <si>
    <t>FIB-4</t>
  </si>
  <si>
    <t>Hémoglobine</t>
  </si>
  <si>
    <t>Plaquettes</t>
  </si>
  <si>
    <t>Monocytes</t>
  </si>
  <si>
    <t>Ratio Neutro/Lymphocytes</t>
  </si>
  <si>
    <t>Autopalpation Mammaire</t>
  </si>
  <si>
    <t>Rubriques</t>
  </si>
  <si>
    <t>Paquets-années</t>
  </si>
  <si>
    <t>Locomoteur &amp; peau</t>
  </si>
  <si>
    <t>Appareil locomoteur et peau</t>
  </si>
  <si>
    <t>Melanome et Cancers cutanés</t>
  </si>
  <si>
    <t>Sensibilité cutanée UV</t>
  </si>
  <si>
    <t>Addiction aux jeux</t>
  </si>
  <si>
    <t>Bouffées de chaleur ou sueurs nocturnes</t>
  </si>
  <si>
    <t>Consultation Gynécolie ou Urologique &lt; 1 ans</t>
  </si>
  <si>
    <t>Consultation gynécologique ou urologique &lt; 1 ans</t>
  </si>
  <si>
    <t>masse  graisseuse (impédancemétrie) %</t>
  </si>
  <si>
    <t>Masse graisseuse( impédancemétrie) %</t>
  </si>
  <si>
    <t>Masse graisseuse impédancemétrie %</t>
  </si>
  <si>
    <t>PSA Total</t>
  </si>
  <si>
    <t>MammoRisk Predilife</t>
  </si>
  <si>
    <t>Score CV IMC (5 ans)</t>
  </si>
  <si>
    <t>Hb1Ac %</t>
  </si>
  <si>
    <t>Calcémie milliMol/l</t>
  </si>
  <si>
    <t>pro-BNP (peptides natriurétiques)</t>
  </si>
  <si>
    <t>Score inflammation</t>
  </si>
  <si>
    <t>Risque hémorragique Bio</t>
  </si>
  <si>
    <t>Score Neurodegeneratif</t>
  </si>
  <si>
    <t>Essouflement à l'effort</t>
  </si>
  <si>
    <t>Vaccination hépatite B</t>
  </si>
  <si>
    <t>Score FR CAD</t>
  </si>
  <si>
    <t>Score Symptom CAD</t>
  </si>
  <si>
    <t>Estimation de la maladie coronarienne en %</t>
  </si>
  <si>
    <t>CAD logit</t>
  </si>
  <si>
    <t>ExpLogit</t>
  </si>
  <si>
    <t>Seuil &gt;15% alerle</t>
  </si>
  <si>
    <t>tiroir</t>
  </si>
  <si>
    <t>Action Finale</t>
  </si>
  <si>
    <t>ACTION</t>
  </si>
  <si>
    <t>Objectif Poids Ideal à 12 mois</t>
  </si>
  <si>
    <t>Age&lt;50</t>
  </si>
  <si>
    <t>Le poids idéal à 12 mois est l'objectif à atteindre en adaptant la consommation journaliére de calories et l'activité physique</t>
  </si>
  <si>
    <t>Objectif tour de taille (cm)</t>
  </si>
  <si>
    <t>La mesure du tour de taille aide à dépister les risques possibles pour la santé liés au surpoids et à l’obésité. Ce risque augmente avec un tour de taille supérieur à 102 cm (40 pouces) pour les hommes et à 88 cm (35 pouces) pour les femmes.</t>
  </si>
  <si>
    <t>Electrophorèse des protéines</t>
  </si>
  <si>
    <t>ASAT, ALAT, GGT</t>
  </si>
  <si>
    <t xml:space="preserve">TP/TCK, </t>
  </si>
  <si>
    <t>Anévrysme de l'aorte abdominale</t>
  </si>
  <si>
    <t>Hyperuricémie</t>
  </si>
  <si>
    <t>Objectif tour de cou (cm)</t>
  </si>
  <si>
    <t>Le tour de cou chez l’homme est normal si &lt; 41 chez les hommes et &lt; 36 cm chez les femmes</t>
  </si>
  <si>
    <t>Stocklom 3 (Prostate)</t>
  </si>
  <si>
    <t>&lt;10</t>
  </si>
  <si>
    <t>Colodiag</t>
  </si>
  <si>
    <r>
      <t>Suivi :</t>
    </r>
    <r>
      <rPr>
        <sz val="11"/>
        <color theme="1"/>
        <rFont val="Aptos"/>
        <family val="2"/>
      </rPr>
      <t xml:space="preserve"> La maladie a été déclarée, un suivi spécifique est à discuter avec le médecin référent</t>
    </r>
  </si>
  <si>
    <r>
      <t>Alerte :</t>
    </r>
    <r>
      <rPr>
        <sz val="11"/>
        <color theme="1"/>
        <rFont val="Aptos"/>
        <family val="2"/>
      </rPr>
      <t xml:space="preserve"> Le risque d’avoir la maladie justifie des examens complémentaires biologiques ou d’imagerie et une consultation spécialisée.</t>
    </r>
  </si>
  <si>
    <r>
      <t>Vigilance :</t>
    </r>
    <r>
      <rPr>
        <sz val="11"/>
        <color theme="1"/>
        <rFont val="Aptos"/>
        <family val="2"/>
      </rPr>
      <t xml:space="preserve"> Des facteurs de risque ont été identifiés justifiant des actions de prévention pour réduire les risques ou proposer un parcours de diagnostic précoce personnalisé sur les risques en accord avec les recommandations des pratiques professionnelles spécialisées.</t>
    </r>
  </si>
  <si>
    <r>
      <t>Usuel :</t>
    </r>
    <r>
      <rPr>
        <sz val="11"/>
        <color theme="1"/>
        <rFont val="Aptos"/>
        <family val="2"/>
      </rPr>
      <t xml:space="preserve"> Il n’y a pas de facteur de risque identifiés, la surveillance proposée est celle recommandée par les autorités de santé publique en population générale.</t>
    </r>
  </si>
  <si>
    <t>Quelle est votre taille (en cm) ?</t>
  </si>
  <si>
    <t>Quel est votre poids (en kg) ?</t>
  </si>
  <si>
    <t>Veuillez préciser le type de cancer ou de tumeur, l’année du diagnostic et le traitement reçu.</t>
  </si>
  <si>
    <t>Veuillez préciser l’année du diagnostic et le traitement reçu.</t>
  </si>
  <si>
    <t>Si vous avez déjà eu un ou plusieurs autres cancers ou tumeurs non mentionnés ci-dessus, veuillez préciser le type, l’année du diagnostic et le traitement reçu.</t>
  </si>
  <si>
    <t>Si votre mère ou votre père a eu un ou plusieurs autres cancers ou tumeurs, ou l’un mentionnés ci-dessus à un âge différent, veuillez préciser la personne concernée et le(s) type(s).</t>
  </si>
  <si>
    <t>Si vos frères ou sœurs ont eu un ou plusieurs autres cancers ou tumeurs, veuillez préciser la personne concernée et le(s) type(s).</t>
  </si>
  <si>
    <t>Veuillez préciser la ou les personnes concernées et quelle(s) maladie(s).</t>
  </si>
  <si>
    <t xml:space="preserve">Veuillez préciser la ou les personnes concernées. </t>
  </si>
  <si>
    <t>Veuillez préciser la ou les personnes concernées et quelle(s) diabète(s).</t>
  </si>
  <si>
    <t>Si un membre de votre famille proche (mère, père, sœur, frère biologiques) a eu une ou plusieurs autres maladies, veuillez préciser la personne concernée et le type de maladie.</t>
  </si>
  <si>
    <t>Veuillez préciser lequel, l’année du diagnostic et le(s) traitement(s) reçu(s).</t>
  </si>
  <si>
    <t>Veuillez l’année du diagnostic et le(s) traitement(s) reçu(s).</t>
  </si>
  <si>
    <t>Si vous avez eu d’autres maladies que celles énoncées ici-haut, merci de préciser le nom de la maladie, l’année du diagnostic et le traitement reçu.</t>
  </si>
  <si>
    <t>Veuillez préciser le ou les types de chirurgie que vous avez subis, ainsi que l’année de réalisation.</t>
  </si>
  <si>
    <t>Veuillez préciser le nom du médicament, la dose (par exemple : 100 mg) et comment vous le prenez chaque jour (par exemple : 1 comprimé le matin).</t>
  </si>
  <si>
    <t>Si vous prenez d’autres médicaments que ceux mentionnés ci-dessus, veuillez préciser le nom du médicament, la dose (par exemple : 100 mg) et comment vous le prenez chaque jour (par exemple : 1 comprimé le matin).</t>
  </si>
  <si>
    <t>Veuillez préciser le ou les allergie(s).</t>
  </si>
  <si>
    <t>Veuillez préciser le ou les intolérance(s).</t>
  </si>
  <si>
    <t>Si vous avez des allergies à des médicaments ou d’autres allergies non mentionnées précédemment, veuillez préciser lesquelles.</t>
  </si>
  <si>
    <t>Veuillez préciser lesquels et l’intervalle recommandé pour le prochain dépistage (par exemple, tous les 3 ans, 5 ans).</t>
  </si>
  <si>
    <t>Veuillez préciser l’intervalle recommandé pour le prochain dépistage (par exemple, tous les 3 ans, 5 ans).</t>
  </si>
  <si>
    <t>Veuillez préciser. Était-ce intentionnel ? Suiviez-vous un régime particulier ?</t>
  </si>
  <si>
    <t>Veuillez préciser qui. Si vous avez des enfants, indiquez combien et quel(s) âge(s) ils ont.</t>
  </si>
  <si>
    <t xml:space="preserve">Veuillez préciser le ou lesquels. </t>
  </si>
  <si>
    <t>Veuillez préciser quoi et la quantité.</t>
  </si>
  <si>
    <t>Veuillez préciser quelle(s) activité(s) vous pratiquez et à quelle fréquence.</t>
  </si>
  <si>
    <t>Veuillez préciser laquelle ou lesquelles.</t>
  </si>
  <si>
    <t>Veuillez préciser dans quel(s) pays vous avez vécu.</t>
  </si>
  <si>
    <t>TOTUM</t>
  </si>
  <si>
    <t xml:space="preserve">Si vous avez eu d’autres maladies que celles énoncées ici-haut, merci de préciser le nom de la maladie. </t>
  </si>
  <si>
    <t>Souhaitez-vous aborder un ou plusieurs sujets en priorité, avec le professionnel de santé au cours de votre Bilan Prévention ?</t>
  </si>
  <si>
    <t>&lt;p&gt;&lt;strong&gt;L’hypertrophie bénigne de la prostate&lt;/strong&gt; est une condition de santé courante qui peut être associée à des troubles urinaires et impacter la qualité de vie. Les données épidémiologiques indiquent que son héritabilité est estimée à environ 80%. Les facteurs de risque documentés dans la littérature médicale incluent le surpoids et la dysfonction érectile.&lt;/p&gt;
&lt;p&gt;&lt;strong&gt;L\'hypertrophie prostatique dans sa forme évolutive&lt;/strong&gt; est associée dans la littérature à des infections urinaires, des calculs de vessie, une rétention urinaire ou une insuffisance rénale. &lt;strong&gt;Les protocoles de surveillance standard&lt;/strong&gt; mentionnent une évaluation annuelle des troubles mictionnels.&lt;/p&gt;
&lt;p&gt;&lt;strong&gt;Pour les profils à vigilance accrue&lt;/strong&gt;, les recommandations professionnelles évoquent l\'orientation vers une consultation spécialisée en urologie complémentaire pouvant inclure une échographie vésicale et rénale, la mesure du résidu post-mictionnel, et une débitmétrie mictionnelle.&lt;/p&gt;</t>
  </si>
  <si>
    <t>&lt;p&gt;Selon les données épidémiologiques, environ 15% de la population est affectée par &lt;strong&gt;l\'insuffisance rénale&lt;/strong&gt;. Les facteurs de risque documentés dans la littérature médicale incluent les facteurs génétiques comme les maladies rénales héréditaires, ainsi que des associations avec le syndrome métabolique et les pathologies cardiovasculaires.&lt;/p&gt;
&lt;p&gt;L\'insuffisance rénale est associée dans la littérature à une réduction de l\'espérance de vie et à des impacts sur la qualité de vie. &lt;strong&gt;Les protocoles de surveillance standard&lt;/strong&gt; mentionnent l\'évaluation de la fonction rénale par le débit de filtration glomérulaire (DFG).&lt;/p&gt;
&lt;p&gt;&lt;strong&gt;Pour les profils à vigilance accrue,&lt;/strong&gt; les recommandations professionnelles évoquent l\'orientation vers une consultation spécialisée en néphrologie pouvant inclure une échographie rénale.&lt;/p&gt;</t>
  </si>
  <si>
    <t>&lt;p&gt;Les facteurs de risque documentés dans la littérature médicale concernant &lt;strong&gt;les calculs urinaires&lt;/strong&gt; incluent certains composants du syndrome métabolique comme un indice de masse corporelle élevé et un déséquilibre glycémique, ainsi qu\'une alimentation riche en sel, en protéines et en vitamine D. Les facteurs héréditaires sont également documentés comme facteurs de risque selon le type de calculs présents.&lt;/p&gt;
&lt;p&gt;&lt;strong&gt;Les protocoles de surveillance standard&lt;/strong&gt; mentionnent un examen annuel avec une bandelette urinaire et une analyse du calcium et de l\'acide urique dans l\'urine.&lt;/p&gt;
&lt;p&gt;&lt;strong&gt;Pour les profils à vigilance accrue,&lt;/strong&gt; les recommandations professionnelles évoquent l\'orientation vers une consultation spécialisée en urologie pouvant inclure une échographie des reins et de la vessie, ainsi qu\'une évaluation nutritionnelle.&lt;/p&gt;</t>
  </si>
  <si>
    <t>&lt;p&gt;&lt;strong&gt;L\'ostéopénie&lt;/strong&gt; est une réduction de la masse osseuse associée à une prédisposition à l\'ostéoporose. Les données épidémiologiques indiquent que l\'ostéoporose présente des facteurs génétiques à hauteur de 70%. Les facteurs de risque documentés dans la littérature médicale incluent le tabagisme, l\'utilisation de corticostéroïdes, le déclin des stéroïdes sexuels, l\'insuffisance pondérale, la consommation excessive d\'alcool, ainsi que les carences en vitamine D et la consommation excessive de vitamine A.&lt;/p&gt;
&lt;p&gt;&lt;strong&gt;Les protocoles de surveillance standard&lt;/strong&gt; mentionnent une évaluation annuelle des niveaux de vitamine D et un bilan calcique urinaire.&lt;/p&gt;
&lt;p&gt;&lt;strong&gt;Pour les profils à vigilance accrue,&lt;/strong&gt; les recommandations professionnelles évoquent l\'orientation vers une consultation spécialisée en rhumatologie pouvant inclure une ostéodensitométrie pour mesurer précisément la densité minérale osseuse.&lt;/p&gt;</t>
  </si>
  <si>
    <t>&lt;p&gt;&lt;strong&gt;Les calculs biliaires&lt;/strong&gt; sont associés dans la littérature médicale à certaines pathologies telles que les dyslipidémies, la fibrose hépatique, la maladie de Crohn, et la drépanocytose. Les facteurs de risque documentés incluent l\'âge, la génétique, le syndrome métabolique, la perte de poids rapide, et une alimentation inadaptée.&lt;/p&gt;
&lt;p&gt;&lt;strong&gt;La pancréatite&lt;/strong&gt;, souvent associée aux calculs biliaires dans la littérature, peut également résulter d\'une forte consommation d\'alcool, du tabagisme et d\'une étiologie auto-immune. &lt;strong&gt;Les protocoles de surveillance standard&lt;/strong&gt; mentionnent une évaluation annuelle du bilan hépatique.&lt;/p&gt;
&lt;p&gt;&lt;strong&gt;Pour les profils à vigilance accrue,&lt;/strong&gt; les recommandations professionnelles évoquent l\'orientation vers une consultation spécialisée en gastro-entérologie pouvant inclure une échographie abdominale.&lt;/p&gt;</t>
  </si>
  <si>
    <t>&lt;p&gt;&lt;strong&gt;L\'hypothyroïdie&lt;/strong&gt;, essentielle au métabolisme énergétique, est souvent associée dans la littérature médicale à des réactions auto-immunes caractérisées par une production insuffisante d\'hormones par la glande thyroïde. Cette condition peut être associée à des complications cardiovasculaires parmi d\'autres complications.&lt;/p&gt;
&lt;p&gt;&lt;strong&gt;Les protocoles de surveillance standard&lt;/strong&gt; mentionnent un contrôle annuel de la TSH (hormone stimulant la thyroïde).&lt;/p&gt;
&lt;p&gt;&lt;strong&gt;Pour les profils à vigilance accrue,&lt;/strong&gt; les recommandations professionnelles évoquent l\'orientation vers une consultation spécialisée en endocrinologie pouvant inclure une échographie de la thyroïde, des dosages des hormones T3 et T4 libres, et la recherche d\'autoanticorps Anti-TG et Anti-TPO.&lt;/p&gt;</t>
  </si>
  <si>
    <t>&lt;p&gt;&lt;strong&gt;Les dyslipidémies&lt;/strong&gt; sont caractérisées par une élévation anormale des lipides dans le sang tels que le cholestérol (hypercholestérolémie) ou les triglycérides. Les facteurs de risque documentés dans la littérature médicale incluent principalement l\'origine génétique exacerbée par le surpoids, la consommation d\'alcool et/ou de sucres rapides. Ces déséquilibres lipidiques sont associés dans la littérature à une augmentation des risques cardiovasculaires.&lt;/p&gt;
&lt;p&gt;&lt;strong&gt;Les protocoles de surveillance standard&lt;/strong&gt; mentionnent une évaluation annuelle du bilan lipidique.&lt;/p&gt;
&lt;p&gt;&lt;strong&gt;Pour les profils à vigilance accrue,&lt;/strong&gt; les recommandations professionnelles évoquent l\'orientation vers une consultation spécialisée en endocrinologie et nutrition pouvant inclure une évaluation des complications cardiovasculaires potentielles.&lt;/p&gt;</t>
  </si>
  <si>
    <t>&lt;p&gt;&lt;strong&gt;Le diabète de type 2&lt;/strong&gt; représente 90% des cas de diabète sucré et se caractérise par une hyperglycémie chronique. Les facteurs de risque documentés dans la littérature médicale incluent l\'âge (généralement après 50 ans) et le surpoids. Cette condition est associée dans la littérature à des complications graves telles que des maladies cardiovasculaires, une perte de vision irréversible, des atteintes nerveuses et une insuffisance rénale.&lt;/p&gt;
&lt;p&gt;&lt;strong&gt;Les protocoles de surveillance standard&lt;/strong&gt; mentionnent une évaluation annuelle de la glycémie et de l\'hémoglobine glyquée.&lt;/p&gt;
&lt;p&gt;&lt;strong&gt;Pour les profils à vigilance accrue,&lt;/strong&gt; les recommandations professionnelles évoquent l\'orientation vers des consultations spécialisées en endocrinologie et nutrition pouvant inclure des examens cardiovasculaires, rénaux et du fond d\'oeil.&lt;/p&gt;</t>
  </si>
  <si>
    <t>&lt;p&gt;&lt;strong&gt;Le syndrome métabolique&lt;/strong&gt; est un ensemble de conditions incluant l\'hypertension artérielle, le diabète, les troubles lipidiques et le surpoids. Les données épidémiologiques indiquent des niveaux de risque évalués comme élevés si supérieurs à 20%, intermédiaires entre 10 et 20%, et faibles si inférieurs à 10%. Cette condition est associée dans la littérature à un facteur de risque majeur pour les maladies cardiovasculaires et neurovasculaires.&lt;/p&gt;
&lt;p&gt;&lt;strong&gt;Les protocoles de surveillance standard&lt;/strong&gt; mentionnent des évaluations annuelles de la tension artérielle, du poids, de la glycémie, de l\'hémoglobine glyquée et du bilan lipidique.&lt;/p&gt;
&lt;p&gt;&lt;strong&gt;Pour les profils à vigilance accrue,&lt;/strong&gt; les recommandations professionnelles évoquent l\'orientation vers des consultations spécialisées en endocrinologie et nutrition pouvant inclure des bilans cardiovasculaire, rénal, hépatique et du fond d\'oeil.&lt;/p&gt;</t>
  </si>
  <si>
    <t>&lt;p&gt;&lt;strong&gt;La phlébite&lt;/strong&gt;, ou thrombose veineuse, est une pathologie cardiovasculaire caractérisée par la formation d\'un caillot sanguin dans une veine. Les données épidémiologiques indiquent qu\'elle touche environ une personne sur 1000, avec une fréquence qui augmente avec l\'âge. Les facteurs de risque documentés dans la littérature médicale incluent la longue immobilisation (après une chirurgie ou une fracture), un cancer, ainsi qu\'une prédisposition héréditaire en présence d\'antécédents familiaux. Cette condition est associée dans la littérature à des complications comme l\'embolie pulmonaire et l\'insuffisance cardiaque aiguë.&lt;/p&gt;
&lt;p&gt;&lt;strong&gt;Les protocoles de surveillance standard&lt;/strong&gt; mentionnent une attention particulière à la prévention, notamment par l\'utilisation de bas de contention en cas de facteurs déclenchants (immobilisation, long voyage en avion, etc.).&lt;/p&gt;
&lt;p&gt;&lt;strong&gt;Pour les profils à vigilance accrue,&lt;/strong&gt; les recommandations professionnelles évoquent l\'orientation vers une consultation spécialisée en angiologie pouvant inclure un dosage des protéines C et S.&lt;/p&gt;</t>
  </si>
  <si>
    <t>&lt;p&gt;&lt;strong&gt;Les anévrismes de l\'aorte abdominale&lt;/strong&gt; (dilatation de l\'aorte) et &lt;strong&gt;l\'artériopathie des membres inférieurs&lt;/strong&gt; (obstruction des artères) sont associés dans la littérature à l\'athérosclérose, une inflammation causée par le dépôt de lipides dans la paroi des artères. Les facteurs de risque documentés dans la littérature médicale incluent les composantes du syndrome métabolique, l\'âge (habituellement après 60 ans), une prédisposition héréditaire pour l\'anévrisme de l\'aorte, et le tabagisme qui aggrave considérablement ces pathologies.&lt;/p&gt;
&lt;p&gt;&lt;strong&gt;Les protocoles de surveillance standard&lt;/strong&gt; mentionnent une évaluation annuelle de la tension artérielle et un examen abdominal.&lt;/p&gt;
&lt;p&gt;&lt;strong&gt;Pour les profils à vigilance accrue,&lt;/strong&gt; les recommandations professionnelles évoquent l\'orientation vers une consultation spécialisée en cardiologie pouvant inclure une échographie et un doppler des axes artériels carotidiens et aorto-iliaques.&lt;/p&gt;</t>
  </si>
  <si>
    <t>&lt;p&gt;&lt;strong&gt;Les accidents vasculaires cérébraux (AVC)&lt;/strong&gt; se manifestent par l\'apparition soudaine d\'un déficit neurologique. Les données épidémiologiques indiquent qu\'ils touchent principalement les personnes de plus de 65 ans dans 75% des cas. Les facteurs de risque documentés dans la littérature médicale incluent le vieillissement des vaisseaux sanguins, les prédispositions héréditaires, l\'athérosclérose (environ la moitié des cas), les troubles du rythme cardiaque notamment la fibrillation auriculaire (un tiers des cas), les composantes du syndrome métabolique (hypertension artérielle, obésité, diabète, dyslipidémies), le tabagisme, la consommation d\'alcool, l\'apnée du sommeil et les troubles de l\'érection.&lt;/p&gt;
&lt;p&gt;&lt;strong&gt;Les protocoles de surveillance standard&lt;/strong&gt; mentionnent une évaluation annuelle de la tension artérielle et un électrocardiogramme (ECG).&lt;/p&gt;
&lt;p&gt;&lt;strong&gt;Pour les profils à vigilance accrue,&lt;/strong&gt; les recommandations professionnelles évoquent l\'orientation vers une consultation spécialisée en cardiologie pouvant inclure une échographie et un doppler des axes artériels carotidiens ainsi qu\'un ECG.&lt;/p&gt;</t>
  </si>
  <si>
    <t>&lt;p&gt;&lt;strong&gt;La cardiopathie ischémique&lt;/strong&gt; est une maladie caractérisée par un défaut d\'oxygénation du coeur en raison d\'une mauvaise vascularisation par les artères coronaires. Les facteurs de risque documentés dans la littérature médicale incluent le tabagisme, les dyslipidémies, le diabète, l\'apnée du sommeil, les troubles de l\'érection, les composantes du syndrome métabolique, ainsi qu\'une prédisposition héréditaire. Cette pathologie peut être associée à des complications aiguës comme l\'infarctus du myocarde ou évoluer chroniquement vers l\'insuffisance cardiaque.&lt;/p&gt;
&lt;p&gt;&lt;strong&gt;Les protocoles de surveillance standard&lt;/strong&gt; mentionnent une évaluation annuelle de la tension artérielle et un électrocardiogramme (ECG).&lt;/p&gt;
&lt;p&gt;&lt;strong&gt;Pour les profils à vigilance accrue,&lt;/strong&gt; les recommandations professionnelles évoquent l\'orientation vers une consultation spécialisée en cardiologie pouvant inclure une épreuve d\'effort, un score calcique coronaire, une échographie et un doppler des axes artériels carotidiens et aorto-iliaques.&lt;/p&gt;</t>
  </si>
  <si>
    <t>&lt;p&gt;&lt;strong&gt;Le mélanome&lt;/strong&gt; est un cancer de la peau qui peut ressembler à un grain de beauté (naevus). Les naevus suspects de transformation en mélanome présentent souvent une asymétrie, des bords irréguliers en « carte de géographie », plusieurs couleurs (brun clair, brun foncé, rosé), et un diamètre supérieur à 6 mm. Les facteurs de risque documentés dans la littérature médicale incluent une peau claire, des antécédents familiaux, et une exposition répétée au soleil, en particulier avec des antécédents de coups de soleil.&lt;/p&gt;
&lt;p&gt;&lt;strong&gt;Les protocoles de surveillance standard&lt;/strong&gt; mentionnent un examen clinique.&lt;/p&gt;
&lt;p&gt;&lt;strong&gt;Pour les profils à vigilance accrue,&lt;/strong&gt; les recommandations professionnelles évoquent l\'orientation vers une consultation spécialisée en dermatologie.&lt;/p&gt;</t>
  </si>
  <si>
    <t>&lt;p&gt;&lt;strong&gt;Les cancers du sein&lt;/strong&gt; représentent environ 30% des cancers diagnostiqués chez les femmes, mais peuvent également toucher les hommes, notamment en cas de prédisposition héréditaire. Les données épidémiologiques indiquent une héritabilité estimée à environ 60%. Les facteurs de risque documentés dans la littérature médicale incluent le surpoids et le tabagisme, associés à une augmentation de la mortalité.&lt;/p&gt;
&lt;p&gt;&lt;strong&gt;Les protocoles de surveillance standard&lt;/strong&gt; mentionnent une mammographie annuelle à partir de 50 ans (ou dès 40 ans en cas de risque familial élevé) pour le cancer du sein.&lt;/p&gt;
&lt;p&gt;&lt;strong&gt;Pour les profils à vigilance accrue,&lt;/strong&gt; les recommandations professionnelles évoquent l\'orientation vers une consultation spécialisée en gynécologie pouvant inclure une IRM mammaire, et une consultation d\'oncogénétique.&lt;/p&gt;',</t>
  </si>
  <si>
    <t>&lt;p&gt;&lt;strong&gt;Les cancers de l\'ovaire&lt;/strong&gt; surviennent généralement autour de 65 ans, ou plus tôt en cas de prédisposition familiale. Les facteurs de risque documentés dans la littérature médicale incluent l\'absence de grossesse, l\'obésité, et l\'exposition à certaines thérapies hormonales.&lt;/p&gt;
&lt;p&gt;&lt;strong&gt;Les protocoles de surveillance standard&lt;/strong&gt; mentionnent une échographie pelvienne RECURRENCE? AGE?.&lt;/p&gt;
&lt;p&gt;&lt;strong&gt;Pour les profils à vigilance accrue,&lt;/strong&gt; les recommandations professionnelles évoquent l\'orientation vers une consultation spécialisée en gynécologie pouvant inclure une IRM ou scanner pelvien et une consultation d\'oncogénétique.&lt;/p&gt;',</t>
  </si>
  <si>
    <t xml:space="preserve">&lt;p&gt;&lt;strong&gt;Les cancers de la prostate&lt;/strong&gt; constituent environ 25% des diagnostics de cancer chez les hommes. Les données épidémiologiques indiquent une héritabilité estimée à environ 60%. Les facteurs de risque documentés dans la littérature médicale incluent le surpoids et le tabagisme, associés à une augmentation de la mortalité.&lt;/p&gt;
&lt;p&gt;Les protocoles de surveillance standard mentionnent un dosage annuel du PSA entre 50 et 75 ans. En présence de facteurs de risque génétiques, tels qu\'une histoire familiale ou des origines africaines ou antillaises, le dépistage peut débuter dès 45 ans.&lt;/p&gt;
&lt;p&gt;&lt;strong&gt;Pour les profils à vigilance accrue,&lt;/strong&gt; les recommandations professionnelles évoquent l\'orientation vers une consultation spécialisée en urologie pouvant inclure une IRM de la prostate.&lt;/p&gt;',
</t>
  </si>
  <si>
    <t>&lt;p&gt;&lt;strong&gt;Les cancers des voies aérodigestives supérieures (ORL)&lt;/strong&gt; — bouche, pharynx, larynx, également appelés gorge et sinus — sont associés dans la littérature médicale à la consommation de tabac et d\'alcool, et dans certains cas, à une infection à certains types de papillomavirus humains (HPV). Les facteurs de risque documentés incluent également une exposition professionnelle.&lt;/p&gt;
&lt;p&gt;&lt;strong&gt;Les protocoles de surveillance standard&lt;/strong&gt; mentionnent un examen clinique.&lt;/p&gt;
&lt;p&gt;&lt;strong&gt;Pour les profils à vigilance accrue,&lt;/strong&gt; les recommandations professionnelles évoquent l\'orientation vers une consultation spécialisée en ORL.&lt;/p&gt;</t>
  </si>
  <si>
    <t>&lt;p&gt;&lt;strong&gt;Le cancer du poumon&lt;/strong&gt;, ou cancer bronchopulmonaire, est associé dans la littérature médicale principalement à l\'exposition au tabac, le tabagisme étant documenté comme responsable d\'environ 80% des cas.&lt;/p&gt;
&lt;p&gt;&lt;strong&gt;Les protocoles de surveillance standard&lt;/strong&gt; mentionnent, pour les personnes à vigilance accrue âgées de 50 à 75 ans, un scanner thoracique à faible dose.&lt;/p&gt;
&lt;p&gt;&lt;strong&gt;Pour les profils à vigilance accrue,&lt;/strong&gt; les recommandations professionnelles évoquent l\'orientation vers une consultation spécialisée en pneumologie pouvant inclure un scanner thoracique à faible dose.&lt;/p&gt;</t>
  </si>
  <si>
    <t>&lt;p&gt;&lt;strong&gt;Les cancers du côlon&lt;/strong&gt; constituent environ 15% des cancers diagnostiqués et près de 54% des cas de cancer de l’intestin pourraient être évités. Les données épidémiologiques indiquent une héritabilité d\'environ 30%. Les facteurs de risque documentés dans la littérature médicale incluent la consommation de viande grillée, une faible ingestion de fibres, le surpoids, et la consommation d\'alcool.&lt;/p&gt;
&lt;p&gt;&lt;strong&gt;Les protocoles de surveillance standard&lt;/strong&gt; mentionnent la recherche annuelle de sang dans les selles.&lt;/p&gt;
&lt;p&gt;&lt;strong&gt;Pour les profils à vigilance accrue,&lt;/strong&gt; les recommandations professionnelles évoquent l\'orientation vers une consultation spécialisée en gastro-entérologie pouvant inclure une coloscopie ou une imagerie du côlon.&lt;/p&gt;</t>
  </si>
  <si>
    <t>L'asthme est une maladie inflammatoire chronique obstructive des voies respiratoires qui affecte aussi les voies aériennes de plus grand calibre. Les facteurs de risque documentés dans la littérature médicale incluent une prédisposition génétique et une composante allergique, ainsi que le tabagisme qui aggrave la pathologie, certaines expositions professionnelles et la pollution atmosphérique. Les protocoles de surveillance standard mentionnent une évaluation par spirométrie. Pour les profils à vigilance accrue, les recommandations professionnelles évoquent l'orientation vers une consultation spécialisée en pneumologie pouvant inclure une spirométrie et un scanner thoracique.</t>
  </si>
  <si>
    <t>La BPCO est une maladie inflammatoire chronique obstructive des voies respiratoires qui touche principalement les petites voies aériennes. Les facteurs de risque documentés dans la littérature médicale incluent une prédisposition génétique et le tabagisme (impliqué dans environ 80% des BPCO), ainsi que certaines expositions professionnelles et la pollution atmosphérique. Les protocoles de surveillance standard mentionnent une évaluation par spirométrie. Pour les profils à vigilance accrue, les recommandations professionnelles évoquent l'orientation vers une consultation spécialisée en pneumologie pouvant inclure une spirométrie et un scanner thoracique.</t>
  </si>
  <si>
    <t>Thrombose vasculaire</t>
  </si>
  <si>
    <t>Artériopathie des membres inférieurs</t>
  </si>
  <si>
    <t>Cardiovasculaires et circulatoires</t>
  </si>
  <si>
    <t>Digestives et hépatiques</t>
  </si>
  <si>
    <t>Cancer du côlon et du rectum</t>
  </si>
  <si>
    <t>Stéatose hépatique et NASH (stéato-hépatite non alcoolique)</t>
  </si>
  <si>
    <t>Ulcère gastroduodénal</t>
  </si>
  <si>
    <t>Reflux gastro-œsophagien (RGO)</t>
  </si>
  <si>
    <t>Intolérances alimentaires (gluten et lactose)</t>
  </si>
  <si>
    <t>Diabète</t>
  </si>
  <si>
    <t>Dysfonction thyroïdienne</t>
  </si>
  <si>
    <t>Hématologie</t>
  </si>
  <si>
    <t>Accident vasculaire cérébral (AVC)</t>
  </si>
  <si>
    <t>Burn-out</t>
  </si>
  <si>
    <t>BPCO (Bronchopneumopathie chronique obstructive)</t>
  </si>
  <si>
    <t>Pollinose saisonnière (rhume des foins)</t>
  </si>
  <si>
    <t>Cancers du sein</t>
  </si>
  <si>
    <t>Tumeur des voies excrétrices urinaires</t>
  </si>
  <si>
    <t xml:space="preserve">Lithiase (calculs) urinaire </t>
  </si>
  <si>
    <t>Dysfonction érectile</t>
  </si>
  <si>
    <t>SOPK (Syndrome des ovaires polykystiques)</t>
  </si>
  <si>
    <t>Commentaires résultats</t>
  </si>
  <si>
    <t>H/F</t>
  </si>
  <si>
    <t>Déficit androgénique lié à l'âge</t>
  </si>
  <si>
    <t>Déficit œstrogénique lié à l'âge</t>
  </si>
  <si>
    <t>Catégorie</t>
  </si>
  <si>
    <t>Bilan martial</t>
  </si>
  <si>
    <t>Examen cytobactériologique des urines (ECBU)</t>
  </si>
  <si>
    <t>Bilan endocrinien</t>
  </si>
  <si>
    <t>Bilan métabolique - Morphologie</t>
  </si>
  <si>
    <t>Bilan métabolique - Glucidique &amp; Lipidique</t>
  </si>
  <si>
    <t>Bilan métabolique - Nutrition</t>
  </si>
  <si>
    <t xml:space="preserve">Bilan rénal </t>
  </si>
  <si>
    <t>Bilan respiratoire</t>
  </si>
  <si>
    <t>Bilan locomoteur</t>
  </si>
  <si>
    <t>Bilan sensoriel</t>
  </si>
  <si>
    <t>Bilan cardiovasculaire</t>
  </si>
  <si>
    <t>NbATCD Familiaux cancer</t>
  </si>
  <si>
    <t>Cancer Risque Familial</t>
  </si>
  <si>
    <t>Systèmes</t>
  </si>
  <si>
    <t>Bilan endocrinien (Homme)</t>
  </si>
  <si>
    <t>calcul intermédiares ne pas modifier</t>
  </si>
  <si>
    <t>Bilan endocrinien (Femme)</t>
  </si>
  <si>
    <t>Bilan Pharmacologique</t>
  </si>
  <si>
    <t>Bilan infectiologie</t>
  </si>
  <si>
    <t>Dépistage Cancer</t>
  </si>
  <si>
    <r>
      <t>L’artériopathie oblitérante des membres inférieurs est une manifestation de l’athérosclérose affectant les artères des membres inférieurs. Elle touche environ 5 % des adultes de plus 45 ans et 20 % des plus de 65 ans. Elle est aussi prévalente chez les hommes que chez les femmes, mais souvent sous-diagnostiquée chez ces dernières. Elle est associée au risque cardiovasculaire et est particulièrement aggravée par le diabète et le tabagisme. Elle se suspecte par la réduction du périmètre de marche (claudication intermittente : douleur à la marche, soulagée par le repos en quelque minutes). Le diagnostic confirmé par la mesure de l’index de pression systolique (stétho–doppler ; la valeur normale est comprise entre 0,9 et 1,4) et par l’imagerie qui cartographie les rétrécissements artériels (échodoppler artériel, angio-IRM ou angioscanner). Les éléments du syndrome métabolique seront recherchés systématiquement et le bilan complété par la recherche de facteurs aggravants. Sur le plan biologique les tests suivants pourront être proposés pour couvrir le risque métabolique : [NFS (plaquettes) ; Glycémie et Hb1c, Cholestérol et fractions, Triglycérides, Bilan hépatique (ASAT ; ALAT ; GGT, Score FIB-4), Créatininémie et DFG, Microalbuminurie]. En cas de facteur risque avérer, une consultation de cardiologie avec échodoppler cardiaque, de l’aorte abdominal, des artères carotides.</t>
    </r>
    <r>
      <rPr>
        <b/>
        <sz val="11"/>
        <color rgb="FFFF0000"/>
        <rFont val="Calibri"/>
        <family val="2"/>
        <scheme val="minor"/>
      </rPr>
      <t xml:space="preserve"> </t>
    </r>
    <r>
      <rPr>
        <sz val="11"/>
        <color rgb="FFFF0000"/>
        <rFont val="Calibri"/>
        <family val="2"/>
        <scheme val="minor"/>
      </rPr>
      <t xml:space="preserve">La prévention repose sur le dépistage des sujets à risque (surcharge pondérale, HTA, dyslipidémie, antécédents familiaux), l’éviction des facteurs de risque </t>
    </r>
    <r>
      <rPr>
        <b/>
        <sz val="11"/>
        <color rgb="FF196B24"/>
        <rFont val="Calibri"/>
        <family val="2"/>
        <scheme val="minor"/>
      </rPr>
      <t xml:space="preserve">modifiables </t>
    </r>
    <r>
      <rPr>
        <sz val="11"/>
        <color rgb="FFFF0000"/>
        <rFont val="Calibri"/>
        <family val="2"/>
        <scheme val="minor"/>
      </rPr>
      <t>et la rééducation à la marche. La prévention médicamenteuse en particulier par statines et antiagrégants plaquettaires sera prise en concertation avec un cardiologue.</t>
    </r>
  </si>
  <si>
    <r>
      <t>L'hypertension artérielle (HTA) est une condition chronique, multifactorielle, caractérisée par une élévation persistante de la pression artérielle. Elle constitue un problème majeur de santé publique en raison de sa forte prévalence (6% avant 35 ans et plus de 60% après 65 ans) et de ses complications cardiovasculaires (Infarctus du myocarde, insuffisance cardiaque), rénales (insuffisance) et cérébrales (AVC, démences vasculaires). Elle est souvent asymptomatique (plus de la moitié des cas), entrainant une altération progressive des organes cibles, d’où l’intérêt de la dépister systématiquement avant 60 ans, les hommes sont plus touchés que les femmes (ratio H/F=1,4), mais après la ménopause, la prévalence s'équilibre. L’HTA est favorisée par la sédentarité et la surcharge pondérale, une consommation excessive en sel (NaCl), l’exposition à l’alcool et au tabac. Elle est souvent associée aux autres désordres métaboliques (dyslipidémie, diabète de type 2) et est avec eux un des éléments du syndrome métabolique. Il existe une part de prédisposition génétique (héritabilité d’environ 40%) pour l’HTA et les personnes d’origine africaine, présentent un risque plus élevé d’HTA. L’évolution chronique avec des épisodes paroxystiques doit faire éliminer une tumeur endocrinienne. La prévention de l’HTA, repose sur la réduction de la consommation de sel (&lt;5 g/jour selon l’OMS), la lutte contre la surcharge pondérale (alimentation équilibrée et la pratique régulière d'une activité physique d’au moins 30 minutes par jour),</t>
    </r>
    <r>
      <rPr>
        <b/>
        <sz val="11"/>
        <color rgb="FF196B24"/>
        <rFont val="Calibri"/>
        <family val="2"/>
        <scheme val="minor"/>
      </rPr>
      <t xml:space="preserve"> la</t>
    </r>
    <r>
      <rPr>
        <sz val="11"/>
        <color rgb="FF196B24"/>
        <rFont val="Calibri"/>
        <family val="2"/>
        <scheme val="minor"/>
      </rPr>
      <t xml:space="preserve"> </t>
    </r>
    <r>
      <rPr>
        <sz val="11"/>
        <color rgb="FFFF0000"/>
        <rFont val="Calibri"/>
        <family val="2"/>
        <scheme val="minor"/>
      </rPr>
      <t xml:space="preserve">réduction de la consommation d'alcool et </t>
    </r>
    <r>
      <rPr>
        <b/>
        <sz val="11"/>
        <color rgb="FF196B24"/>
        <rFont val="Calibri"/>
        <family val="2"/>
        <scheme val="minor"/>
      </rPr>
      <t>l’a</t>
    </r>
    <r>
      <rPr>
        <sz val="11"/>
        <color rgb="FFFF0000"/>
        <rFont val="Calibri"/>
        <family val="2"/>
        <scheme val="minor"/>
      </rPr>
      <t xml:space="preserve">rrêt du tabac, </t>
    </r>
    <r>
      <rPr>
        <b/>
        <sz val="11"/>
        <color rgb="FF196B24"/>
        <rFont val="Calibri"/>
        <family val="2"/>
        <scheme val="minor"/>
      </rPr>
      <t xml:space="preserve">la </t>
    </r>
    <r>
      <rPr>
        <sz val="11"/>
        <color rgb="FFFF0000"/>
        <rFont val="Calibri"/>
        <family val="2"/>
        <scheme val="minor"/>
      </rPr>
      <t>gestion du stress (techniques de relaxation, méditation, etc.). Une fois diagnostiquée elle requière un traitement médicamenteux antihypertenseurs afin de protéger les organes cibles (Inhibiteurs de l’enzyme de conversion (IEC), Antagonistes des récepteurs de l'angiotensine II  (ARA II), bêtabloquants, diurétiques, inhibiteurs calciques) adapté au profil du patient et la présence éventuelle d'autres comorbidités. Chez les patients hypertendus la surveillance des organes cibles justifie des examens réguliers et des consultations spécialisées (cardiologie avec échographie cardiaque, néphrologie avec une échographie/doppler rénale, ophtalmologie avec angiographie rétinienne).</t>
    </r>
  </si>
  <si>
    <r>
      <t xml:space="preserve">L'arythmie cardiaque regroupe plusieurs troubles du rythme, </t>
    </r>
    <r>
      <rPr>
        <b/>
        <strike/>
        <sz val="11"/>
        <color rgb="FF196B24"/>
        <rFont val="Calibri"/>
        <family val="2"/>
        <scheme val="minor"/>
      </rPr>
      <t>dont</t>
    </r>
    <r>
      <rPr>
        <sz val="11"/>
        <color rgb="FFFF0000"/>
        <rFont val="Calibri"/>
        <family val="2"/>
        <scheme val="minor"/>
      </rPr>
      <t xml:space="preserve"> la fibrillation auriculaire (FA) est la plus fréquente. La FA affecte 1 à 2 % de la population générale. Sa fréquence augmente avec l’âge , elle est estimée de 5 à 10 % chez les plus de 65 ans. Elle est plus fréquente chez les hommes que chez les femmes (ratio H/F=1,5). Elle augmente le risque (x5) d’accident vasculaire cérébral (AVC) et d’insuffisance cardiaque. Les facteurs favorisants sont l’Hypertension artérielle (facteur principal), les valvulopathies cardiaques, l’hyperthyroïdie, l’obésité et le diabète, le syndrome d'apnée du sommeil, l’insuffisance rénale et l’anémie. Les facteurs aggravants sont la consommation d’alcool et de tabac et le stress chronique. Elle est souvent asymptomatique, parfois suspectée sur des signes d’alerte (palpitations, dyspnée, fatigue, vertiges). Son diagnostic repose sur l’analyse de l’électrocardiogramme (ECG) éventuellement avec un Holter-ECG pour détecter les FA paroxystiques ou à l’effort. Le bilan biologique recherchera des facteurs favorisants : [NFS, TSH, Ionogramme, calcémie et Magnésémie et éventuellement BNP]. La prise en charge est cardiologique. En cas de FA avérée, l’indication de l’anticoagulation associée ou antiarythmiques, peut s’aider du Score CHA</t>
    </r>
    <r>
      <rPr>
        <vertAlign val="subscript"/>
        <sz val="11"/>
        <color rgb="FFFF0000"/>
        <rFont val="Calibri"/>
        <family val="2"/>
        <scheme val="minor"/>
      </rPr>
      <t>2</t>
    </r>
    <r>
      <rPr>
        <sz val="11"/>
        <color rgb="FFFF0000"/>
        <rFont val="Calibri"/>
        <family val="2"/>
        <scheme val="minor"/>
      </rPr>
      <t>DS</t>
    </r>
    <r>
      <rPr>
        <vertAlign val="subscript"/>
        <sz val="11"/>
        <color rgb="FFFF0000"/>
        <rFont val="Calibri"/>
        <family val="2"/>
        <scheme val="minor"/>
      </rPr>
      <t>2</t>
    </r>
    <r>
      <rPr>
        <sz val="11"/>
        <color rgb="FFFF0000"/>
        <rFont val="Calibri"/>
        <family val="2"/>
        <scheme val="minor"/>
      </rPr>
      <t>-VASc.</t>
    </r>
  </si>
  <si>
    <r>
      <t xml:space="preserve">En 2020, il y a eu en France 6500 nouveaux cas de cancer de l’estomac. Son type histologique le plus fréquent est l’adénocarcinome gastrique. Son Incidence est plus élevée en Asie de l'Est, Europe de l'Est et Amérique Latine. Les facteurs de risque sont partagés avec ceux de l’ulcère gastro-duodénal (l’infection à H. pylori multiplie le risque par 6 à 8) et des gastrites atrophiques (auto-immunes et déficit en Vitamine B12). L’alimentation riche en sel et en nitrates (charcuterie, aliments fumés), le </t>
    </r>
    <r>
      <rPr>
        <b/>
        <sz val="11"/>
        <color rgb="FF196B24"/>
        <rFont val="Calibri"/>
        <family val="2"/>
        <scheme val="minor"/>
      </rPr>
      <t>tabac</t>
    </r>
    <r>
      <rPr>
        <sz val="11"/>
        <color theme="1"/>
        <rFont val="Calibri"/>
        <family val="2"/>
        <scheme val="minor"/>
      </rPr>
      <t xml:space="preserve"> et </t>
    </r>
    <r>
      <rPr>
        <b/>
        <sz val="11"/>
        <color rgb="FF196B24"/>
        <rFont val="Calibri"/>
        <family val="2"/>
        <scheme val="minor"/>
      </rPr>
      <t xml:space="preserve">l’alcool </t>
    </r>
    <r>
      <rPr>
        <sz val="11"/>
        <color theme="1"/>
        <rFont val="Calibri"/>
        <family val="2"/>
        <scheme val="minor"/>
      </rPr>
      <t>sont aussi des facteurs de risque. Il existe des syndromes de prédisposition familiale rares (mutation CDH1, syndrome de Lynch). Les signes d’alerte sont les douleurs abdominales chroniques de la région épigastrique. Le diagnostic repose sur l’endoscopie digestive haute avec biopsie (recherche H. pylori et lésions précancéreuses) en consultation de gastroentérologie. Les Marqueurs tumoraux (CA 19-9, CEA) sont peu spécifiques et non recommandés pour le diagnostic précoce. Le dépistage par endoscopie digestive s’applique aux sujets à risque (antécédents familiaux, antécédent d’ulcère gastro-duodénal ou gastrite atrophique, déficit en vitamine B12), les régions à haut risque (Asie) dès 40 ans.  La prévention repose sur la prévention de l’ulcère gastro-duodénale et des gastrites atrophiques (réduction du sel, de l’alcool, des antiinflammatoires non stéroidiens en automédication, l’arrêt du tabac, la supplémentation en vitamine B12 en cas de carence) et l’éradication des infections gastriques à H. pylori.</t>
    </r>
  </si>
  <si>
    <t>Le Cancer du foie (Carcinome hépatocellulaire - CHC) est associé à une cirrhose dans 80-90% des cas. Il touche davantage les hommes (ratio H/F = 2). Les facteurs de risque sont l’alcoolisme chronique, les hépatites virales chroniques B et C, la stéatose hépatique non alcoolique (NASH) liée à l’obésité. Plus rarement, les maladies auto-immunes du foie (hépatite auto-immune, CBP (cholangite biliaire primitive) , CSP ( cholangite sclérosante primitive)), l’hémochromatose génétique (surcharge en fer) ou l’exposition alimentaire aux Aflatoxines (mycotoxine produite par certains champignons) en zones endémiques (notamment en Afrique et Asie). Le diagnostic du CHC repose en première intention sur l’échographie hépatique et le dosage de l’alpha-foetoprotéine (AFP&gt;20 ng/mL : sensibilité d’environ 50% ; Spécificité d’environ 85%). Les signes d’alerte sont ceux de la cirrhose :  fatigue, amaigrissement et perturbation du bilan hépatique. La prévention repose sur le sevrage de consommation d’alcool, la mitigation du risque métabolique, la vaccination contre l’hépatite B (efficacité &gt;95%) et dans les régions contaminées la réduction de l’exposition aux aflatoxines (mesures agro-alimentaires).</t>
  </si>
  <si>
    <r>
      <t>La stéatose hépatique et la NASH (Non-Alcoholic SteatoHepatitis) font partie du spectre de la maladie du foie gras non alcoolique (</t>
    </r>
    <r>
      <rPr>
        <i/>
        <sz val="11"/>
        <color rgb="FFD86DCB"/>
        <rFont val="Calibri"/>
        <family val="2"/>
        <scheme val="minor"/>
      </rPr>
      <t>Non-Alcoholic Fatty Liver Disease</t>
    </r>
    <r>
      <rPr>
        <sz val="11"/>
        <color rgb="FFD86DCB"/>
        <rFont val="Calibri"/>
        <family val="2"/>
        <scheme val="minor"/>
      </rPr>
      <t xml:space="preserve">, NAFLD), une des maladies hépatiques les plus fréquentes dans le monde (25-30 % de la population mondiale et jusqu'à 40 % aux États-Unis). Elles sont associées au risque métabolique et peuvent évoluer vers une cirrhose dans 5 à 10% des NASH. Certains facteurs génétiques (Mutations du gène PNPLA3) et la dysbiose </t>
    </r>
    <r>
      <rPr>
        <sz val="11"/>
        <color rgb="FF196B24"/>
        <rFont val="Calibri"/>
        <family val="2"/>
        <scheme val="minor"/>
      </rPr>
      <t xml:space="preserve">( </t>
    </r>
    <r>
      <rPr>
        <b/>
        <sz val="11"/>
        <color rgb="FF196B24"/>
        <rFont val="Calibri"/>
        <family val="2"/>
        <scheme val="minor"/>
      </rPr>
      <t>déséquilibre de la</t>
    </r>
    <r>
      <rPr>
        <sz val="11"/>
        <color rgb="FF196B24"/>
        <rFont val="Calibri"/>
        <family val="2"/>
        <scheme val="minor"/>
      </rPr>
      <t xml:space="preserve"> </t>
    </r>
    <r>
      <rPr>
        <b/>
        <sz val="11"/>
        <color rgb="FF196B24"/>
        <rFont val="Calibri"/>
        <family val="2"/>
        <scheme val="minor"/>
      </rPr>
      <t>biodiversité de la flore intestinale</t>
    </r>
    <r>
      <rPr>
        <sz val="11"/>
        <color rgb="FF196B24"/>
        <rFont val="Calibri"/>
        <family val="2"/>
        <scheme val="minor"/>
      </rPr>
      <t xml:space="preserve">) </t>
    </r>
    <r>
      <rPr>
        <sz val="11"/>
        <color rgb="FFFF00FF"/>
        <rFont val="Calibri"/>
        <family val="2"/>
        <scheme val="minor"/>
      </rPr>
      <t>du</t>
    </r>
    <r>
      <rPr>
        <sz val="11"/>
        <color rgb="FF000000"/>
        <rFont val="Calibri"/>
        <family val="2"/>
        <scheme val="minor"/>
      </rPr>
      <t xml:space="preserve"> </t>
    </r>
    <r>
      <rPr>
        <sz val="11"/>
        <color rgb="FFD86DCB"/>
        <rFont val="Calibri"/>
        <family val="2"/>
        <scheme val="minor"/>
      </rPr>
      <t>microbiote intestinal ont été associées à un risque accru de NASH et de fibrose. Sur le plan biologique, elles se caractérisent par une perturbation du bilan hépatique (élévation ASAT, ALAT, GGT). Un Rapport ASAT/ALAT &lt; 1 et un Score FIB-4 élevé sont dans la NAFLD (une valeur supérieure à 2,67 du FIB-4 a une valeur prédictive positive de 65%) et conduisent à réaliser une imagerie hépatique avec élastométrie). En Imagerie l’Échographie hépatique détecte une hyperéchogénicité du foie (stéatose) et le Fibroscan (élastométrie hépatique) évalue la fibrose et quantifie la stéatose (CAP score).</t>
    </r>
  </si>
  <si>
    <t>La cirrhose hépatique est une maladie chronique et progressive caractérisée par une fibrose diffuse du foie, entraînant une altération de sa structure et de sa fonction. Elle touche environ 1 % de la population adulte. Son incidence est associée au risque métabolique, à l'alcoolisme et aux hépatites virales. (Forte prévalence en Asie et en Afrique due aux hépatite B et C), en Occident, les causes métaboliques (Syndrome métabolique et stéatohépatite non alcoolique (NASH)) et alcooliques : Consommation excessive d'alcool (&gt;30 g/j chez la femme, &gt;40 g/j chez l'homme) sont prépondérantes. Certaines causes sont plus rares (Hépatite auto-immune, Hémochromatose, Déficit en alpha-1 antitrypsine, mucoviscidose, causes toxiques). Sur le plan biologique elle s’associe à une perturbation du bilan hépatique (élévation ASAT, ALAT, GGT) et une L’échographie hépatique avec Fibroscan (élastométrie) évalue le degré de fibrose hépatique et recherche un carcinome hépatocellulaire associé.</t>
  </si>
  <si>
    <t>L’ulcère gastro-duodénal est une perte de substance de la muqueuse gastrique (20%) ou duodénale (80%), atteignant au moins la musculeuse. Il touche environ 0,1 à 0,3% de la population générale, Plus fréquent chez l’homme que chez la femme. L’incidence diminue grâce à l’éradication de Helicobacter pylori et l’utilisation raisonnée des anti inflammatoires non stéroïdiens (AINS). En effet les Principaux facteurs de risque sont les Infection par Helicobacter pylori ( 70-90 % des ulcères duodénaux et 50-70 % des ulcères gastriques). Les autres causes sont la consommation d’AINS et d’aspirine ( 20-30 % des ulcères) ou de corticoides. Les facteurs aggravants sont le tabagisme, l’alcool, le stress et les antécédents familiaux. Il existe des formes rares d’hyperacidité gastrique (syndrome de Zollinger-Ellison, hypergastrinémie). L’ulcère gastro-duodénal se suspecte classiquement sur les douleurs épigastriques chroniques (soulagée par l’alimentation pour l’ulcère duodénal et aggravé par l’alimentation pour l’ulcère gastrique). Parfois à la suite de signes biologiques de saignement chroniques (anémie ferriprive sur la NFS). Le diagnostic repose sur l’endoscopie digestive haute, la recherche de H. pylori (test respiratoire, sérologie, antigènes fécaux ou analyse sur biopsie ).</t>
  </si>
  <si>
    <t>Le Reflux gastro-œsophagien touche environ 30 % des adultes (remontées acide appelées Pyrosis au moins une fois par mois). Physiologiquement il peut résulter d’hernie hiatale ou d’une hypotonie du sphincter œsophagien inférieur. L’évolution à long terme peut se faire vers un endobrachyœsophage (lésions précancéreuses ou œsophage de Barrett) et un cancer de l'œsophage. Les principaux facteurs favorisant le RGO sont les facteurs alimentaires (aliments gras, café, chocolat, alcool, boissons gazeuses) , l’obésité, la sédentarité, le tabac, le stress, les repas tardifs juste avant le couché. Certains médicaments (inhibiteurs calciques, benzodiazépines, AINS, corticoïdes) le favorisent. Pour le diagnostic positif, l’’anamnèse peut s’appuyer sur le score de Savary et al. La prévention repose sur des mesures hygiéno-diététiques en rapport avec les facteurs de risque et un suivi en consultation spécialisé en gastroentérologie (Endoscopie digestive haute, pH-métrie, manométrie œsophagienne) en cas de symptomatologie évocatrice.</t>
  </si>
  <si>
    <t>La colopathie fonctionnelle, ou syndrome de l’intestin irritable, est un trouble fonctionnel digestif fréquent caractérisé par des douleurs abdominales et des troubles du transit (diarrhées ou constipation ou mixte) sans lésion organique identifiables. Elle touche 10-15 % de la population générale, Plus fréquemment les femmes (ratio 2:1) avec un pic entre 20 et 40 ans. Souvent associé au stress chronique, anxiété, troubles du sommeil Le bilan vise à éliminer une autre cause, sur le plan biologique il recherchera des anomalies de [ CRP, NFS, recherche de sang dans les selles]. Et selon le contexte, sera proposé une coloscopie si l’âge est ≥50 ans ou si des rectorragies, un amaigrissement ou une anémie sont retrouvés. Un Test respiratoire au lactose sera prescrit en cas de suspicion d’intolérance au lactose. La prévention repose sur la gestion du stress et de l’anxiété (thérapies cognitivo-comportementales, relaxation), une alimentation équilibrée (réduction des aliments riches en hydrates de carbone source de fermentation intestinale et regroupés sous l’acronyme FODMAPs, une bonne hydratation et apport suffisant en fibres), une activité physique régulière, l’éviction des facteurs déclenchants (caféine, aliments irritants) et éventuellement des Probiotiques pour moduler le microbiote intestinal. La prise en charge se fera en consultation de gastro-enterologie.</t>
  </si>
  <si>
    <t>L’intolérance au gluten et au lactose sont deux affections courantes, mais distinctes. L’intolérance au Gluten (Maladie Cœliaque et Sensibilité au Gluten Non Cœliaque) touche environ 1 % de la population avec une forte variabilité ethno-géographique. Elle peut apparaitre à tout âge et affecte plus fréquemment les femmes. L’intolérance au Lactose touche environ 5 à 10 % de la population avec également une forte variabilité selon les populations. Sa fréquence augmente avec l’âge, car la production de lactase diminue physiologiquement. Les facteurs de risque sont génétiques, association au génotypes HLA-DQ2 et HLA-DQ8 pour l’intolérance au Gluten ; mutations du gène LCT (codant la lactase) pour l’intolérance au lactose. Certains facteurs biologiques ont été corrélés à ces intolérances comme l’introduction précoce du gluten, l’altération du microbiote intestinal par des infections gastro-intestinales ou des maladies inflammatoires de l’intestin, les maladies auto-immunes (diabète de type 1, thyroïdite d’Hashimoto). Les signes d’alerte sont des diarrhées chroniques, ballonnements, douleurs abdominales, après l’ingestion des aliments contenant du Gluten ou du lactose, carences nutritionnelles (fer et vitamine B12). Le diagnostic repose, pour l’intolérance au Gluten sur le dosage des anticorps anti-transglutaminase IgA, la biopsie intestinale (atrophie villositaire), le test génétique HLA-DQ2/DQ8 (utile pour exclure la maladie cœliaque). Pour l’intolérance au lactose le diagnostic repose sur le test respiratoire à l’hydrogène après ingestion de lactose, le test de tolérance au lactose (mesure de la glycémie après ingestion) et le test génétique (mutation du gène LCT) utile pour déterminer l’intolérance primaire. La prévention repose sur la recherche d’antécédents familiaux et de maladies auto-immunes et l’éviction stricte du gluten en cas de maladie cœliaque. Le régime alimentaire sera adapté en cas d’intolérance au lactose (produits sans lactose, enzymes lactase). L’alimentation doit comporter une supplémentation en calcium et en vitamine D en cas d’intolérance au lactose</t>
  </si>
  <si>
    <t>Une hyperuricémie chronique est retrouvée chez environ 10 à 20 % des adultes en Europe ; plus souvent chez les hommes et surtout après 50 ans. Elle est définie par une augmentation du taux sanguin d’acide urique &gt; 70 mg/l (ou &gt; 420 µmol/l) chez l’homme et &gt; 60 mg/l (ou &gt; 360 µmol/l) chez la femme.
Hormis certaines causes aigues rares (hémopathies et lyse tumorale), les causes physiopathologiques sont : (i) soit un excès de production d'acide urique dû à un régime trop riche en purines (abats, charcuteries, viande rouge, fruits de mer, alcool, surtout bière), un psoriasis étendu, des exercices physiques très intenses, un jeûne prolongé ; (ii) soit un défaut d’élimination (insuffisance rénale chronique, médicaments : diurétiques (thiazidiques, furosémide), aspirine à faible dose, ciclosporine, alcool. L’hyperuricémie est aussi corrélée aux facteurs du risque métabolique (HTA, dyslipidémie, diabète, obésité et stéatose hépatique). De plus, il existe une prédisposition génétique aux hyperuricémies (anomalie des transporteurs rénaux d'urate : urat1, glut9
Les conséquences sont avant tout articulaires (goutte) et rénales (lithiase urique, néphropathie uratique chronique). C’est aussi un facteur de risque cardiovasculaire.
L’hyperuricémie, justifie de rechercher les autres facteurs dysmétaboliques (Glycémie, Hb1Ac, Cholestérol total et fractions, mesure de la tension artérielle et des potentielles conséquences (échographie rénale)
La prévention est celle du risque métabolique, et plus spécifiquement sur le plan alimentaire une réduction des aliments riches en purines, une réduction (ou arrêt) de l’alcool, en particulier la bière, une hydratation abondante (≥ 2 l/jour)
La prévention des complications peut reposer sur le traitement médical (allopurino, fébuxostat,) au long cours pour abaisser l’uricémie &lt; 60 mg/l associé à la colchicine jusqu’à 6 mois pour éviter les crises de goutte. L’hyperuricémie isolé n’est pas une indication de chimio prévention.</t>
  </si>
  <si>
    <t>L'anémie est définie par une baisse du taux d'hémoglobine en dessous des valeurs normales :
•	&lt; 13 g/dL chez l'homme
•	&lt; 12 g/dL chez la femme
En dehors des causes aigues et des conséquences d’une pathologie chronique connue (cancer, cirrhose hépatique, maladie inflammatoire digestive, ou insuffisance rénale), elle touche essentiellement les femmes en âge de procréer (environ 30-40 %) et les personnes âgées (prévalence jusqu'à 20-30 %). Elle peut être associée à une hypothyroïdie. Certaines causes plus rares, sont spécifiques de certaines populations et en rapport avec des anomalies génétiques (hémoglobinopathies, déficits en G6PD, sphérocytose). Certaines anémies peuvent aussi être auto-immune ou conséquence d’une intoxication comme celle au plomb (saturnisme).
 L’étiologie sera orientée par les indices globulaires
o	Microcytaire (VGM &lt; 80 fl) → carence martiale, thalassémie
o	Normocytaire (VGM 80-100 fl) → anémie inflammatoire, hémorragie récente
o	Macrocytaire (VGM &gt; 100 fl) → carence en vitamine B12 ou folates, alcoolisme
En première intention La recherche d’une carence (Ferritine, Fer, CST, Folates et Vitamine B12), d’un syndrome inflammatoire (CRP, électrophorèse des protéines) et la fonction thyroïdienne (TSH) orienteront le diagnostic. Un suivi hématologique en cas de persistance est nécessaire.</t>
  </si>
  <si>
    <t>La polyglobulie est définie par une augmentation anormale du nombre de globules rouges, caractérisée par une élévation de l'hématocrite (&gt; 52 % chez l'homme, &gt; 48 % chez la femme) et/ou de l'hémoglobine (&gt; 16,5 g/dL chez la femme, &gt; 18,5 g/dL chez l’homme).
Elle peut être primaire ou secondaire (réactionnelle à une hypoxie, une production inappropriée d'érythropoïétine ou une prise de dopants ou de testostérone).
La polyglobulie secondaire est plus fréquente et touche les patients atteints de maladies respiratoires chroniques, les fumeurs et les habitants des hautes altitudes (&gt;2500m). La polyglobulie primaire (Polycythémie vraie, Maladie de Vaquez, Mutation JAK2) est rare, avec une incidence de 1 à 2,5 cas pour 100 000 habitants par an, plus fréquente chez les hommes après 50 ans. Dans les polycéthémies vraies le taux d’érythropoïétine est bas ou normal, il sera plus élevé dans les polyglobulies secondaires. Les polyglobulies exposent à un risque thromboembolique. Un suivi hématologique en cas de persistance est nécessaire.</t>
  </si>
  <si>
    <t>La thrombocytose (hyperplaquettose) de l’adulte est définie par une élévation du nombre de plaquettes sanguines au-delà de 450 000/mm³. Elle peut être primaire (due à un syndrome myéloprolifératif, Mutation JAK2) ou secondaire (réactionnelle à une autre condition médicale).
La thrombocytose secondaire est la plus fréquente et peut survenir dans diverses situations inflammatoires aigues (infectieuses, hémorragiques ou post-chirurgicales) ou chronique (cancers, infections : tuberculose, endocardite..). Elle peut être associé à une anémie ferriprive. L’anamnèse recherche un antécédent de splénectomie, d’événements thrombo-emboliques (pouvant justifier un traitement par antiagrégants plaquettaires) et une cause médicamenteuse (corticoïdes, érythropoïétine). La thrombocytose primaire est plus rare et inclut des pathologies comme la thrombocytémie essentielle (prévalence : 1 à 2,5 cas pour 100 000 habitants par an).
Le bilan de première intention recherche un syndrome inflammatoire (CRP et fibrinogène), et déficit en fer (Ferritine). Il sera suivi d’une surveillance hématologique en cas de persistance.</t>
  </si>
  <si>
    <t>La thrombopénie de l’adulte est définie par une diminution du nombre de plaquettes sanguines en dessous de 150 000/mm³. Le reste de la formule sanguine exclura une pancytopénie.
Elle est fréquente en pratique clinique et peut être transitoire ou chronique. Son incidence varie en fonction des causes sous-jacentes : les infections virales, les maladies auto-immunes et les syndromes hématologiques. En dehors des causes aigues et contextuelles (chimiothérapie, héparinothérapie, aplasie médullaire, cirrhoses hépatiques, lupus et syndrome des anti phospholipides, …. ) elle peut révéler un syndrome myélodysplasique, une infection virale VIH, hépatites, CMV, EBV), un déficit en vitamine B12/folates (végétarisme, alcoolisme). Elle peut être induite par des médicaments ou des auto-prescriptions comme les AINS. Une surveillance hématologique est nécessaire en cas de persistance.</t>
  </si>
  <si>
    <t>La leucopénie est définie par une diminution du nombre total de leucocytes (&lt; 4000/mm³) dans le sang. La lymphopénie, un sous-type de leucopénie, correspond à une baisse du nombre de lymphocytes (&lt; 1000/mm³ chez l’adulte). Le reste de la formule sanguine exclura une pancytopénie.
En dehors de contextes évidents (chimiothérapie ou immunosuppresseurs), ces deux anomalies sont fréquentes dans les infections virales (VIH, hépatites, grippe, COVID-19), chez les patients atteints de maladies auto-immunes (Lupus érythémateux systémique, polyarthrite rhumatoïde, syndrome de Sjögren), 
Une Lymphopénie est souvent (30%) observées chez les patients atteints de maladies inflammatoires chroniques et se retrouve chez 10-15 % des personnes âgées. Elle se retrouve aussi en cas de carence en Vitamine B12/Folates et lors de certains troubles endocriniens (hypercorticisme de Cushing, dysfonction thyroïdiennes)  ou des traitements (antithyroïdiens, corticoïdes). Elle peut être associé à un syndrome dépressif ou un stress associé à une hypercortisolisme fonctionnelle.</t>
  </si>
  <si>
    <t>La leucocytose est une anomalie biologique fréquente, définie par une élévation du nombre de globules blancs (leucocytes) au-delà de 10 000/mm³ de sang (&gt;10 G/L). Elle peut être transitoire ou chronique et est généralement associée à des infections, des inflammations, ou rarement des maladies hématologiques (leucémies). En dehors des causes pathologiques évidentes, elle peut être observée en cas de pratique sportive intense, du tabagisme, de corticothérapie et de l’obésité.
Le bilan d’orientation recherchera, outre le reste de la formule sanguine avec l’analyse des sous-types de leucocytes), un syndrome inflammatoire (CRP, Ferritine) et sera suivi d’une surveillance hématologique en cas de persistance.</t>
  </si>
  <si>
    <t>La lymphopénie, un sous-type de leucopénie, correspond à une baisse du nombre de lymphocytes (&lt; 1000/mm³ chez l’adulte). Le reste de la formule sanguine exclura une pancytopénie.
En dehors de contextes évidents (chimiothérapie ou immunosuppresseurs), ces deux anomalies sont fréquentes dans les infections virales (VIH, hépatites, grippe, COVID-19), chez les patients atteints de maladies auto-immunes (Lupus érythémateux systémique, polyarthrite rhumatoïde, syndrome de Sjögren), 
Une Lymphopénie est souvent (30%) observées chez les patients atteints de maladies inflammatoires chroniques et se retrouve chez 10-15 % des personnes âgées. Elle se retrouve aussi en cas de carence en Vitamine B12/Folates et lors de certains troubles endocriniens (hypercorticisme de Cushing, dysfonction thyroïdiennes)  ou des traitements (antithyroïdiens, corticoïdes). Elle peut être associé à un syndrome dépressif ou un stress associé à une hypercortisolisme fonctionnelle.</t>
  </si>
  <si>
    <t>L’hyperéosinophilie est définie par un nombre des polynucléaires éosinophiles est supérieur a 0,5 G/L (500/μL) a plusieurs numérations successives. Les causes des éosinophilies sont nombreuses, mais deux prédominent : les allergies (asthme, rhinite allergique, eczéma constitutionnel, urticaire, allergies médicamenteuses) avec des éosinophilies généralement modérée &lt;1,5 G/L et les parasitoses essentiellement dues aux helminthes (oxyurose, téniasis, larva migrans, ascaridiose, distomatose, anguillulose, bilharziose, filariose ou une ankylostomiase…). Les parasitoses à protozoaires (paludisme, amibiase) ne sont pas associées à des éosinophilies. Selon le degré d’invasion tissulaire du parasite l’éosinophilie peut alors être trés importante de 15 à 30 G/L. L’hyperéosinophilie paranéoplasique est rare. Elle s’observe dans les cancers du foie, du sein ou des bronches mais aussi dans la leucémie myéloïde chronique ou dans la maladie de Hodgkin.
Le syndrome d’hyperéosinophilie est un diagnostic d’élimination, si une hyperéosinophilie &gt; 1 500/μL persiste plus de 6 mois sans cause identifiable, en l’absence des causes allergiques, parasitaires, de tumeur maligne ou de syndrome myéloprolifératif. Il touche l’homme jeune, et comporte des atteintes viscérales dues à l’infiltration éosinophilique tissulaire (infiltrats pulmonaires, endocardite fibroplastique, etc.)</t>
  </si>
  <si>
    <t>HyperÉosinophilie</t>
  </si>
  <si>
    <t>La sarcopénie est une perte progressive et généralisée de la masse musculaire, de la force musculaire, associée au vieillissement (perte de 0,5 à 1% par an après l’âge de 50 ans) et à certaines pathologies. Elle augmente le risque de chutes, de fractures en s’associant à l’ostéoporose, de dépendance et de mortalité. C’est une composante du syndrome de fragilité lié à l’âge.
Les principaux facteurs de risque incluent outre l’âge, (prévalence accrue après 60-70 ans), des facteurs nutritionnels (apport protéique insuffisant, carence en vitamine D), une perte de poids rapide (&gt; 5 % en 6-12 mois), un déficit hormonal (testostérone ou œstrogènes). D’autres facteurs sont liés au mode de vie (sédentarité), Tabagisme et alcool ou à des conditions pathologiques (dénutrition et malabsorption dans les maladies chroniques et cancers, ou entrainant une immobilisation prolongée). La prise au long cours de certains médicaments (corticoïdes, statines) sont aussi des facteurs favorisants.
L’anamnèse peut être complétée par le Questionnaire SARC-F et l’évaluation de la force de préhension (dynamométrie) ou le test de vitesse de marche. Le diagnostic est confirmé par mesure de la masse musculaire en DEXA. (Voir Chapitre…….).
La prévention de la sarcopénie repose sur la supplémentation en vitamine D, un apport adéquat en calories et en protéines, et le renforcement musculaire.</t>
  </si>
  <si>
    <t xml:space="preserve">L'arthrose est la maladie articulaire la plus fréquente, caractérisée par une dégénérescence du cartilage articulaire et des modifications de l'os sous-chondral. Elle est  plus fréquente chez la femme à partir de la ménopause. Elle affecte la qualité de vie d’environ 10 % des hommes et 18 % des femmes &gt; 65 ans. Les articulations les plus touchées sont le genou (gonarthrose), la hanche (coxarthrose) et les mains.
Au niveau des mains l’arthrose érosive est très handicapante, touchant environ 3% de la population générale à différencier d’un rhumatisme inflammatoire, en particulier au rhumatisme psoriasique. Les douleurs articulaires conséquence de l’arthrose sont de type mécaniques (aggravées par l’effort, soulagées au repos). Ainsi, c’est la première cause de douleur articulaire et consommation d’antalgiques chez les personnes âgées et est un facteur majeur de perte d’autonomie. Les progrès considérables de la chirurgie orthopédique prothétique ont modifié ce pronostic de perte d’autonomie.
Outre l’âge, des troubles squelettiques malformatifs ou post-traumatiques, il existe une prédisposition familiale et des facteurs de risque potentiellement modifiables actionnables (obésité, sédentarité et faible masse musculaire (sarcopénie), troubles métaboliques (diabète, hypercholestérolémie). </t>
  </si>
  <si>
    <t>Les rhumatismes inflammatoires regroupent plusieurs pathologies chroniques, auto-immunes ou métaboliques, touchant les articulations et les tissus périarticulaires. Les plus fréquents (entre 0,1 et 5%) incluent la polyarthrite rhumatoïde, les spondylarthrites, le lupus érythémateux systémique, l’arthrite psoriasique, la goutte, le rhumatisme à pyrophosphate de calcium (ex Chondrocalcinose articulaire).
L’incidence de ces maladies augmente avec l’âge, et certaines touchent davantage les femmes (polyarthrite rhumatoïde, lupus), tandis que d’autres comme la spondylarthrite ou la goutte affectent plus les hommes. Ces pathologies ont une susceptibilité génétique (HLA spécifiques : HLA-DR4, HLA-B27) et sont favorisés par le tabagisme (facteur majeur pour la polyarthrite rhumatoïde et les spondylarthrites) ou comme la goutte sont associées à une hyperuricémie et au risque métabolique (régime alimentaire riche en purines, alcool). Ils se manifestent par des douleurs articulaires inflammatoires (douleurs nocturnes, raideur matinale &gt; 30 min), associés à des signes locaux comme un œdème et une rougeur articulaire et éventuellement des atteintes extra-articulaires (fatigue, fièvre, manifestations cutanées ou organiques). Sur le plan biologique ils se caractérisent par le syndrome inflammatoire (CRP) et des marqueurs comme le facteur rhumatoïde et anti-CCP (anti-peptide citrulliné cyclique) pour la polyarthrite rhumatoïde, l’antigène HLA-B27 pour les spondylarthrites. Les Anti corps anti-nucléaires (AAN) et anti-ADN natif pour le lupus ou l’hyperuricémie pour la goutte.</t>
  </si>
  <si>
    <t>La dépression concerne environ 6% des adultes. Elle est deux fois plus fréquente chez les femmes que chez les hommes et augmente avec l’âge. Les facteurs de risque sont les antécédents familiaux de dépression (et troubles bipolaires), les facteurs de stress psychologiques (antécédents de traumatismes : abus sexuels dans l’enfance, violences, stress chronique), la consommation d’alcool ou de drogues, les maladies chroniques. Les signes d’alerte sont l’humeur triste persistante, l’anhédonie (perte d’intérêt), les insomnies, la fatigue chronique, une perte ou une prise de poids, voire des pensées suicidaires. Plusieurs questionnaires de dépistage de la dépression ont été proposés : Questionnaire PHQ-9, Échelle de Hamilton (HDRS) et Échelle de Beck (BDI) pour une évaluation plus approfondie.
 La dépression peut être à la fois un facteur de risque, un signe précurseur (précédent de plusieurs années les troubles cognitifs) pour les maladies neurodégénératives (démences, maladie de Parkinson). La prévention repose sur la promotion de la santé mentale, la lutte contre le stress chronique (méditation, activité physique, thérapie cognitive), le soutien social et familial pour prévenir l’isolement et la prise en charge spécialisée en psychiatrie.</t>
  </si>
  <si>
    <t>L’apnée du sommeil ou syndrome d’apnées-hypopnées obstructives du sommeil est une pathologie fréquente (elle affecterait près de 50 % des plus de 65 ans) caractérisée par des pauses respiratoires répétées pendant le sommeil. Elle touche Environ 30 à 40 % des adultes dans sa forme légère et 10 à 20 % dans sa forme modérée à sévère. Elle est 2 fois plus fréquente chez les hommes que chez les femmes avant la ménopause. Elle est associée au risque métabolique, en particulier l’obésité. Ses conséquences sont un risque accru de maladies cardiovasculaires (accident vasculaire cérébral, infarctus du myocarde), un impact sur la vigilance et le risque d’accidents de la route ou du travail. La recherche des facteurs de risque s’appuie sur les antécédents familiaux et les facteurs de risque métabolique, et plus spécifiquement sur la mesure du tour de cou (&gt; 43 cm chez l’homme, &gt; 38 cm chez la femme), la consommation d’alcool et de sédatifs vespéraux, le tabagisme. Certains facteurs anatomiques sont favorisants (rétrognathie, hypertrophie amygdalienne). Les signes d’alerte sont les ronflements sonores et pauses respiratoires observées par l’entourage, la somnolence diurne excessive (score d’Epworth &gt; 10), la fatigue chronique, les céphalées matinales, les troubles de la concentration, l’irritabilité, les troubles de l’humeur. Ils peuvent être formalisé par des questionnaires validés comme le Score *STOP-BANG . Le diagnostic repose sur la Polysomnographie qui mesure des apnées/hypopnées et la saturation en oxygène. Le bilan biologique recherchera les facteurs de risque métabolique associés : [NFS ; Glycémie et Hb1c, Cholestérol et fractions, Triglycérides, Bilan hépatique (ASAT ; ALAT ;GGT, Score FIB-4), Créatininémie et DFG, Microalbuminurie]. En cas de facteur risque avérés, une consultation de cardiologie avec échodoppler cardiaque complétera le bilan. La prévention repose sur le dépistage des sujets à risque (surcharge pondérale, HTA, dyslipidémie, antécédents familiaux) et l’éviction des facteurs de risque modifiables. Le traitement repose sur un appareillage nocturne.</t>
  </si>
  <si>
    <t>Le burnout ou syndrome d’épuisement professionnel est un trouble lié au stress chronique au travail. Il est reconnu par l’OMS comme un phénomène professionnel mais non comme une maladie. Il touche 5-10 % de la population active. Il est plus fréquent dans les professions médicales, sociales et éducatives (jusqu’à 50 %). Il affecte autant les hommes que les femmes, avec un pic d’incidence entre 30 et 50 ans. Ses conséquences sont une augmentation du risque de dépression, anxiété, mais aussi de maladies cardiovasculaires. Les facteurs de risques sont d’ordre socio-professionnel (charge de travail excessive et pression constante, manque d’autonomie et faible reconnaissance, exigences émotionnelles élevées, conflits au travail et manque de soutien, horaires irréguliers et travail de nuit). Les signes d’alerte peuvent être formalisés par des questionnaires spécifiques (Maslach Burnout Inventory - MBI) ou des échelles d’évaluation du stress et du bien-être (GHQ-12, DASS-21). La prévention repose sur l’amélioration des conditions de travail, le droit à la déconnexion, la gestion du stress. L’accompagnement psychologique est recommandé et le recours au médicaments (antidépresseurs, anxiolytiques) encadrés par des consultations de psychiatrie.</t>
  </si>
  <si>
    <t>Elles touchent environ 20 à 25% des adultes en Europe. La pollinose est due à une allergie aux pollens, elle est saisonnière. Les signes sont la rhinite allergique (éternuements, nez qui coule ou rhinorrhée), congestion nasale avec souvent une conjonctivite allergique associée (yeux rouges, larmoyants, démangeaisons). Les allergies domestiques sont per annuelles (toute l’année) résultent d’une exposition à des allergènes dans l’habitat (acariens, moisissures, blattes) ou due à des animaux domestiques (poils d’animaux de chat ou chien). Elles peuvent entraîner des symptômes similaires à la pollinose, parfois plus discrets, mais souvent responsables d’un asthme chronique ou d’une rhinite persistante. La pollinose est en augmentation en raison du changement climatique et de l'urbanisation. Elle débute souvent dans l’enfance ou l’adolescence et peut persister à l'âge adulte. Il y a une Légère prédominance masculine chez les enfants et une tendance à s’équilibrer à l’âge adulte. Elle peut se compliquer d’asthme et de sinusites chroniques. Les facteurs de risque sont les antécédents familiaux d’allergies respiratoires et d’atopie. L’exposition aux pollens, provenant d’arbres tels que le bouleau et le cyprès, ainsi que des graminées et des herbacées comme l’ambroisie, est un facteur important. La pollution de l’air, en favorisant l’irritation des muqueuses, potentialise l’effet des pollens et aggrave les réactions allergiques. Le tabagisme ou le vapotage quant à eux, aggravent l’inflammation des voies aériennes rendant les symptômes plus sévères. Le diagnostic étiologique repose sur un bilan allergologique (Prick-tests cutanés : détection immédiate de la sensibilité aux pollens et le dosage des IgE spécifiques afin d’identifier les allergènes responsables. La prévention, repose sur la réduction de l’exposition, plus difficile pour les pollinoses que pour les allergies domestiques une fois les allergénes identifiés (connaissance du calendrier pollinique selon la région, éviter l’ouverture des fenêtres en pleine journée, port d’un masque facial, port de lunettes de soleil pour éviter le contact des pollens avec les yeux, lavages de nez au sérum physiologique après une exposition) et sur une désensibilisation spécifique selon les allergènes identifiés.</t>
  </si>
  <si>
    <t xml:space="preserve">Certains troubles potentiellement en relation avec des traitements réguliers, sans omettre les automédications, sont à rechercher systématiquement lors du bilan prévention. La polymédication (prise de 5 médicaments journalier) souvent chez les patients âgés augmente le risque d'effets indésirables mais aussi la non-observance.
Les réactions indésirables aux médicaments incluent les intolérances médicamenteuses (effets non immunologiques) et les allergies médicamenteuses (réaction immunologique). Leur prévalence globale est estimée entre 5 et 10 % lors des hospitalisations. Les facteurs de risque sont génétiques (Polymorphismes génétiques influençant le métabolisme des médicaments comme le déficit en G6PD), un terrain allergique (atopie préexistante). La prévention repose sur l’éviction des médicaments et de leur famille générique (à retranscrire sur dans le dossier médical partagé en informant des antécédents d’intolérance ou d’allergie médicamenteuse). </t>
  </si>
  <si>
    <t>Il a touché en 2023, 8432 femmes. Le taux de survie à 5 ans est d’environ 80% si le diagnostic est précoce. Il est rare avant 40 ans et 80% des cas diagnostiqués le sont après la ménopause. Le type histologique le plus fréquent est le carcinome endométrioïde (80-85%). Les facteurs de risques sont génétiques (syndromes familiaux de prédisposition lié aux mutation BRCA1 et BRCA2 et au syndrome de Lynch), hormonaux (ménopause tardive et premières règles précoces, nulliparité, syndrome des ovaires polykystiques) et métaboliques (obésité avec un risque x3 à x10 selon l’IMC) et une alimentation riche en graisses animales et sédentarité. La contraception orale combinée (pendant plus de 5 ans) réduirait le risque de moitié. Le dépistage est non systématique en population générale, il est recommandé uniquement chez les patientes à haut risque (syndrome de prédisposition familiale). Les signes d’alerte sont les saignements post-ménopausiques (50-90% des cas), les douleurs pelviennes, les pertes vaginales anormales ou des troubles du cycle chez la femme non ménopausée. Le diagnostic repose sur l’examen gynécologique et l’échographie pelvienne en 1ère intention (épaisseur endométriale &gt;5 mm suspecte après ménopause). La prévention est basée sur l’hygiène de vie pour réduire le risque métabolique</t>
  </si>
  <si>
    <t>C’est un cancer fréquent mais évitable. Le taux de survie à 5 ans est  de plus de 90% si il est détecté à un stade précoce. Il est rare avant 30 ans avec un pic diagnostique entre 35 et 45 ans. Le type histologique le plus fréquent est le carcinome épidermoïde (70-80%). Les facteurs de risque sont les infections par les Papillomavirus humains HPV 16 et 18 responsables de 70% des cas. La transmission est sexuelle avec comme facteurs aggravant le début des rapports sexuels précoce, de multiples partenaires sexuels, les antécédents d’infections génitales et IST. Le tabagisme double le risque.
ainsi que l’immunosuppression (VIH, traitements immunosuppresseurs). Les signes d’alerte souvent tardifs sont les saignements anormaux (post-coïtaux, entre les règles, après ménopause), les douleurs pelviennes ou lors des rapports sexuels, les pertes vaginales malodorantes et abondantes. Le diagnostic repose sur l’examen gynécologique avec colposcopie et biopsie. Les marqueurs (SCC) sont peu sensibles et non recommandés pour le diagnostic. La prévention repose sur la Vaccination anti-HPV, le dépistage régulier par frottis cervico-utérin et l’Utilisation de préservatifs. Le dépistage qui est recommandé tous les 3 à 5 ans, pour toutes les femmes de 25 à 65 ans par frottis cervico-utérin.</t>
  </si>
  <si>
    <t>Il correspond à 430.000 nouveaux cas/an dans le monde et 175.000 décès/an (Globocan 2020). L’âge moyen au diagnostic est entre 60 et 70 ans, il rare avant 45 ans sauf en cas de prédisposition génétique. Les hommes sont plus touchés que les femmes (ratio H/F=2). Le type histologique le plus fréquent est le Carcinome à cellules rénales (CCR, 90%) avec les sous-types : cellules claires (70-80%), papillaires et chromophobe. En dehors des formes rares avec prédisposition génétique (Syndrome de Von Hippel-Lindau (gène VHL), Mutations des gènes FH, BAP1), les facteurs de risque sont ceux du risque métabolique et l’insuffisance rénale chronique (et de l’hémodialyse). Le tabagisme et certaines expositions toxiques (cadmium, solvants, trichloréthylène) ont aussi été associées au risque de cancer du rein. Les signes d’alerte sont très tardifs, principalement l’hématurie, ou une fatigue chronique et amaigrissement inexpliqué. Le diagnostic de 1ére intention repose sur l’échographie abdominale. Elle peut être proposée en dépistage s’il existe une histoire familiale de cancer du rein. La prévention est identique aux recommandations de mitigation du syndrome métabolique et inclue le sevrage tabagique.</t>
  </si>
  <si>
    <t>Les tumeurs de vessie dans le monde sont répertoriés avec environ 573.000 nouveaux cas/an et 213.000 décès/an (OMS, 2023). Le type histologique le plus fréquent est le carcinome urothélial à cellules transitionnelles (90%). Son Incidence est plus élevée chez l’homme (3 à 4 fois plus fréquent que chez la femme). L’âge moyen au diagnostic est 65-70 ans. L’exposition tabagique est la principale cause. Les tumeurs des voies excrétrices urinaires supérieures (TVEUS : uretère et cavité rénales pyélocalicielles), sont rares, représentant 5-10% des cancers urothéliaux. Elles peuvent s’inscrivent spécifiquement dans le spectre du syndrome Lynch de prédisposition aux cancers ou après exposition à des carcinogènes spécifiques comme l’acide aristolochique (herbes chinoises).
Les facteurs de risque  des carcinomes urothéliaux de vessie sont aussi les expositions professionnelles (solvants, hydrocarbures aromatiques, amines aromatiques, industrie chimique, textile, caoutchouc), les infections urinaires chroniques, souvent dans le contexte des neurovessies ou de la Bilharziose urinaire (Schistosoma haematobium en Afrique et au Moyen-Orient).
Certains facteurs toxiques iatrogénes existent (cyclophosphamide, radiothérapie pelvienne) ou environnementaux (eau contaminée par l’arsenic). Les signes d’alerte sont l’hématurie (sang dans les urines à la miction), et la pollakiurie pour les tumeurs de vessie et la colique néphrétique pour les Tumeurs des Voies Excrétrices  Urinaires Supérieures ( TVEUS) . Le diagnostic repose sur la cytologie urinaire et la consultation d’urologie avec l’endoscopie vésicale ou cystoscopie) pour les tumeurs de vessie et l’urétéro-néphroscopie pour les TVEUS. La prévention repose sur la réduction des expositions toxiques et en particulier le sevrage tabagique. 
&lt;p&gt;&lt;strong&gt;Les protocoles de surveillance standard&lt;/strong&gt; mentionnent la recherche de sang dans les urines et une cytologie urinaire.&lt;/p&gt;
&lt;p&gt;&lt;strong&gt;Pour les profils à vigilance accrue,&lt;/strong&gt; les recommandations professionnelles évoquent l\'orientation vers une consultation spécialisée en urologie pouvant inclure une échographie vésicale ou des tests moléculaires urinaires.&lt;/p&gt;',</t>
  </si>
  <si>
    <t>La dysfonction érectile (DE) est l’incapacité persistante à obtenir ou maintenir une érection suffisante pour une activité sexuelle satisfaisante. C’est un problème fréquent qui peut être un indicateur précoce de maladies cardiovasculaires sous-jacentes. Elle augmente avec l’âge : 50 % après 50 ans, 70 % après 70 ans. Son Impact sur la qualité de vie peut entrainer : anxiété, dépression, diminution de l’estime de soi et avoir un Impact relationnel : tensions conjugales.
Elle est favorisée par les facteurs retrouvés dans le risque métabolique : Hypertension artérielle, Diabète type 2, Dyslipidémie, Obésité et ses causes (sédentarité, tabagisme, alcool….). Ses autres causes sont le déficit androgénique (andropause), des maladies neurologiques dégénératives (la maladie Parkinson…). Les facteurs psychogènes (dépression et anxiété) sont fréquemment associés, ils peuvent être causaux ou conséquences. L’anamnèse recherche toujours des causes iatrogènes (chirurgie de la prostate ou du rectum, certains médicaments : bêtabloquants, antidépresseurs, antipsychotiques) et peut être complétée par des questionnaires spécifiques : IIEF-5 (International Index of Erectile Function).
A la fois signe d’alerte et pathologie, la dysfonction érectile justifie un bilan complémentaire avant sa prise en charge thérapeutique (Inhibiteurs de la PDE5 (sildénafil, tadalafil, vardenafil), prostaglandines en injection ou instillations locales). Le bilan de première intention comprendra :
Dosage de la testostérone	Dépistage d’un hypogonadisme
Bilan lipidique et glycémique	Recherche de diabète ou dyslipidémie
Doppler pénien et aorto-iliaque	Évaluer le flux sanguin dans les artères péniennes
Polysomnographie	Vérifier les érections nocturnes (si doute psychogène)</t>
  </si>
  <si>
    <t>L'endométriose est une maladie gynécologique chronique qui touche environ 10 % des femmes en âge de procréer. Elle est caractérisée par la présence de tissu endométrial en dehors de la cavité utérine, provoquant inflammation et douleurs. La prévalence est plus élevée chez les femmes infertiles (30-50 %). La maladie peut apparaître dès l'adolescence et persister jusqu'à la ménopause.
Les facteurs de risque de l'endométriose incluent des Facteurs génétiques (antécédents familiaux), des facteurs hormonaux (exposition prolongée aux œstrogènes, cycles menstruels courts), des facteurs environnementaux (perturbateurs endocriniens), des facteurs médicaux personnels (anomalies utérines, interventions chirurgicales pelviennes).
Outre les éléments cliniques, le diagnostic de l'endométriose repose sur l’Imagerie médicale : Échographie pelvienne et IRM. Biologiquement, le dosage du CA-125 est peu sensible et d’autres biomarqueurs sont à l'étude pour une détection non invasive de l'endométriose. La confirmation diagnostique et la prise en charge (traitements hormonaux), chirurgie, accompagnement psychologique et suivi multidisciplinaire se fera en consultation spécialisée de gynécologie</t>
  </si>
  <si>
    <t>Le syndrome des ovaires polykystiques (SOPK) est une endocrinopathie assez fréquente, touchant entre 8 et 13 % des femmes en âge de procréer. Il se caractérise par une hyperandrogénie, une anovulation chronique et une morphologie polykystique des ovaires. Les principaux signes incluent des anomalies du cycle menstruel, une hyperpilosité et de l'acné. Sa prévalence est plus faible chez les Femmes d’origine asiatique (environ 2 à 6 %) et plus élevée chez les femmes d’origine indoue ou originaires du moyen orient (10 à 20 %) avec un risque accru de diabète et d’obésité.
Les facteurs associés au risque du SOPK comprennent une prédisposition génétique, l'obésité et la résistance à l'insuline. 
Le diagnostic du SOPK repose sur la présence d'au moins deux des critères suivants :
•	Dysfonctionnements ovulatoires provoquant des cycles menstruels irréguliers.
•	Signes cliniques ou biochimiques d'hyperandrogénie. 
•	Présence de plus de 10 follicules par ovaire à l'échographie pelvienne. 
Il est recommandé de réaliser des tests pour exclure d'autres troubles endocriniens, tels que la mesure de la testostérone, de la FSH, de la prolactine et de la TSH sériques.  
La prévention du SOPK n'est pas clairement établie en raison de sa composante génétique. Cependant, la gestion du poids, une alimentation équilibrée et une activité physique régulière peuvent aider à atténuer les symptômes et à réduire le risque de complications métaboliques associées.  Le SOPK a des conséquences variées sur la santé, qui peuvent être classées en plusieurs catégories est associée au risque métabolique (Résistance à l’insuline et diabète de type 2 ; Obésité et prise de poids, Augmentation du cholestérol-LDL et diminution du cholestérol-HDL, Hypertension artérielle). Il a des conséquences reproductives (Infertilité, Risque accru de fausse couche), ou l’Hyperplasie et le cancer de l’endomètre). Les conséquences cutanées (Hirsutisme, Acné sévère, Alopécie androgénique) contribuent aussi aux troubles psychologiques, comportementaux et émotionnelles (dépression et anxiété, Baisse de l’estime de soi, augmentation du risque de boulimie)</t>
  </si>
  <si>
    <t>Le déficit œstrogénique lié à l’âge (ménopause), et les autres conditions de l’arrêt de la production ovarienne d’œstrogènes (thérapeutiques) se manifestent chez 80 % des femmes par des symptômes qui impact la qualité de vie. Indépendamment des causes thérapeutiques une ménopause plus précoce peut être favorisée par des facteurs héréditaires, mais aussi par les facteurs de style de vie (le tabagisme accélère la ménopause de 1 à 2 ans).
Les signes cliniques classiques s’associent de façon variable et apparaissent progressivement sur une durée de 1 à 4 ans. Ce sont les bouffées de chaleur, sueurs nocturnes, sécheresse vaginale, dyspareunie, anxiété, insomnies, altération de la mémoire. Il s’y associe physiquement une prise de poids qui favorise la résistance à l’insuline, une diminution de la densité osseuse et musculaire : ostéopénie et sarcopénie et une augmentation du risque cardiovasculaire (hypertension artérielle, dyslipidémie). Le profil hormonal confirme le diagnostic avec une augmentation de la FSH (&gt; 25-30 UI/L) et une baisse de l’œstradiol (&lt; 20 pg/mL en post -ménopause). L’anamnèse recherchera les risques d’ostéoporose et de sarcopénie en s’appuyant sur les questionnaire validés (FRAX et SARC) afin de proposer éventuellement une ostéodensitométrie ou une évaluation de la composition corporelle (DXA). Le bilan recherchera les autres facteurs biologiques associés au risque métabolique [NFS, Créatininémie et DFG, Cholestérol et fractions, Triglycérides, Glycémie et HbA1c, TSH]. Les recommandations d’hygiène de vie sont essentielles dès le début de la ménopause et ce afin de prévenir ses effets et leur retentissement pathologique ou sur la qualité de vie. Le traitement Hormonal substitutif de la Ménopause (THM) est indiqué chez les femmes symptomatiques, sans contre-indications après avis gynécologique. Les compléments alimentaires ou phytothérapie à activité oestrogénique (phytoœstrogènes) nécessitent également une évaluation des risques de cancers (sein, utérus).</t>
  </si>
  <si>
    <t>L’incontinence urinaire est une perte involontaire d’urine, affectant des millions de femmes dans le monde. Ce trouble a un impact significatif sur la qualité de vie, l’estime de soi et la santé mentale. Elle Affecte 25 à 45 % des femmes adultes et augmente avec l’âge : jusqu’à 50 % chez les femmes de plus de 65 ans. Elle est souvent sous-déclarée (moins de 50 % des femmes consultent). L’incontinence peut être divisée selon mécanisme en : Incontinence urinaire d’effort (IUE) (50 %) ; Incontinence par urgenturie (15-20 %) et Incontinence mixte (30-40 %). Elle est favorisée par la multiparité, l’obésité, le diabète, la ménopause, mais aussi le tabagisme, la consommation de caféine, d’alcool, les sports augmentant la pression abdominale (culturisme) et l’hérédité. L’anamnèse peut être complété par des questionnaires validés : ICIQ-SF (International Consultation on Incontinence Questionnaire-Short Form) et des examens complémentaires (tableau) et une consultation spécialisée gynécologie ou urologie qui recherchera entre autre un prolapsus associé.
Test	Utilité
Calendrier mictionnel	Évaluer la fréquence des mictions et des fuites
Bandelette urinaire	Rechercher une infection urinaire
Échographie vésicale	Vérifier un résidu post-mictionnel
Bilan urodynamique	Étudier la fonction vésicale en cas de doute</t>
  </si>
  <si>
    <t>La monocytose est à une augmentation du nombre de monocytes circulants dans le sang périphérique. Monocytes &gt; 1,0 × 10⁹/L (ou &gt; 1000/mm³). On distingue les monocytoses réactionnelles (secondaires : infections bactériennes chroniques, infections virales ; maladies auto-immunes) des monocytoses clonales (hémopathies myéloïdes). Le bilan étiologique de première intention comprendra un bilan inflammatoire, les sérologies virales ou bactériennes)</t>
  </si>
  <si>
    <t>Le risque hémorragique a pour cause, des troubles des plaquettes sanguines, un déficit congénital ou acquis en facteurs de la coagulation, les déficits en vitamine K ou la prise de substances anticoagulantes.</t>
  </si>
  <si>
    <t>Le syndrome des jambes sans repos, aussi appelé maladie de Willis-Ekbom, est un trouble neurologique caractérisé par une envie irrésistible de bouger les jambes, souvent accompagnée de sensations désagréables. Sa prévalence varie entre 5 et 10 % et il est plus fréquent chez les femmes que chez les hommes (ratio F/H=2). Dans environ 60 % des cas une composante génétique est retrouvée, suggérant une prédisposition familiale. Il est souvent sous-diagnostiqué ou confondu avec d'autres troubles du sommeil. Les causes sont mal connues, une carence en fer, même sans anémie, est fortement associée à ce syndrome. Certains médicaments peuvent l’aggraver (antidépresseurs, neuroleptiques, antihistaminiques). Mais aussi la Caféine, l’alcool et la nicotine. La prévention repose sur l’éviction des facteurs de risque, la réalisation d’un bilan martial (fer, ferritine, CST) pour éventuellement corriger une carence. En cas de formes sévères une prise en charge spécialisée pourra proposer un traitement médical (agonistes dopaminergiques, anticonvulsivants, opiacés).</t>
  </si>
  <si>
    <t>Syndrome des jambes sans repos</t>
  </si>
  <si>
    <r>
      <t xml:space="preserve">Indépendamment des causes thérapeutiques de castration, le déficit androgénique lié à l’âge (ou Partial Androgen Deficiency of the Aging Male : PADAM), est une diminution progressive du taux de testostérone chez l’homme vieillissant. Contrairement à la ménopause féminine, ce phénomène est très progressif et variable d’un individu à l’autre. Il touche Environ 10 à 30 % des hommes &gt; 50 ans et entre 20 et 50 % des hommes &gt; 60 ans. Il impacte la qualité de vie avec un diminution de la libido et troubles de l’érection, une fatigue chronique, une irritabilité, une tendance à la dépression, une baisse de concentration et de la mémoire, une réduction de la force (masse) musculaire et augmentation de la masse grasse en particulier abdominale et dans les formes sévères ou prolongées un risque d’ostéoporose avec une augmentation du risque de fractures. Il est favorisé par le risque métabolique (diabète, obésité abdominale) et ses causes (sédentarité et absence d’exercice physique, alimentation déséquilibrée : excès de sucre, alcool, alimentation ultra-transformée), le stress chronique et les troubles du sommeil, le tabagisme, mais aussi la consommation de cannabis et la consommation excessive d’alcool. Certaines maladies chroniques (insuffisance rénale, hépatique, cancers) et certains traitements (corticoïdes, opioïdes) aggravent également le déficit androgènique. Le diagnostic biologique repose sur dosage de la testostérone totale (Taux normal : 3 – 10 ng/mL, un PADAM est suspecté si la testostérone est &lt; 3 ng/mL. La testostérone biodisponible ou </t>
    </r>
    <r>
      <rPr>
        <b/>
        <sz val="11"/>
        <color rgb="FFEE0000"/>
        <rFont val="Calibri"/>
        <family val="2"/>
        <scheme val="minor"/>
      </rPr>
      <t>la testostérone</t>
    </r>
    <r>
      <rPr>
        <sz val="11"/>
        <color rgb="FFEE0000"/>
        <rFont val="Calibri"/>
        <family val="2"/>
        <scheme val="minor"/>
      </rPr>
      <t xml:space="preserve"> </t>
    </r>
    <r>
      <rPr>
        <sz val="11"/>
        <color rgb="FF3A7C22"/>
        <rFont val="Calibri"/>
        <family val="2"/>
        <scheme val="minor"/>
      </rPr>
      <t>libre peuvent mieux estimer le déficit. La testostéronémie biodisponible se calcule en tenant compte du dosage de la SHBG (Sex Hormone-Binding Globulin) ou peut-être dosée directement comme la testostéronémie libre en tenant compte de l’albumine (Testostérone libre= Testostérone totale / [(SHBG / Testostérone totale) * (1 - (SHBG / Testostérone totale))] + (1 - SHBG/SHBG) * (1 - (0,0000549 * Albumine). Une estimation plus simple peut être donnée par le « Free Androgen Index »  FAI = ([Testostéronémie totale/SHBG] × 100) qui doit être &gt;30.En cas de déficit androgénique, le dosage du PSA (antigène prostatique spécifique) est abaissé, un taux normal dans un contexte de déficit androgénique (obésité, testostéronémie basse) n’élimine pas un cancer de la prostate. L’anamnèse recherchera les risques de sarcopénie en s’appuyant sur les questionnaires validés et la force préhension afin de proposer éventuellement une évaluation de la composition corporelle (DXA). L’évaluation de la dysfonction érectile peut être faite avec le questionnaire IIEF5. Le bilan recherchera les autres facteurs biologiques associés au risque métabolique. [NFS, Créatininémie et DFG, Cholestérol et fractions, Triglycérides, Glycémie et Hb1c, TSH]. Le traitement hormonal substitutif (testostérone) prescrit par un urologue ou un andrologue peut être indiqué chez les patients symptomatiques avec testostérone basse et nécessite une surveillance étroite du PSA, du débit mictionnel et de l’hématocrite.</t>
    </r>
  </si>
  <si>
    <t>Le volume prostatique mesuré par imagerie (échographie ou IRM) détermine le degré d’hypertrophie de la prostate lié à l’âge.  &lt; 30 mL : volume normal ou discrètement augmentéun Volume supérieur à 50ml correspond à une hypertrophie et justifie d’en évaluer le retentissement en recherchant un résidu post mictionnel , en mesurant de débit urinaire mictionnel et en évaluant la fonction rénale. L’association au développement d’un lobe médiant de la prostate faisant protrusion dans la vessie est un facteur aggravant des troubles mictionnels lié à l’âge.</t>
  </si>
  <si>
    <t>Au-dessus de 25% chez l’homme et 35% chez la femme on considère qu’il existe un excédant de masse graisseuse.</t>
  </si>
  <si>
    <t>La mesure en DEXA de lla masse musculaire doit être supérieure à 7 kg/taille-m² pour l’homme et supérieur à 5,5 kg/taille-m² pour la femme</t>
  </si>
  <si>
    <t>La force de préhension chez l'homme doit être supérieure à 27 kg et à  16 kg chez la femme</t>
  </si>
  <si>
    <t>La vitesse de marche sur 4 mètre doit être supérieure à 0,8 m/s</t>
  </si>
  <si>
    <t>Ne pas tenir plus de 10 secondes en appui unipodal peut être un signe de sarcopénie</t>
  </si>
  <si>
    <t>La calcémie totale normale chez l'adulte se situe généralement entre 2,20 et 2,60 mmol/L (soit environ 88 à 104-105 mg/L). Une interprétation précise nécessite souvent de prendre en compte le calcium ionisé (actif) ou la calcémie corrigée selon l'albumine.    [Ca « corrigé » (mmol/L) = Ca mesuré (mmol/L) + 0,020 (40 – albumine (g/L))]</t>
  </si>
  <si>
    <t xml:space="preserve">Une valeur du NT-proBNP  &lt; 125 pg/mL (ou ng/L) exclut généralement une insuffissance cardiaque chronique( &gt;95% de fiabilité). </t>
  </si>
  <si>
    <t xml:space="preserve">Le TCK/TCA (Temps de Céphaline Kaolin/Activée) explore facteurs intrinsèques de la coagulation (VIII, IX, XI, XII). Un ratio &gt; 1,2 indique un allongement du temps de coagulation(déficit facteur, anticoagulant circulant, héparine). </t>
  </si>
  <si>
    <r>
      <t>La mesure en imagerie (scanner ou IRM) de la surface du muscle psoas au niveau de la 3</t>
    </r>
    <r>
      <rPr>
        <b/>
        <vertAlign val="superscript"/>
        <sz val="16"/>
        <color theme="1"/>
        <rFont val="Calibri"/>
        <family val="2"/>
        <scheme val="minor"/>
      </rPr>
      <t>ème</t>
    </r>
    <r>
      <rPr>
        <b/>
        <sz val="16"/>
        <color theme="1"/>
        <rFont val="Calibri"/>
        <family val="2"/>
        <scheme val="minor"/>
      </rPr>
      <t xml:space="preserve"> vertèbre lombaire permet d'évaluer la masse musculaire. Les valeurs normales sont plus de 500 mm²/taille-m² pour l’homme et plus de 385 mm²/taille-m² pour la femme.</t>
    </r>
  </si>
  <si>
    <r>
      <t>Le</t>
    </r>
    <r>
      <rPr>
        <b/>
        <sz val="16"/>
        <color rgb="FF0A0A0A"/>
        <rFont val="Calibri"/>
        <family val="2"/>
        <scheme val="minor"/>
      </rPr>
      <t>Taux de Prothrombine  </t>
    </r>
    <r>
      <rPr>
        <b/>
        <sz val="16"/>
        <color theme="1"/>
        <rFont val="Calibri"/>
        <family val="2"/>
        <scheme val="minor"/>
      </rPr>
      <t>évaluent les facteurs extrinséques de la coagulation (facteurs II, V, VII, X), liée au foie et à la vitamine K. Le TP normal est &gt; 70%.</t>
    </r>
  </si>
  <si>
    <t>&gt;50</t>
  </si>
  <si>
    <t>Vitesse de marche sur 4 métre (Métres/Secondes)</t>
  </si>
  <si>
    <t>&lt;2,2</t>
  </si>
  <si>
    <t>2,2-2,6</t>
  </si>
  <si>
    <t>&gt;2,6</t>
  </si>
  <si>
    <t>&lt;125</t>
  </si>
  <si>
    <t>&gt;1,2</t>
  </si>
  <si>
    <t>&lt;70</t>
  </si>
  <si>
    <t>TP (Temps de prothrombine)</t>
  </si>
  <si>
    <t>Temps de Céphaline Kaolin/Activée (Ratio)</t>
  </si>
  <si>
    <t>Ratio</t>
  </si>
  <si>
    <t>40 à 60 mg/L (ou 240 à 360 umol/l)</t>
  </si>
  <si>
    <t>Femmes : 0,252 * poids en kg + 0,473 * taille en cm – 48,3</t>
  </si>
  <si>
    <t>GR</t>
  </si>
  <si>
    <t>TP</t>
  </si>
  <si>
    <t>TCK</t>
  </si>
  <si>
    <t>Système-2</t>
  </si>
  <si>
    <t>Systémes-1</t>
  </si>
  <si>
    <t>&lt;10sec</t>
  </si>
  <si>
    <t>TC: Taux de Prothrombine %</t>
  </si>
  <si>
    <t>TCK: Temps de Céphaline Activée  (Ratio)</t>
  </si>
  <si>
    <t>SPIDER-actuel</t>
  </si>
  <si>
    <t>SPIDER-5ans</t>
  </si>
  <si>
    <t>Acides gras érythrocytaires</t>
  </si>
  <si>
    <t>Apolipoprotéine B</t>
  </si>
  <si>
    <t>Phosphatases alcalines (PAL)</t>
  </si>
  <si>
    <t>Bilirubine totale</t>
  </si>
  <si>
    <t>Cholinestérase (butyrylcholinestérase)</t>
  </si>
  <si>
    <t>NASH Test (Biopredictive)</t>
  </si>
  <si>
    <t>T3 libre</t>
  </si>
  <si>
    <t>T4 libre</t>
  </si>
  <si>
    <t>Zinc érythrocytaire</t>
  </si>
  <si>
    <t>Magnésium érythrocytaire</t>
  </si>
  <si>
    <t>Vitamine B9 (folates sériques)</t>
  </si>
  <si>
    <t>Sérologie VIH</t>
  </si>
  <si>
    <t>Sérologie Hépatite B</t>
  </si>
  <si>
    <t>Frottis cervico-vaginal + HPV PCR</t>
  </si>
  <si>
    <t>Dépistage sang occulte selles (&gt;45 ans)</t>
  </si>
  <si>
    <t>Holotranscobalamine</t>
  </si>
  <si>
    <t>Acide méthylmalonique</t>
  </si>
  <si>
    <t>MammoRisk (Predilife)</t>
  </si>
  <si>
    <t>AFP (alpha-foetoprotéine)</t>
  </si>
  <si>
    <t>Stockholm3 (Prostate)</t>
  </si>
  <si>
    <t>Dosage des protéines sériques (albumine + globulines) valeurs normales usuelles 64–83 g/L</t>
  </si>
  <si>
    <t>Acide aminé soufré plasmatique (risque CV, carence B9/B12/B6) valeurs normales usuelles 5–15 µmol/L</t>
  </si>
  <si>
    <t>Protéine des LDL et lipoprotéines athérogènes valeurs normales usuelles &lt; 1,0 g/L (idéalement &lt; 0,8 g/L si haut risque CV)</t>
  </si>
  <si>
    <t>Enzyme hépatobiliaire et osseuse valeurs normales usuelles 30–120 UI/L</t>
  </si>
  <si>
    <t>Pigment biliaire (conjuguée + libre) valeurs normales usuelles Totale &lt; 17 µmol/L (&lt; 10 mg/L)</t>
  </si>
  <si>
    <t>Statut intracellulaire en zinc valeurs normales usuelles 8–14 mg/L GR (≈ 120–190 µmol/L GR)</t>
  </si>
  <si>
    <t>Statut en folates valeurs normales usuelles &gt; 4 ng/mL (≈ &gt; 10 nmol/L)</t>
  </si>
  <si>
    <t>Ag HBs, Ac anti-HBs, Ac anti-HBc valeurs normales usuelles Ag HBs négatif ; Ac anti-HBs &gt; 10 UI/L = immunité ; Ac anti-HBc négatif</t>
  </si>
  <si>
    <t>Score algorithmique sanguin (fibrose/stéatohépatite) valeurs normales usuelles Score 0–1 ; faible probabilité si &lt; 0,3 valeurs normales usuelles Score 0–1 ; faible probabilité si &lt; 0,3</t>
  </si>
  <si>
    <t xml:space="preserve">Analyse du profil lipidique membranaire des GR (oméga-3, oméga-6, index oméga-3) valeurs normales usuelles Index oméga-3 : 8–12 % des AG totaux </t>
  </si>
  <si>
    <t xml:space="preserve">Produit du catabolisme protéique, reflet fonction rénale valeurs normales usuelles 2,5–7,5 mmol/L (0,15–0,45 g/L) </t>
  </si>
  <si>
    <t xml:space="preserve">Synthèse hépatique valeurs normales usuelles 5 000–12 000 UI/L (selon méthode) </t>
  </si>
  <si>
    <t xml:space="preserve">Oligoélément plasmatique valeurs normales usuelles 70–130 µg/L </t>
  </si>
  <si>
    <t xml:space="preserve">Magnésium intracellulaire valeurs normales usuelles 1,6–2,6 mmol/L GR </t>
  </si>
  <si>
    <t xml:space="preserve">Cobalamine sérique totale valeurs normales usuelles 200–900 ng/L (≈ 150–670 pmol/L) </t>
  </si>
  <si>
    <t xml:space="preserve">Ubiquinone plasmatique (statut mitochondrial) valeurs normales usuelles 0,5–1,7 mg/L </t>
  </si>
  <si>
    <t xml:space="preserve">Dépistage Ag p24 + Ac anti-VIH 1/2 valeurs normales usuelles Négatif (absence d’Ag/Ac détectable) </t>
  </si>
  <si>
    <t xml:space="preserve">Ac anti-VHC ± ARN VHC valeurs normales usuelles Ac négatif (si positif → PCR ARN) </t>
  </si>
  <si>
    <t xml:space="preserve">Cytologie cervicale + détection HPV oncogènes valeurs normales usuelles Cytologie normale ; HPV HR non détecté </t>
  </si>
  <si>
    <t xml:space="preserve">Test immunologique fécal (FIT) valeurs normales usuelles Négatif (&lt; seuil fabricant, souvent &lt; 30 µg Hb/g selles) </t>
  </si>
  <si>
    <t xml:space="preserve">Fraction active de B12 liée à transcobalamine valeurs normales usuelles &gt; 50 pmol/L </t>
  </si>
  <si>
    <t xml:space="preserve">Marqueur fonctionnel carence B12 valeurs normales usuelles &lt; 0,4 µmol/L </t>
  </si>
  <si>
    <t xml:space="preserve">Score prédictif génétique de risque cancer sein valeurs normales usuelles Score bas &lt; 1 (interprétation relative au percentile) </t>
  </si>
  <si>
    <t>Vaccination pneumoccoque</t>
  </si>
  <si>
    <t>Vaccin contre la rougeole</t>
  </si>
  <si>
    <t>Vaccin contre l'encéphalite à Tiques</t>
  </si>
  <si>
    <t>Vaccin contre l'Hémophilus</t>
  </si>
  <si>
    <t>Vaccination COVID</t>
  </si>
  <si>
    <t>Vaccination Hepatites</t>
  </si>
  <si>
    <t xml:space="preserve">Marqueur tumoral (Carcinome hépatocellulaire, tumeurs germinales) valeurs normales usuelles &lt; 10 ng/mL </t>
  </si>
  <si>
    <t xml:space="preserve">Test combiné pour le cancer de la prostate (PSA, biomarqueurs, génétique) valeurs normales usuelles Score &lt; 10 % = faible risque cancer significatif </t>
  </si>
  <si>
    <t xml:space="preserve">Test sanguin ADN tumoral circulant (Cancer colo-rectal) valeurs normales usuelles Négatif </t>
  </si>
  <si>
    <t>Le cancer du pancréas est l’un des cancers les plus agressifs, souvent diagnostiqué à un stade avancé.
Il est estimé à environ 495.000 nouveaux cas/an dans le monde (GLOBOCAN 2020). Le taux de survie à 5 ans est &lt; 10%. Il affecte légèrement plus les hommes que les femmes (ratio H/F=1,4) avec un pic d'incidence après 65 ans. Le type histologique le plus fréquent (85 à 90 %) est l’adénocarcinome canalaire. Les facteurs de risque sont les antécédents de pancréatite chronique, ou de kyste pancréatique précancéreux (TIPMP : Tumeurs Intraductales Papillaires Mucineuses du Pancréas et MCN : Mucinous Cystic Neoplasms). Pour les facteurs de risque communs on retrouve le tabagisme actif (risque multiplié par 2 à 3), les facteurs de risque métabolique (obésité et surpoids, diabète de type 2), la consommation excessive d'alcool. Une alimentation riche en graisses animales et pauvre en fibres. Des antécédents familiaux sont retrouvés dans 10 % des cas et une prédisposition héréditaire spécifique existe ou est  associée au spectre des tumeurs de différent syndromes familiaux des cancers comme celui de prédisposition familiale aux cancers du sein-utérus-ovaire (BRCA2, PALB2, p16, STK11, PRSS1), du Syndrome de Lynch ou de néoplasie endocrinienne multiple de type 1, etc. Les signes d’alerte sont très tardifs (ictère pour les tumeurs de la tête du pancréas, Amaigrissement rapide et inexpliqué, Douleurs épigastriques irradiant dans le dos. Le diagnostic repose sur l’imagerie IRM et par écho-endoscopie (l’échographie abdominale classique est peu sensible).
Le marqueur tumoral CA 19-9 (est non spécifique, seulement utile pour le suivi). Le dépistage est ciblé (surveillance par IRM ou écho-endoscopie) à partir de 40-50 ans, il est proposé aux patients à haut risque génétique, ou suivis pour une pancréatite chronique ou des kystes du pancréas potentiellement précancéreux. La prévention est celle du risque métabolique, le sevrage tabagique, la réduction de l’alcool, une alimentation équilibrée (pauvre en graisses saturées, riche en fruits/légumes).</t>
  </si>
  <si>
    <t xml:space="preserve">Negative </t>
  </si>
  <si>
    <t>DXA (masse musculaire)</t>
  </si>
  <si>
    <t>Le résidu après miction mesuré en échographie ne doit pas être supérieur à 100ml chez l'homme et 5ml chez la femme</t>
  </si>
  <si>
    <t>Le débit urinaire mictionnel moyen  ne doit pas être inférieur à 10ml/sec</t>
  </si>
  <si>
    <t>Spider-5-inter</t>
  </si>
  <si>
    <t>Spider-actuel-inter</t>
  </si>
  <si>
    <t>Scanner Thoracique</t>
  </si>
  <si>
    <t>Echographie rénale et vésicale</t>
  </si>
  <si>
    <t>Scanner abdomino-pelvien</t>
  </si>
  <si>
    <t>Scanner Coronnaire</t>
  </si>
  <si>
    <t>Echo-doppler vasculaire artériel</t>
  </si>
  <si>
    <t>IRM prostatique</t>
  </si>
  <si>
    <t>Mammographie</t>
  </si>
  <si>
    <t>Echographie prostatique et vésico-rénale</t>
  </si>
  <si>
    <t>Echographie pelvienne</t>
  </si>
  <si>
    <t>Echographie hépatique (splénique)</t>
  </si>
  <si>
    <t>Echographie thyroidienne</t>
  </si>
  <si>
    <t>Imagerie et Test fonctionnels</t>
  </si>
  <si>
    <t>Résidu postmictionnel (échographie)</t>
  </si>
  <si>
    <t>Débitmétrie mictionnelle</t>
  </si>
  <si>
    <t>Surface muscle Psoas en L3:</t>
  </si>
  <si>
    <t>Prénom</t>
  </si>
  <si>
    <t>Nom</t>
  </si>
  <si>
    <t>Langue</t>
  </si>
  <si>
    <t>Date de naissance</t>
  </si>
  <si>
    <t>Email</t>
  </si>
  <si>
    <t xml:space="preserve">Entreprise </t>
  </si>
  <si>
    <t>F4=&gt;70</t>
  </si>
  <si>
    <t>F337=Y</t>
  </si>
  <si>
    <t>TEXTE LIBRE</t>
  </si>
  <si>
    <t xml:space="preserve">F17=Plutôt positivement OU Plutôt négativement </t>
  </si>
  <si>
    <t>XX@XX.com</t>
  </si>
  <si>
    <t>F4=&lt;65</t>
  </si>
  <si>
    <t>F4=&gt;65 OU F18=Y OU F8=Y</t>
  </si>
  <si>
    <t>F4=&gt;60</t>
  </si>
  <si>
    <t>F4=&lt;45</t>
  </si>
  <si>
    <t>&lt;65ans OU F17=Ne me concerne pas</t>
  </si>
  <si>
    <t>F3=H et F22=Y</t>
  </si>
  <si>
    <t>F3=F et F22=Y</t>
  </si>
  <si>
    <t>F22=Y</t>
  </si>
  <si>
    <t>F3=H</t>
  </si>
  <si>
    <t>F3=F</t>
  </si>
  <si>
    <t>F194=N</t>
  </si>
  <si>
    <t>F194=N &amp; F4=≥65 ans</t>
  </si>
  <si>
    <t>F194=N &amp; (F4=≥  65 ans OU F94=Y OU F103=Y)</t>
  </si>
  <si>
    <t>F194=N &amp; (F4=≥65 ans OU F94=Y OU F103=Y)</t>
  </si>
  <si>
    <t>F194=N &amp; F4=entre11 à 24</t>
  </si>
  <si>
    <t>F194=N &amp; F4=&lt;65</t>
  </si>
  <si>
    <t>F194=N &amp; F4=entre11 à 26</t>
  </si>
  <si>
    <t>F68=Y</t>
  </si>
  <si>
    <t>F76=Y</t>
  </si>
  <si>
    <t>F76=Y &amp; F77=N, F78=N &amp; F342=N</t>
  </si>
  <si>
    <t>F93=Y</t>
  </si>
  <si>
    <t>F93=Y &amp; F3=H</t>
  </si>
  <si>
    <t>F93=Y &amp; F3=F &amp; F21=N</t>
  </si>
  <si>
    <t>F176=Y</t>
  </si>
  <si>
    <t>F108=Y</t>
  </si>
  <si>
    <t>F107=Y OU F108=Y</t>
  </si>
  <si>
    <t>F115=≥1</t>
  </si>
  <si>
    <t>F135=Y</t>
  </si>
  <si>
    <t>F150=Y</t>
  </si>
  <si>
    <t>F151=Y</t>
  </si>
  <si>
    <t>F158=Y</t>
  </si>
  <si>
    <t>F185=Y</t>
  </si>
  <si>
    <t>F58=N</t>
  </si>
  <si>
    <t>F3=F &amp; F4= &gt;40</t>
  </si>
  <si>
    <t>F194=N &amp; (F21=N OU (F3=F &amp; F4= &lt;40))</t>
  </si>
  <si>
    <t>F49=Y</t>
  </si>
  <si>
    <t>F195=Y</t>
  </si>
  <si>
    <t>F4=&gt;60  OU  IMC=&lt;0,18</t>
  </si>
  <si>
    <t>F4=&gt;40 ans</t>
  </si>
  <si>
    <t>F24=Y</t>
  </si>
  <si>
    <t>F23=Y</t>
  </si>
  <si>
    <t>F25=Y</t>
  </si>
  <si>
    <t>F26=Y</t>
  </si>
  <si>
    <t>F27=Y</t>
  </si>
  <si>
    <t>F28=Y</t>
  </si>
  <si>
    <t>F29=Y</t>
  </si>
  <si>
    <t>F30=Y</t>
  </si>
  <si>
    <t>F31=Y</t>
  </si>
  <si>
    <t>F32=Y</t>
  </si>
  <si>
    <t>F122=Y</t>
  </si>
  <si>
    <t>F123=Y</t>
  </si>
  <si>
    <t>F125=Y</t>
  </si>
  <si>
    <t>F121=Y</t>
  </si>
  <si>
    <t>F124=Y</t>
  </si>
  <si>
    <t>F130=Y</t>
  </si>
  <si>
    <t>F129=Y</t>
  </si>
  <si>
    <t>F126=Y</t>
  </si>
  <si>
    <t>F127=Y</t>
  </si>
  <si>
    <t>F254=Y</t>
  </si>
  <si>
    <t>F128=Y</t>
  </si>
  <si>
    <t>F131=Y</t>
  </si>
  <si>
    <t>F132=Y</t>
  </si>
  <si>
    <t>F36=Y</t>
  </si>
  <si>
    <t>F33=Y</t>
  </si>
  <si>
    <t>F39=Y</t>
  </si>
  <si>
    <t>F47=Y</t>
  </si>
  <si>
    <t>F43=Y</t>
  </si>
  <si>
    <t>F34=Y</t>
  </si>
  <si>
    <t>F35=Y</t>
  </si>
  <si>
    <t>F50=Y</t>
  </si>
  <si>
    <t>F51=Y</t>
  </si>
  <si>
    <t>F40=Y</t>
  </si>
  <si>
    <t>F38=Y</t>
  </si>
  <si>
    <t>F41=Y</t>
  </si>
  <si>
    <t>F42=Y</t>
  </si>
  <si>
    <t>F37=Y</t>
  </si>
  <si>
    <t>F177=Y</t>
  </si>
  <si>
    <t>F48=Y</t>
  </si>
  <si>
    <t>F178=Y</t>
  </si>
  <si>
    <t>F94=Y</t>
  </si>
  <si>
    <t>F95=Y</t>
  </si>
  <si>
    <t>F96=Y</t>
  </si>
  <si>
    <t>F97=Y</t>
  </si>
  <si>
    <t>F98=Y</t>
  </si>
  <si>
    <t>F99=Y</t>
  </si>
  <si>
    <t>F100=Y</t>
  </si>
  <si>
    <t>F101=Y</t>
  </si>
  <si>
    <t>F102=Y</t>
  </si>
  <si>
    <t>F103=Y</t>
  </si>
  <si>
    <t>F104=Y</t>
  </si>
  <si>
    <t>F106=Y</t>
  </si>
  <si>
    <t>F91=Y</t>
  </si>
  <si>
    <t>F44=Y</t>
  </si>
  <si>
    <t>F45=Y</t>
  </si>
  <si>
    <t>F46=Y</t>
  </si>
  <si>
    <t>F58=Y</t>
  </si>
  <si>
    <t>F186=Y</t>
  </si>
  <si>
    <t>F149=Y</t>
  </si>
  <si>
    <t>F328=Y</t>
  </si>
  <si>
    <t>F69=Y</t>
  </si>
  <si>
    <t>F71=Y</t>
  </si>
  <si>
    <t>F74=Y</t>
  </si>
  <si>
    <t>F72=Y</t>
  </si>
  <si>
    <t>F78=Y</t>
  </si>
  <si>
    <t>F79=Y</t>
  </si>
  <si>
    <r>
      <t xml:space="preserve">Quel est votre âge ? </t>
    </r>
    <r>
      <rPr>
        <b/>
        <sz val="14"/>
        <color theme="4"/>
        <rFont val="Calibri"/>
        <family val="2"/>
        <scheme val="minor"/>
      </rPr>
      <t>// Quelle est votre date de naissance ? (Données utilisées pour les courbes de référence médicale)</t>
    </r>
  </si>
  <si>
    <t>Chiffre libre</t>
  </si>
  <si>
    <t>Si vous deviez vivre le reste de votre vie avec votre état émotionnel ou nerveux actuel tel qu’il est maintenant, comment vous sentiriez-vous ?
(0 = Très satisfaisant ; 1 = Plutôt satisfaisant ; 2 = Peu satisfaisant ; 3 = Pas du tout satisfaisant)</t>
  </si>
  <si>
    <t>Infectiologie</t>
  </si>
  <si>
    <t>Dépistage</t>
  </si>
  <si>
    <t>Cancers du Sein</t>
  </si>
  <si>
    <t xml:space="preserve"> Pression artérielle systolique (mmHg) au repos debout</t>
  </si>
  <si>
    <t>Pression artérielle systolique (mmHg) à l'effort</t>
  </si>
  <si>
    <t>Pression artérielle diastolique (mmHg) à l'effort</t>
  </si>
  <si>
    <t xml:space="preserve"> Pression artérielle systolique (mmHg) à la récupération</t>
  </si>
  <si>
    <t>Pression artérielle diastolique (mmHg) à la récupération</t>
  </si>
  <si>
    <t>SpO2 au repos</t>
  </si>
  <si>
    <t xml:space="preserve">SpO2 à l'effort </t>
  </si>
  <si>
    <t>Ne me concerne pas</t>
  </si>
  <si>
    <t>Léa</t>
  </si>
  <si>
    <t>Soucaux</t>
  </si>
  <si>
    <t>FR</t>
  </si>
  <si>
    <t xml:space="preserve"> Vaccination grippe, </t>
  </si>
  <si>
    <t>Dépistage cancers cutanés</t>
  </si>
  <si>
    <t xml:space="preserve"> Dépistage cancers cutanés,</t>
  </si>
  <si>
    <t>Score symptômes maladie coronarienne en %</t>
  </si>
  <si>
    <t>Le score symptomes est basé sur le facteurs de risques et de la séméiologie des douleurs thoraciques (Winther S, Schmidt SE, Mayrhofer T, et al. Pre-test probability prediction in patients with suspected coronary artery disease: a contemporary approach)</t>
  </si>
  <si>
    <t>Anesthesistes</t>
  </si>
  <si>
    <t>Santé mentale</t>
  </si>
  <si>
    <t>Couverture vaccinale</t>
  </si>
  <si>
    <t>Couverture dépistage</t>
  </si>
  <si>
    <t>Appareil endocrinien et métabolique</t>
  </si>
  <si>
    <t>Charge sociale et mentale (100% aucune charge sociale)</t>
  </si>
  <si>
    <t xml:space="preserve"> Pollution aerienne(100% aucune pollution)</t>
  </si>
  <si>
    <t>Couverture Vaccins Score</t>
  </si>
  <si>
    <t>Couverture Dépistage</t>
  </si>
  <si>
    <t>Santé mentale et vieillissement cérébral</t>
  </si>
  <si>
    <t>Systéme sensoriel</t>
  </si>
  <si>
    <t>Système sensoriel</t>
  </si>
  <si>
    <t>Sein</t>
  </si>
  <si>
    <t>Col uterus</t>
  </si>
  <si>
    <t>&gt;50 ans</t>
  </si>
  <si>
    <t>NON/OUI</t>
  </si>
  <si>
    <t>NON/OUI/NSP</t>
  </si>
  <si>
    <t>Avez-vous eu une fracture ostéoporotique de la colonne vertébrale ou de la hanche ? (non=0, oui=1)</t>
  </si>
  <si>
    <r>
      <t>Acuité auditive</t>
    </r>
    <r>
      <rPr>
        <b/>
        <sz val="14"/>
        <color rgb="FFFF0000"/>
        <rFont val="Calibri"/>
        <family val="2"/>
        <scheme val="minor"/>
      </rPr>
      <t xml:space="preserve"> (options?? Pourquoi pas dans F? 0=non-fait, 1=Normale perte auditive en décibel &lt;20 dB, 2=Surdité légère perte auditive en décibel entre 21 et 40 dB, 3=Surdité perte auditive en décibel &gt; 40 dB)</t>
    </r>
  </si>
  <si>
    <t>Texte libre</t>
  </si>
  <si>
    <r>
      <t xml:space="preserve">Avez-vous un rôle d’aidant ou des personnes à charge à la maison (enfants, personnes en situation de handicap ou âgées) ? </t>
    </r>
    <r>
      <rPr>
        <b/>
        <sz val="14"/>
        <color rgb="FFFF0000"/>
        <rFont val="Calibri"/>
        <family val="2"/>
        <scheme val="minor"/>
      </rPr>
      <t xml:space="preserve"> (non=0, oui=1)</t>
    </r>
  </si>
  <si>
    <r>
      <t xml:space="preserve">En cas de besoin, pouvez-vous compter sur quelqu’un de votre entourage proche pour vous aider ?  </t>
    </r>
    <r>
      <rPr>
        <b/>
        <sz val="14"/>
        <color rgb="FFFF0000"/>
        <rFont val="Calibri"/>
        <family val="2"/>
        <scheme val="minor"/>
      </rPr>
      <t>(non=0, oui=1)</t>
    </r>
  </si>
  <si>
    <r>
      <t xml:space="preserve">Prévoyez-vous d’avoir un enfant dans les cinq prochaines années ? </t>
    </r>
    <r>
      <rPr>
        <b/>
        <sz val="14"/>
        <color rgb="FFFF0000"/>
        <rFont val="Calibri"/>
        <family val="2"/>
        <scheme val="minor"/>
      </rPr>
      <t>(oui=1, non=0, ne sais pas=2)</t>
    </r>
  </si>
  <si>
    <r>
      <t xml:space="preserve">Au cours des six derniers mois, avez-vous eu des contacts avec des proches ou des amis ? </t>
    </r>
    <r>
      <rPr>
        <b/>
        <sz val="14"/>
        <color rgb="FFFF0000"/>
        <rFont val="Calibri"/>
        <family val="2"/>
        <scheme val="minor"/>
      </rPr>
      <t>(non=0, oui=1)</t>
    </r>
  </si>
  <si>
    <r>
      <t xml:space="preserve">Vos conditions de vie ou de travail sont-elles physiquement exigeantes ?  </t>
    </r>
    <r>
      <rPr>
        <b/>
        <sz val="14"/>
        <color rgb="FFFF0000"/>
        <rFont val="Calibri"/>
        <family val="2"/>
        <scheme val="minor"/>
      </rPr>
      <t>(non=0, oui=1)</t>
    </r>
  </si>
  <si>
    <r>
      <t xml:space="preserve">Avez-vous un travail de nuit (entre 21h et 7h) ou en horaires décalés (en dehors de la tranche 7h-21h ou 3x8 ou 2x12) ?  </t>
    </r>
    <r>
      <rPr>
        <b/>
        <sz val="14"/>
        <color rgb="FFFF0000"/>
        <rFont val="Calibri"/>
        <family val="2"/>
        <scheme val="minor"/>
      </rPr>
      <t>(non=0, oui=1)</t>
    </r>
  </si>
  <si>
    <r>
      <t xml:space="preserve">Votre logement est-il adapté à votre état de santé ou de celle des personnes que vous accompagnez ?
(par ex. : accessible en cas de mobilité réduite, sécurisé pour prévenir les chutes chez les personnes âgées) </t>
    </r>
    <r>
      <rPr>
        <b/>
        <sz val="14"/>
        <color rgb="FFFF0000"/>
        <rFont val="Calibri"/>
        <family val="2"/>
        <scheme val="minor"/>
      </rPr>
      <t>(non=0, oui=1)</t>
    </r>
  </si>
  <si>
    <r>
      <t xml:space="preserve">Avez-vous des limitations physiques qui restreignent votre mobilité ou vos activités quotidiennes ? (handicap) </t>
    </r>
    <r>
      <rPr>
        <b/>
        <sz val="14"/>
        <color rgb="FFFF0000"/>
        <rFont val="Calibri"/>
        <family val="2"/>
        <scheme val="minor"/>
      </rPr>
      <t>(non=0, oui=1)</t>
    </r>
  </si>
  <si>
    <r>
      <t xml:space="preserve">Avez-vous déjà été victime de violences physiques, sexuelles ou psychologiques (menaces, chantage, humiliation, agression, mutilation), de harcèlement ou de discrimination ? </t>
    </r>
    <r>
      <rPr>
        <b/>
        <sz val="14"/>
        <color rgb="FFFF0000"/>
        <rFont val="Calibri"/>
        <family val="2"/>
        <scheme val="minor"/>
      </rPr>
      <t>(non=0, oui=1</t>
    </r>
    <r>
      <rPr>
        <b/>
        <sz val="14"/>
        <color theme="1"/>
        <rFont val="Calibri"/>
        <family val="2"/>
        <scheme val="minor"/>
      </rPr>
      <t>)</t>
    </r>
  </si>
  <si>
    <r>
      <t xml:space="preserve">Etes vous ménopausée? </t>
    </r>
    <r>
      <rPr>
        <b/>
        <sz val="14"/>
        <color rgb="FFFF0000"/>
        <rFont val="Calibri"/>
        <family val="2"/>
        <scheme val="minor"/>
      </rPr>
      <t>(non=0, oui=1)</t>
    </r>
  </si>
  <si>
    <r>
      <t>Avez-vous déjà eu un cancer ?</t>
    </r>
    <r>
      <rPr>
        <b/>
        <sz val="14"/>
        <color rgb="FFFF0000"/>
        <rFont val="Calibri"/>
        <family val="2"/>
        <scheme val="minor"/>
      </rPr>
      <t xml:space="preserve"> (non=0, oui=1)</t>
    </r>
  </si>
  <si>
    <r>
      <t xml:space="preserve">Avez-vous déjà eu un cancer de la prostate ? </t>
    </r>
    <r>
      <rPr>
        <b/>
        <sz val="14"/>
        <color rgb="FFFF0000"/>
        <rFont val="Calibri"/>
        <family val="2"/>
        <scheme val="minor"/>
      </rPr>
      <t>(non=0, oui=1)</t>
    </r>
  </si>
  <si>
    <r>
      <t xml:space="preserve">Avez-vous déjà eu un cancer du côlon ou des polypes du côlon ? </t>
    </r>
    <r>
      <rPr>
        <b/>
        <sz val="14"/>
        <color rgb="FFFF0000"/>
        <rFont val="Calibri"/>
        <family val="2"/>
        <scheme val="minor"/>
      </rPr>
      <t>(non=0, oui=1)</t>
    </r>
  </si>
  <si>
    <r>
      <t>Avez-vous déjà eu un mélanome ou un autre type de cancer de la peau ? (</t>
    </r>
    <r>
      <rPr>
        <b/>
        <sz val="14"/>
        <color rgb="FFFF0000"/>
        <rFont val="Calibri"/>
        <family val="2"/>
        <scheme val="minor"/>
      </rPr>
      <t>non=0, oui=1)</t>
    </r>
  </si>
  <si>
    <r>
      <t xml:space="preserve">Avez-vous déjà eu un cancer du poumon ? </t>
    </r>
    <r>
      <rPr>
        <b/>
        <sz val="14"/>
        <color rgb="FFFF0000"/>
        <rFont val="Calibri"/>
        <family val="2"/>
        <scheme val="minor"/>
      </rPr>
      <t>(non=0, oui=1)</t>
    </r>
  </si>
  <si>
    <r>
      <t xml:space="preserve">Avez-vous déjà eu un cancer du sein ? </t>
    </r>
    <r>
      <rPr>
        <b/>
        <sz val="14"/>
        <color rgb="FFFF0000"/>
        <rFont val="Calibri"/>
        <family val="2"/>
        <scheme val="minor"/>
      </rPr>
      <t>(non=0, oui=1)</t>
    </r>
  </si>
  <si>
    <r>
      <t xml:space="preserve">Avez-vous déjà eu un cancer gynécologique (utérus ou ovaires) ? </t>
    </r>
    <r>
      <rPr>
        <b/>
        <sz val="14"/>
        <color rgb="FFFF0000"/>
        <rFont val="Calibri"/>
        <family val="2"/>
        <scheme val="minor"/>
      </rPr>
      <t>(non=0, oui=1)</t>
    </r>
  </si>
  <si>
    <r>
      <t>Avez-vous déjà eu un cancer du rein ?</t>
    </r>
    <r>
      <rPr>
        <b/>
        <sz val="14"/>
        <color rgb="FFFF0000"/>
        <rFont val="Calibri"/>
        <family val="2"/>
        <scheme val="minor"/>
      </rPr>
      <t xml:space="preserve"> (non=0, oui=1)</t>
    </r>
  </si>
  <si>
    <r>
      <t>Avez-vous déjà eu un cancer de l’estomac ?</t>
    </r>
    <r>
      <rPr>
        <b/>
        <sz val="14"/>
        <color rgb="FFFF0000"/>
        <rFont val="Calibri"/>
        <family val="2"/>
        <scheme val="minor"/>
      </rPr>
      <t xml:space="preserve"> (non=0, oui=1)</t>
    </r>
  </si>
  <si>
    <r>
      <t xml:space="preserve">Avez-vous déjà eu un cancer ORL (langue, gorge, larynx, sinus) ? </t>
    </r>
    <r>
      <rPr>
        <b/>
        <sz val="14"/>
        <color rgb="FFFF0000"/>
        <rFont val="Calibri"/>
        <family val="2"/>
        <scheme val="minor"/>
      </rPr>
      <t>(non=0, oui=1)</t>
    </r>
  </si>
  <si>
    <r>
      <t xml:space="preserve">Avez-vous déjà eu une tumeur de la vessie ou de l’uretère (appareil urinaire) ? </t>
    </r>
    <r>
      <rPr>
        <b/>
        <sz val="14"/>
        <color rgb="FFFF0000"/>
        <rFont val="Calibri"/>
        <family val="2"/>
        <scheme val="minor"/>
      </rPr>
      <t>(non=0, oui=1)</t>
    </r>
  </si>
  <si>
    <r>
      <t xml:space="preserve">Avez-vous déjà eu un anévrisme ou une artériopathie des membres inférieurs ? </t>
    </r>
    <r>
      <rPr>
        <b/>
        <sz val="14"/>
        <color rgb="FFFF0000"/>
        <rFont val="Calibri"/>
        <family val="2"/>
        <scheme val="minor"/>
      </rPr>
      <t>(non=0, oui=1)</t>
    </r>
  </si>
  <si>
    <r>
      <t xml:space="preserve">Avez-vous eu des calculs biliaires ou une ablation de la vésicule biliaire ? </t>
    </r>
    <r>
      <rPr>
        <b/>
        <sz val="14"/>
        <color rgb="FFFF0000"/>
        <rFont val="Calibri"/>
        <family val="2"/>
        <scheme val="minor"/>
      </rPr>
      <t>(non=0, oui=1)</t>
    </r>
  </si>
  <si>
    <r>
      <t xml:space="preserve">Avez-vous déjà eu un ulcère de l’estomac ou du duodénum ? </t>
    </r>
    <r>
      <rPr>
        <b/>
        <sz val="14"/>
        <color rgb="FFFF0000"/>
        <rFont val="Calibri"/>
        <family val="2"/>
        <scheme val="minor"/>
      </rPr>
      <t>(non=0, oui=1)</t>
    </r>
  </si>
  <si>
    <r>
      <t xml:space="preserve">Avez-vous déjà eu une crise cardiaque ou un AVC (accident cardiovasculaire célébral) ? </t>
    </r>
    <r>
      <rPr>
        <b/>
        <sz val="14"/>
        <color rgb="FFFF0000"/>
        <rFont val="Calibri"/>
        <family val="2"/>
        <scheme val="minor"/>
      </rPr>
      <t>(non=0, oui=1)</t>
    </r>
  </si>
  <si>
    <r>
      <t xml:space="preserve">Avez-vous des problèmes de fertilité ? </t>
    </r>
    <r>
      <rPr>
        <b/>
        <sz val="14"/>
        <color rgb="FFFF0000"/>
        <rFont val="Calibri"/>
        <family val="2"/>
        <scheme val="minor"/>
      </rPr>
      <t>(non=0, oui=1)</t>
    </r>
  </si>
  <si>
    <r>
      <t xml:space="preserve">Avez-vous eu des calculs rénaux ou des coliques néphrétiques ? </t>
    </r>
    <r>
      <rPr>
        <b/>
        <sz val="14"/>
        <color rgb="FFFF0000"/>
        <rFont val="Calibri"/>
        <family val="2"/>
        <scheme val="minor"/>
      </rPr>
      <t>(non=0, oui=1)</t>
    </r>
  </si>
  <si>
    <r>
      <t xml:space="preserve">Avez-vous déjà eu des caillots sanguins (phlébite/thrombose ou embolie pulmonaire) ou une déficience en protéine S ? </t>
    </r>
    <r>
      <rPr>
        <b/>
        <sz val="14"/>
        <color rgb="FFFF0000"/>
        <rFont val="Calibri"/>
        <family val="2"/>
        <scheme val="minor"/>
      </rPr>
      <t>(non=0, oui=1)</t>
    </r>
  </si>
  <si>
    <r>
      <t xml:space="preserve">Avez-vous une maladie inflammatoire chronique de l’intestin (maladie de Crohn, rectocolite hémorragique) ? </t>
    </r>
    <r>
      <rPr>
        <b/>
        <sz val="14"/>
        <color rgb="FFFF0000"/>
        <rFont val="Calibri"/>
        <family val="2"/>
        <scheme val="minor"/>
      </rPr>
      <t>(non=0, oui=1)</t>
    </r>
  </si>
  <si>
    <r>
      <t xml:space="preserve">Souffrez-vous d’arthrose ou de maladie rhumatismale ? </t>
    </r>
    <r>
      <rPr>
        <b/>
        <sz val="14"/>
        <color rgb="FFFF0000"/>
        <rFont val="Calibri"/>
        <family val="2"/>
        <scheme val="minor"/>
      </rPr>
      <t>(non=0, oui=1)</t>
    </r>
  </si>
  <si>
    <r>
      <t>Avez-vous déjà eu une maladie respiratoire (comme l’asthme ou la BPCO) ou des allergies respiratoires, telles qu’une pollinose (par exemple le rhume des foins) ?</t>
    </r>
    <r>
      <rPr>
        <b/>
        <sz val="14"/>
        <color rgb="FFFF0000"/>
        <rFont val="Calibri"/>
        <family val="2"/>
        <scheme val="minor"/>
      </rPr>
      <t xml:space="preserve"> (non=0, oui=1)</t>
    </r>
  </si>
  <si>
    <r>
      <t>Avez-vous déjà eu une atopie ou des allergies cutanées (par exemple aux métaux, au latex) ?</t>
    </r>
    <r>
      <rPr>
        <b/>
        <sz val="14"/>
        <color rgb="FFFF0000"/>
        <rFont val="Calibri"/>
        <family val="2"/>
        <scheme val="minor"/>
      </rPr>
      <t xml:space="preserve"> (non=0, oui=1)</t>
    </r>
  </si>
  <si>
    <r>
      <t xml:space="preserve">Avez-vous une allergie au latex ou à des aliments (par exemple kiwi, avocat, châtaigne, sarrasin) ? </t>
    </r>
    <r>
      <rPr>
        <b/>
        <sz val="14"/>
        <color rgb="FFFF0000"/>
        <rFont val="Calibri"/>
        <family val="2"/>
        <scheme val="minor"/>
      </rPr>
      <t>(non=0, oui=1)</t>
    </r>
  </si>
  <si>
    <r>
      <t>Avez-vous des varices aux jambes ?</t>
    </r>
    <r>
      <rPr>
        <b/>
        <sz val="14"/>
        <color rgb="FFFF0000"/>
        <rFont val="Calibri"/>
        <family val="2"/>
        <scheme val="minor"/>
      </rPr>
      <t xml:space="preserve"> (non=0, oui=1)</t>
    </r>
  </si>
  <si>
    <r>
      <t>Avez-vous une intolérance alimentaire (gluten ou lactose) ?</t>
    </r>
    <r>
      <rPr>
        <b/>
        <sz val="14"/>
        <color rgb="FFFF0000"/>
        <rFont val="Calibri"/>
        <family val="2"/>
        <scheme val="minor"/>
      </rPr>
      <t xml:space="preserve"> (non=0, oui=1)</t>
    </r>
  </si>
  <si>
    <r>
      <t xml:space="preserve">Avez-vous déjà eu une infection sexuellement transmissible (IST) ? </t>
    </r>
    <r>
      <rPr>
        <b/>
        <sz val="14"/>
        <color rgb="FFFF0000"/>
        <rFont val="Calibri"/>
        <family val="2"/>
        <scheme val="minor"/>
      </rPr>
      <t>(non=0, oui=1)</t>
    </r>
  </si>
  <si>
    <r>
      <t>Avez-vous déjà subi une intervention chirurgicale ?</t>
    </r>
    <r>
      <rPr>
        <b/>
        <sz val="14"/>
        <color rgb="FFFF0000"/>
        <rFont val="Calibri"/>
        <family val="2"/>
        <scheme val="minor"/>
      </rPr>
      <t xml:space="preserve"> (non=0, oui=1)</t>
    </r>
  </si>
  <si>
    <r>
      <t xml:space="preserve">Avez-vous eu un reflux gastro-œsophagien (RGO) ou une œsophagite ? </t>
    </r>
    <r>
      <rPr>
        <b/>
        <sz val="14"/>
        <color rgb="FFFF0000"/>
        <rFont val="Calibri"/>
        <family val="2"/>
        <scheme val="minor"/>
      </rPr>
      <t>(non=0, oui=1)</t>
    </r>
  </si>
  <si>
    <r>
      <t xml:space="preserve">Avez-vous eu une hépatite virale A ou B ? </t>
    </r>
    <r>
      <rPr>
        <b/>
        <sz val="14"/>
        <color rgb="FFFF0000"/>
        <rFont val="Calibri"/>
        <family val="2"/>
        <scheme val="minor"/>
      </rPr>
      <t>(non=0, oui=1)</t>
    </r>
  </si>
  <si>
    <r>
      <t xml:space="preserve">Au cours des deux dernières années, avez-vous passé un scanner thoracique ou une radiographie des poumons ? </t>
    </r>
    <r>
      <rPr>
        <b/>
        <sz val="14"/>
        <color rgb="FFFF0000"/>
        <rFont val="Calibri"/>
        <family val="2"/>
        <scheme val="minor"/>
      </rPr>
      <t>(non=0, oui=1)</t>
    </r>
  </si>
  <si>
    <r>
      <t xml:space="preserve">Au cours des deux dernières années, avez-vous passé une IRM de la prostate ? </t>
    </r>
    <r>
      <rPr>
        <b/>
        <sz val="14"/>
        <color rgb="FFFF0000"/>
        <rFont val="Calibri"/>
        <family val="2"/>
        <scheme val="minor"/>
      </rPr>
      <t>(non=0, oui=1)</t>
    </r>
  </si>
  <si>
    <r>
      <t>Au cours des deux dernières années, avez-vous effectué un dépistage du cancer du sein par mammographie ?</t>
    </r>
    <r>
      <rPr>
        <b/>
        <sz val="14"/>
        <color rgb="FFFF0000"/>
        <rFont val="Calibri"/>
        <family val="2"/>
        <scheme val="minor"/>
      </rPr>
      <t xml:space="preserve"> (non=0, oui=1)</t>
    </r>
  </si>
  <si>
    <r>
      <t xml:space="preserve">Au cours des cinq dernières années, avez-vous effectué un dépistage du cancer du col de l’utérus ou été vacciné(e) contre le HPV ? </t>
    </r>
    <r>
      <rPr>
        <b/>
        <sz val="14"/>
        <color rgb="FFFF0000"/>
        <rFont val="Calibri"/>
        <family val="2"/>
        <scheme val="minor"/>
      </rPr>
      <t>(non=0, oui=1)</t>
    </r>
  </si>
  <si>
    <r>
      <t xml:space="preserve">Au cours des deux dernières années, avez-vous réalisé une épreuve d’effort ou un scanner coronaire ? </t>
    </r>
    <r>
      <rPr>
        <b/>
        <sz val="14"/>
        <color rgb="FFFF0000"/>
        <rFont val="Calibri"/>
        <family val="2"/>
        <scheme val="minor"/>
      </rPr>
      <t>(non=0, oui=1)</t>
    </r>
  </si>
  <si>
    <r>
      <t>Au cours des deux dernières années, avez-vous passé un scanner abdominal ou une échographie abdominale ?</t>
    </r>
    <r>
      <rPr>
        <b/>
        <sz val="14"/>
        <color rgb="FFFF0000"/>
        <rFont val="Calibri"/>
        <family val="2"/>
        <scheme val="minor"/>
      </rPr>
      <t xml:space="preserve">  (non=0, oui=1)</t>
    </r>
  </si>
  <si>
    <r>
      <t xml:space="preserve">Au cours des deux dernières années, avez-vous effectué un dépistage du cancer colorectal (coloscopie ou test de sang dans les selles) ? </t>
    </r>
    <r>
      <rPr>
        <b/>
        <sz val="14"/>
        <color rgb="FFFF0000"/>
        <rFont val="Calibri"/>
        <family val="2"/>
        <scheme val="minor"/>
      </rPr>
      <t>(non=0, oui=1)</t>
    </r>
  </si>
  <si>
    <r>
      <t xml:space="preserve">Avez-vous consulté un dentiste au cours des 12 derniers mois ? </t>
    </r>
    <r>
      <rPr>
        <b/>
        <sz val="14"/>
        <color rgb="FFFF0000"/>
        <rFont val="Calibri"/>
        <family val="2"/>
        <scheme val="minor"/>
      </rPr>
      <t>(non=0, oui=1)</t>
    </r>
  </si>
  <si>
    <r>
      <t>Avez-vous réalisé une analyse de sang ou d’urine au cours des 12 derniers mois ?</t>
    </r>
    <r>
      <rPr>
        <b/>
        <sz val="14"/>
        <color rgb="FFFF0000"/>
        <rFont val="Calibri"/>
        <family val="2"/>
        <scheme val="minor"/>
      </rPr>
      <t xml:space="preserve"> (non=0, oui=1)</t>
    </r>
  </si>
  <si>
    <r>
      <t xml:space="preserve">Avez-vous été vacciné(e) contre la grippe cette année ou l’année dernière ? </t>
    </r>
    <r>
      <rPr>
        <b/>
        <sz val="14"/>
        <color rgb="FFFF0000"/>
        <rFont val="Calibri"/>
        <family val="2"/>
        <scheme val="minor"/>
      </rPr>
      <t>(non=0, oui=1)</t>
    </r>
  </si>
  <si>
    <r>
      <t xml:space="preserve">Avez-vous reçu le vaccin contre le zona ? </t>
    </r>
    <r>
      <rPr>
        <b/>
        <sz val="14"/>
        <color rgb="FFFF0000"/>
        <rFont val="Calibri"/>
        <family val="2"/>
        <scheme val="minor"/>
      </rPr>
      <t xml:space="preserve"> (oui=1, non=0, ne sais pas=2)</t>
    </r>
  </si>
  <si>
    <r>
      <t xml:space="preserve">Êtes-vous à jour dans vos vaccinations et rappels contre le tétanos (un rappel est recommandé tous les 10 ans) ?  </t>
    </r>
    <r>
      <rPr>
        <b/>
        <sz val="14"/>
        <color rgb="FFFF0000"/>
        <rFont val="Calibri"/>
        <family val="2"/>
        <scheme val="minor"/>
      </rPr>
      <t>(oui=1, non=0, ne sais pas=2</t>
    </r>
    <r>
      <rPr>
        <b/>
        <sz val="14"/>
        <rFont val="Calibri"/>
        <family val="2"/>
        <scheme val="minor"/>
      </rPr>
      <t>)</t>
    </r>
  </si>
  <si>
    <r>
      <t>Avez-vous consulté un gynécologue ou un urologue au cours des 12 derniers mois ?</t>
    </r>
    <r>
      <rPr>
        <b/>
        <sz val="14"/>
        <color rgb="FFFF0000"/>
        <rFont val="Calibri"/>
        <family val="2"/>
        <scheme val="minor"/>
      </rPr>
      <t xml:space="preserve"> (non=0, oui=1)</t>
    </r>
  </si>
  <si>
    <r>
      <t xml:space="preserve">Avez-vous été vacciné(e) contre l’hépatite B ? </t>
    </r>
    <r>
      <rPr>
        <b/>
        <sz val="14"/>
        <color rgb="FFFF0000"/>
        <rFont val="Calibri"/>
        <family val="2"/>
        <scheme val="minor"/>
      </rPr>
      <t xml:space="preserve"> (oui=1, non=0, ne sais pas=2)</t>
    </r>
  </si>
  <si>
    <r>
      <t xml:space="preserve">Etes vous vacciné contre la COVID 19 l'an dernier ? </t>
    </r>
    <r>
      <rPr>
        <b/>
        <sz val="14"/>
        <color rgb="FFFF0000"/>
        <rFont val="Calibri"/>
        <family val="2"/>
        <scheme val="minor"/>
      </rPr>
      <t xml:space="preserve"> (oui=1, non=0)</t>
    </r>
  </si>
  <si>
    <r>
      <t xml:space="preserve">Fumez-vous des cigarettes, des cigares ou la pipe ?
</t>
    </r>
    <r>
      <rPr>
        <b/>
        <sz val="14"/>
        <color rgb="FFFF0000"/>
        <rFont val="Calibri"/>
        <family val="2"/>
        <scheme val="minor"/>
      </rPr>
      <t>(Non-fumeur·se "0" // Fumeur·se actuel·le ou ancien·ne  fumeur·se depuis moins de 5 ans "1" // Ancien·ne fumeur·se depuis plus de 5 ans "0")</t>
    </r>
  </si>
  <si>
    <r>
      <t xml:space="preserve">Avez-vous déjà exercé un métier exposé à des risques professionnels (par exemple : production de teintures, pigments, caoutchouc, plastiques, câbles, encres, explosifs, aluminium, médicaments, engrais ou pesticides ; substances radioactives ou rayonnements ionisants ; laboratoires d’analyses médicales, de radiologie ou de médecine nucléaire ; sidérurgie, cokerie, fonderie, industrie textile ou verrière ; ramonage ; manipulation d’huiles usées ou de solvants) ? </t>
    </r>
    <r>
      <rPr>
        <b/>
        <sz val="14"/>
        <color rgb="FFFF0000"/>
        <rFont val="Calibri"/>
        <family val="2"/>
        <scheme val="minor"/>
      </rPr>
      <t>(non=0, oui=1)</t>
    </r>
  </si>
  <si>
    <r>
      <t xml:space="preserve">Votre logement est-il humide ou affecté par des moisissures ? </t>
    </r>
    <r>
      <rPr>
        <b/>
        <sz val="14"/>
        <color rgb="FFFF0000"/>
        <rFont val="Calibri"/>
        <family val="2"/>
        <scheme val="minor"/>
      </rPr>
      <t>(non=0, oui=1)</t>
    </r>
  </si>
  <si>
    <r>
      <t xml:space="preserve">Prenez-vous de la vitamine D régulièrement ou pendant l’hiver ? </t>
    </r>
    <r>
      <rPr>
        <b/>
        <sz val="14"/>
        <color rgb="FFFF0000"/>
        <rFont val="Calibri"/>
        <family val="2"/>
        <scheme val="minor"/>
      </rPr>
      <t>(non=0, oui=1)</t>
    </r>
  </si>
  <si>
    <r>
      <t>Suivez-vous un régime végan ? (Exclut tous les produits d’origine animale : pas de viande, poisson, produits laitiers, œufs, ni miel)</t>
    </r>
    <r>
      <rPr>
        <b/>
        <sz val="14"/>
        <color rgb="FFFF0000"/>
        <rFont val="Calibri"/>
        <family val="2"/>
        <scheme val="minor"/>
      </rPr>
      <t xml:space="preserve"> (non=0, oui=1)</t>
    </r>
  </si>
  <si>
    <r>
      <t>Avez-vous la peau très claire qui bronze difficilement ou qui présente facilement des taches de rousseur ?</t>
    </r>
    <r>
      <rPr>
        <b/>
        <sz val="14"/>
        <color rgb="FFFF0000"/>
        <rFont val="Calibri"/>
        <family val="2"/>
        <scheme val="minor"/>
      </rPr>
      <t xml:space="preserve"> (non=0, oui=1)</t>
    </r>
  </si>
  <si>
    <r>
      <t xml:space="preserve">Avez-vous déjà eu des coups de soleil sévères avec cloques douloureuses ? </t>
    </r>
    <r>
      <rPr>
        <b/>
        <sz val="14"/>
        <color rgb="FFFF0000"/>
        <rFont val="Calibri"/>
        <family val="2"/>
        <scheme val="minor"/>
      </rPr>
      <t>(non=0, oui=1)</t>
    </r>
  </si>
  <si>
    <r>
      <t>Avez-vous plus de 20 grains de beauté au total sur les bras ?</t>
    </r>
    <r>
      <rPr>
        <b/>
        <sz val="14"/>
        <color rgb="FFFF0000"/>
        <rFont val="Calibri"/>
        <family val="2"/>
        <scheme val="minor"/>
      </rPr>
      <t xml:space="preserve"> (non=0, oui=1)</t>
    </r>
  </si>
  <si>
    <r>
      <t xml:space="preserve">Avez-vous vécu plus d’un an dans un pays fortement ensoleillé ? (ex. : Afrique, Moyen-Orient, DOM-TOM, sud des États-Unis, Australie, etc.) </t>
    </r>
    <r>
      <rPr>
        <b/>
        <sz val="14"/>
        <color rgb="FFFF0000"/>
        <rFont val="Calibri"/>
        <family val="2"/>
        <scheme val="minor"/>
      </rPr>
      <t>(non=0, oui=1)</t>
    </r>
  </si>
  <si>
    <r>
      <t>Votre partenaire sexuel·le a-t-il/elle été diagnostiqué·e avec une infection sexuellement transmissible (par exemple : VIH, chlamydia, gonorrhée, syphilis) au cours des 12 derniers mois ?</t>
    </r>
    <r>
      <rPr>
        <b/>
        <sz val="14"/>
        <color rgb="FFFF0000"/>
        <rFont val="Calibri"/>
        <family val="2"/>
        <scheme val="minor"/>
      </rPr>
      <t xml:space="preserve"> (non=0, oui=1)</t>
    </r>
  </si>
  <si>
    <r>
      <t xml:space="preserve">Avez-vous eu plus d’un·e partenaire sexuel·le au cours des 12 derniers mois ? </t>
    </r>
    <r>
      <rPr>
        <b/>
        <sz val="14"/>
        <color rgb="FFFF0000"/>
        <rFont val="Calibri"/>
        <family val="2"/>
        <scheme val="minor"/>
      </rPr>
      <t>(non=0, oui=1)</t>
    </r>
  </si>
  <si>
    <r>
      <t>Souhaitez-vous aborder votre sexualité ?</t>
    </r>
    <r>
      <rPr>
        <b/>
        <sz val="14"/>
        <color rgb="FFFF0000"/>
        <rFont val="Calibri"/>
        <family val="2"/>
        <scheme val="minor"/>
      </rPr>
      <t xml:space="preserve"> (non=0, oui=1)</t>
    </r>
  </si>
  <si>
    <r>
      <t>Au cours des 12 derniers mois, avez-vous misé de l’argent dans des jeux d’argent (par ex. : loto, poker, paris sportifs, courses hippiques) ?</t>
    </r>
    <r>
      <rPr>
        <b/>
        <sz val="14"/>
        <color rgb="FFFF0000"/>
        <rFont val="Calibri"/>
        <family val="2"/>
        <scheme val="minor"/>
      </rPr>
      <t xml:space="preserve"> (non=0, oui=1)</t>
    </r>
  </si>
  <si>
    <r>
      <t>Au cours des 12 derniers mois, avez-vous consommé des substances récréatives telles que du cannabis (haschisch, marijuana, weed, joints) ou d’autres drogues (par ex. : ecstasy, cocaïne, héroïne) ?</t>
    </r>
    <r>
      <rPr>
        <b/>
        <sz val="14"/>
        <color rgb="FFFF0000"/>
        <rFont val="Calibri"/>
        <family val="2"/>
        <scheme val="minor"/>
      </rPr>
      <t xml:space="preserve"> (non=0, oui=1)</t>
    </r>
  </si>
  <si>
    <r>
      <t xml:space="preserve">Consommez-vous régulièrement au moins cinq portions de fruits et légumes par jour ? (Exemples : 1 tomate, 1 poignée de haricots verts, 1 bol de soupe, 2 abricots, 5 fraises) </t>
    </r>
    <r>
      <rPr>
        <b/>
        <sz val="14"/>
        <color rgb="FFFF0000"/>
        <rFont val="Calibri"/>
        <family val="2"/>
        <scheme val="minor"/>
      </rPr>
      <t>(non=0, oui=1)</t>
    </r>
  </si>
  <si>
    <r>
      <t xml:space="preserve">Pratiquez-vous une activité physique (par ex. : sport, marche rapide) pendant plus de 30 minutes, plus de deux fois par semaine, ou bien marchez-vous en moyenne plus de 8 000 pas par jour ? </t>
    </r>
    <r>
      <rPr>
        <b/>
        <sz val="14"/>
        <color rgb="FFFF0000"/>
        <rFont val="Calibri"/>
        <family val="2"/>
        <scheme val="minor"/>
      </rPr>
      <t>(non=0, oui=1)</t>
    </r>
  </si>
  <si>
    <r>
      <t xml:space="preserve">Consommez-vous régulièrement plus d’un demi verre de vin ou plus de deux bières par jour ? </t>
    </r>
    <r>
      <rPr>
        <b/>
        <sz val="14"/>
        <color rgb="FFFF0000"/>
        <rFont val="Calibri"/>
        <family val="2"/>
        <scheme val="minor"/>
      </rPr>
      <t>(non=0, oui=1)</t>
    </r>
  </si>
  <si>
    <r>
      <t xml:space="preserve">Suivez-vous actuellement un traitement médical, y compris des compléments alimentaires, des médicaments en vente libre ou des remèdes à base de plantes ? </t>
    </r>
    <r>
      <rPr>
        <b/>
        <sz val="14"/>
        <color rgb="FFFF0000"/>
        <rFont val="Calibri"/>
        <family val="2"/>
        <scheme val="minor"/>
      </rPr>
      <t>(non=0, oui=1)</t>
    </r>
  </si>
  <si>
    <r>
      <t xml:space="preserve">Prenez-vous un traitement pour le diabète ? </t>
    </r>
    <r>
      <rPr>
        <b/>
        <sz val="14"/>
        <color rgb="FFFF0000"/>
        <rFont val="Calibri"/>
        <family val="2"/>
        <scheme val="minor"/>
      </rPr>
      <t>(non=0, oui=1)</t>
    </r>
  </si>
  <si>
    <r>
      <t xml:space="preserve">Prenez-vous un traitement pour faire baisser votre cholestérol ? </t>
    </r>
    <r>
      <rPr>
        <b/>
        <sz val="14"/>
        <color rgb="FFFF0000"/>
        <rFont val="Calibri"/>
        <family val="2"/>
        <scheme val="minor"/>
      </rPr>
      <t>(non=0, oui=1)</t>
    </r>
  </si>
  <si>
    <r>
      <t>Prenez-vous un traitement pour prévenir les caillots sanguins (par exemple : aspirine, anticoagulants) ?</t>
    </r>
    <r>
      <rPr>
        <b/>
        <sz val="14"/>
        <color rgb="FFFF0000"/>
        <rFont val="Calibri"/>
        <family val="2"/>
        <scheme val="minor"/>
      </rPr>
      <t xml:space="preserve"> (non=0, oui=1)</t>
    </r>
  </si>
  <si>
    <r>
      <t xml:space="preserve">Prenez-vous un traitement pour faire baisser votre tension artérielle ? </t>
    </r>
    <r>
      <rPr>
        <b/>
        <sz val="14"/>
        <color rgb="FFFF0000"/>
        <rFont val="Calibri"/>
        <family val="2"/>
        <scheme val="minor"/>
      </rPr>
      <t>(non=0, oui=1)</t>
    </r>
  </si>
  <si>
    <r>
      <t>Prenez-vous un traitement pour améliorer les troubles de l’érection (inhibiteurs de la PDE5) ?</t>
    </r>
    <r>
      <rPr>
        <b/>
        <sz val="14"/>
        <color rgb="FFFF0000"/>
        <rFont val="Calibri"/>
        <family val="2"/>
        <scheme val="minor"/>
      </rPr>
      <t xml:space="preserve"> (non=0, oui=1)</t>
    </r>
  </si>
  <si>
    <r>
      <t>Utilisez-vous une contraception hormonale (par exemple : pilule contraceptive) ?</t>
    </r>
    <r>
      <rPr>
        <b/>
        <sz val="14"/>
        <color rgb="FFFF0000"/>
        <rFont val="Calibri"/>
        <family val="2"/>
        <scheme val="minor"/>
      </rPr>
      <t xml:space="preserve"> (non=0, oui=1)</t>
    </r>
  </si>
  <si>
    <r>
      <t xml:space="preserve">Prenez-vous un traitement hormonal substitutif pour la ménopause ou l’andropause ? </t>
    </r>
    <r>
      <rPr>
        <b/>
        <sz val="14"/>
        <color rgb="FFFF0000"/>
        <rFont val="Calibri"/>
        <family val="2"/>
        <scheme val="minor"/>
      </rPr>
      <t>(non=0, oui=1)</t>
    </r>
  </si>
  <si>
    <r>
      <t>Prenez-vous l’un des médicaments suivants : Dutastéride ou Finastéride (5-ARI) ?</t>
    </r>
    <r>
      <rPr>
        <b/>
        <sz val="14"/>
        <color rgb="FFFF0000"/>
        <rFont val="Calibri"/>
        <family val="2"/>
        <scheme val="minor"/>
      </rPr>
      <t xml:space="preserve"> (non=0, oui=1)</t>
    </r>
  </si>
  <si>
    <r>
      <t xml:space="preserve">Avez-vous un parent (mère, père, sœur, frère) qui a eu une dégénérescence maculaire liée à l'âge ? </t>
    </r>
    <r>
      <rPr>
        <b/>
        <sz val="14"/>
        <color rgb="FFFF0000"/>
        <rFont val="Calibri"/>
        <family val="2"/>
        <scheme val="minor"/>
      </rPr>
      <t>(non=0, oui=1, ne sais pas=2)</t>
    </r>
  </si>
  <si>
    <r>
      <t xml:space="preserve">Avez-vous un parent (mère, père, sœur, frère) qui a eu une dépression  grave (traitement psychiatrique) ? </t>
    </r>
    <r>
      <rPr>
        <b/>
        <sz val="14"/>
        <color rgb="FFFF0000"/>
        <rFont val="Calibri"/>
        <family val="2"/>
        <scheme val="minor"/>
      </rPr>
      <t>(non=0, oui=1, ne sais pas=2)</t>
    </r>
  </si>
  <si>
    <r>
      <t xml:space="preserve">Avez-vous un parent (mère, père, sœur, frère) qui a eu un rhumatisme inflamatoire (polyarthrite ou spondylarthrite) ?  </t>
    </r>
    <r>
      <rPr>
        <b/>
        <sz val="14"/>
        <color rgb="FFFF0000"/>
        <rFont val="Calibri"/>
        <family val="2"/>
        <scheme val="minor"/>
      </rPr>
      <t>(non=0, oui=1, ne sais pas=2)</t>
    </r>
  </si>
  <si>
    <r>
      <t xml:space="preserve">Un membre de votre famille proche (mère, père, sœur, frère biologiques) a-t-il eu une maladie respiratoire (comme l’asthme ou la BPCO) ou des allergies respiratoires, telles qu’une pollinose (par exemple le rhume des foins) ?  </t>
    </r>
    <r>
      <rPr>
        <b/>
        <sz val="14"/>
        <color rgb="FFFF0000"/>
        <rFont val="Calibri"/>
        <family val="2"/>
        <scheme val="minor"/>
      </rPr>
      <t>(non=0, oui=1, ne sais pas=2)</t>
    </r>
  </si>
  <si>
    <r>
      <t xml:space="preserve">Avez-vous une mère ou sœur, frère) qui a eu une endometriose ou un syndrome des ovaires polykystiques ?  </t>
    </r>
    <r>
      <rPr>
        <b/>
        <sz val="14"/>
        <color rgb="FFFF0000"/>
        <rFont val="Calibri"/>
        <family val="2"/>
        <scheme val="minor"/>
      </rPr>
      <t>(non=0, oui=1, ne sais pas=2)</t>
    </r>
  </si>
  <si>
    <r>
      <t xml:space="preserve">Avez-vous un parent (mère, père, sœur, frère) qui a eu une une dyslipidémie (cholestérol ou triglycérides) ?  </t>
    </r>
    <r>
      <rPr>
        <b/>
        <sz val="14"/>
        <color rgb="FFFF0000"/>
        <rFont val="Calibri"/>
        <family val="2"/>
        <scheme val="minor"/>
      </rPr>
      <t>(non=0, oui=1, ne sais pas=2)</t>
    </r>
  </si>
  <si>
    <r>
      <t xml:space="preserve">Avez-vous un parent (mère, père, sœur, frère) qui a eu un diabète avant 70 ans ? </t>
    </r>
    <r>
      <rPr>
        <b/>
        <sz val="14"/>
        <color rgb="FFFF0000"/>
        <rFont val="Calibri"/>
        <family val="2"/>
        <scheme val="minor"/>
      </rPr>
      <t xml:space="preserve"> (non=0, oui=1, ne sais pas=2)</t>
    </r>
  </si>
  <si>
    <r>
      <t xml:space="preserve">Avez-vous un parent (mère, père, sœur, frère) qui a eu une phlébite ou une embolie pulmonaire ? </t>
    </r>
    <r>
      <rPr>
        <b/>
        <sz val="14"/>
        <color rgb="FFFF0000"/>
        <rFont val="Calibri"/>
        <family val="2"/>
        <scheme val="minor"/>
      </rPr>
      <t xml:space="preserve"> (non=0, oui=1, ne sais pas=2)</t>
    </r>
  </si>
  <si>
    <r>
      <t xml:space="preserve">Avez-vous un parent (mère, père, sœur, frère) qui a eu un ou des calcul(s) urinaires ? </t>
    </r>
    <r>
      <rPr>
        <b/>
        <sz val="14"/>
        <color rgb="FFFF0000"/>
        <rFont val="Calibri"/>
        <family val="2"/>
        <scheme val="minor"/>
      </rPr>
      <t xml:space="preserve"> (non=0, oui=1, ne sais pas=2)</t>
    </r>
  </si>
  <si>
    <r>
      <t xml:space="preserve">Avez-vous un parent (mère, père, sœur, frère) qui a eu des troubles du rythme cardiaque (arythmie) ?  </t>
    </r>
    <r>
      <rPr>
        <b/>
        <sz val="14"/>
        <color rgb="FFFF0000"/>
        <rFont val="Calibri"/>
        <family val="2"/>
        <scheme val="minor"/>
      </rPr>
      <t>(non=0, oui=1, ne sais pas=2)</t>
    </r>
  </si>
  <si>
    <r>
      <t xml:space="preserve">Avez-vous un parent (mère, père, sœur, frère) qui a eu un infarctus ou un accident vasculaire avant 75 ans ?  </t>
    </r>
    <r>
      <rPr>
        <b/>
        <sz val="14"/>
        <color rgb="FFFF0000"/>
        <rFont val="Calibri"/>
        <family val="2"/>
        <scheme val="minor"/>
      </rPr>
      <t>(non=0, oui=1, ne sais pas=2)</t>
    </r>
  </si>
  <si>
    <r>
      <t xml:space="preserve">Avez-vous un parent (mère, père, sœur, frère) qui a eu un ou des calcul(s) de la vésicule biliaire ou une ablation de la vésicule biliaire ? </t>
    </r>
    <r>
      <rPr>
        <b/>
        <sz val="14"/>
        <color rgb="FFFF0000"/>
        <rFont val="Calibri"/>
        <family val="2"/>
        <scheme val="minor"/>
      </rPr>
      <t xml:space="preserve">  (non=0, oui=1, ne sais pas=2)</t>
    </r>
  </si>
  <si>
    <r>
      <t xml:space="preserve">Combien de soeur(s) ou frére(s) ont eu un cancer du colon ? </t>
    </r>
    <r>
      <rPr>
        <b/>
        <sz val="14"/>
        <color rgb="FFFF0000"/>
        <rFont val="Calibri"/>
        <family val="2"/>
        <scheme val="minor"/>
      </rPr>
      <t>(0=0, 1=1, 2=2ou plus)</t>
    </r>
  </si>
  <si>
    <r>
      <t xml:space="preserve">Combien de soeur(s) ou frére(s) ont eu un cancer du rein ? </t>
    </r>
    <r>
      <rPr>
        <b/>
        <sz val="14"/>
        <color rgb="FFFF0000"/>
        <rFont val="Calibri"/>
        <family val="2"/>
        <scheme val="minor"/>
      </rPr>
      <t>(0=0, 1=1, 2=2ou plus)</t>
    </r>
  </si>
  <si>
    <r>
      <t xml:space="preserve">Combien de soeur(s) ou frére(s) ont eu un mélanome ? </t>
    </r>
    <r>
      <rPr>
        <b/>
        <sz val="14"/>
        <color rgb="FFFF0000"/>
        <rFont val="Calibri"/>
        <family val="2"/>
        <scheme val="minor"/>
      </rPr>
      <t>(0=0, 1=1, 2=2ou plus)</t>
    </r>
  </si>
  <si>
    <r>
      <t>Combien de soeur(s) ou frére(s) ont eu un cancer du sein ou de sœurs un cancer de l'ovaire ou de l'utérus ?</t>
    </r>
    <r>
      <rPr>
        <b/>
        <sz val="14"/>
        <color rgb="FFFF0000"/>
        <rFont val="Calibri"/>
        <family val="2"/>
        <scheme val="minor"/>
      </rPr>
      <t xml:space="preserve"> (0=0, 1=1, 2=2ou plus)</t>
    </r>
  </si>
  <si>
    <r>
      <t xml:space="preserve">Combien de frére(s) ont eu un cancer de la prostate ? </t>
    </r>
    <r>
      <rPr>
        <b/>
        <sz val="14"/>
        <color rgb="FFFF0000"/>
        <rFont val="Calibri"/>
        <family val="2"/>
        <scheme val="minor"/>
      </rPr>
      <t>(0=0, 1=1, 2=2ou plus)</t>
    </r>
  </si>
  <si>
    <r>
      <t>Combien de fréres et sœurs ont eu un cancer ?</t>
    </r>
    <r>
      <rPr>
        <b/>
        <sz val="14"/>
        <color rgb="FFFF0000"/>
        <rFont val="Calibri"/>
        <family val="2"/>
        <scheme val="minor"/>
      </rPr>
      <t xml:space="preserve">  (0=0, 1=1, 2=2ou plus)</t>
    </r>
  </si>
  <si>
    <r>
      <t xml:space="preserve">Combien de fréres et sœurs de plus de 35 ans avez-vous ? </t>
    </r>
    <r>
      <rPr>
        <b/>
        <sz val="14"/>
        <color rgb="FFFF0000"/>
        <rFont val="Calibri"/>
        <family val="2"/>
        <scheme val="minor"/>
      </rPr>
      <t>(0=0, 1=1, 2=2ou plus)</t>
    </r>
  </si>
  <si>
    <r>
      <t xml:space="preserve">Votre père ou votre mére ont-ils eu un cancer du rein avant l'âge de 50 ans ? </t>
    </r>
    <r>
      <rPr>
        <b/>
        <sz val="14"/>
        <color rgb="FFFF0000"/>
        <rFont val="Calibri"/>
        <family val="2"/>
        <scheme val="minor"/>
      </rPr>
      <t xml:space="preserve"> (non=0, oui=1)</t>
    </r>
  </si>
  <si>
    <r>
      <t xml:space="preserve">Votre mére a-t-elle eu un cancer du sein, de l'utérus ou des ovaires avant l'âge de 50 ans ? </t>
    </r>
    <r>
      <rPr>
        <b/>
        <sz val="14"/>
        <color rgb="FFFF0000"/>
        <rFont val="Calibri"/>
        <family val="2"/>
        <scheme val="minor"/>
      </rPr>
      <t xml:space="preserve"> (non=0, oui=1)</t>
    </r>
  </si>
  <si>
    <r>
      <t>Votre père ou votre mère  ont-il eu un mélanome ?</t>
    </r>
    <r>
      <rPr>
        <b/>
        <sz val="14"/>
        <color rgb="FFFF0000"/>
        <rFont val="Calibri"/>
        <family val="2"/>
        <scheme val="minor"/>
      </rPr>
      <t xml:space="preserve"> (non=0, oui=1)</t>
    </r>
  </si>
  <si>
    <r>
      <t>Votre père ou votre mère  ont-il eu un cancer du colon avant l'âge de 70 ans ?</t>
    </r>
    <r>
      <rPr>
        <b/>
        <sz val="14"/>
        <color rgb="FFFF0000"/>
        <rFont val="Calibri"/>
        <family val="2"/>
        <scheme val="minor"/>
      </rPr>
      <t xml:space="preserve"> (non=0, oui=1)</t>
    </r>
  </si>
  <si>
    <r>
      <t xml:space="preserve">Votre père a-t-il eu un cancer de la prostate avant l'âge de 70 ans ? </t>
    </r>
    <r>
      <rPr>
        <b/>
        <sz val="14"/>
        <color rgb="FFFF0000"/>
        <rFont val="Calibri"/>
        <family val="2"/>
        <scheme val="minor"/>
      </rPr>
      <t>(non=0, oui=1)</t>
    </r>
  </si>
  <si>
    <r>
      <t xml:space="preserve">Votre père  il eu un cancer ? </t>
    </r>
    <r>
      <rPr>
        <b/>
        <sz val="14"/>
        <color rgb="FFFF0000"/>
        <rFont val="Calibri"/>
        <family val="2"/>
        <scheme val="minor"/>
      </rPr>
      <t>(non=0, oui=1, ne sais pas=2)</t>
    </r>
  </si>
  <si>
    <r>
      <t xml:space="preserve">Votre mère a t elle eu un cancer ? </t>
    </r>
    <r>
      <rPr>
        <b/>
        <sz val="14"/>
        <color rgb="FFFF0000"/>
        <rFont val="Calibri"/>
        <family val="2"/>
        <scheme val="minor"/>
      </rPr>
      <t>(non=0, oui=1, ne sais pas=2)</t>
    </r>
  </si>
  <si>
    <r>
      <t xml:space="preserve">Prenez-vous un traitement pour un trouble de la thyroïde ? </t>
    </r>
    <r>
      <rPr>
        <b/>
        <sz val="14"/>
        <color rgb="FFFF0000"/>
        <rFont val="Calibri"/>
        <family val="2"/>
        <scheme val="minor"/>
      </rPr>
      <t>(non=0, oui=1)</t>
    </r>
  </si>
  <si>
    <r>
      <t xml:space="preserve">Avez-vous suivi un traitement par corticoïdes pendant plus de trois mois ? </t>
    </r>
    <r>
      <rPr>
        <b/>
        <sz val="14"/>
        <color rgb="FFFF0000"/>
        <rFont val="Calibri"/>
        <family val="2"/>
        <scheme val="minor"/>
      </rPr>
      <t>(non=0, oui=1)</t>
    </r>
  </si>
  <si>
    <r>
      <t>Prenez-vous un traitement contre l’anxiété ou la dépression ?</t>
    </r>
    <r>
      <rPr>
        <b/>
        <sz val="14"/>
        <color rgb="FFFF0000"/>
        <rFont val="Calibri"/>
        <family val="2"/>
        <scheme val="minor"/>
      </rPr>
      <t xml:space="preserve"> (non=0, oui=1)</t>
    </r>
  </si>
  <si>
    <r>
      <t xml:space="preserve">Prenez-vous un traitement qui diminue l’activité du système immunitaire (dans le cas de maladies auto-immunes ou de transplantation d’organe) ? </t>
    </r>
    <r>
      <rPr>
        <b/>
        <sz val="14"/>
        <color rgb="FFFF0000"/>
        <rFont val="Calibri"/>
        <family val="2"/>
        <scheme val="minor"/>
      </rPr>
      <t>(non=0, oui=1)</t>
    </r>
  </si>
  <si>
    <r>
      <t>Prenez-vous un traitement pour les troubles du rythme cardiaque (arythmie) ?</t>
    </r>
    <r>
      <rPr>
        <b/>
        <sz val="14"/>
        <color rgb="FFFF0000"/>
        <rFont val="Calibri"/>
        <family val="2"/>
        <scheme val="minor"/>
      </rPr>
      <t xml:space="preserve"> (non=0, oui=1)</t>
    </r>
  </si>
  <si>
    <r>
      <t xml:space="preserve">Combien d'heures en moyenne dormez vous : </t>
    </r>
    <r>
      <rPr>
        <b/>
        <sz val="14"/>
        <color rgb="FFFF0000"/>
        <rFont val="Calibri"/>
        <family val="2"/>
        <scheme val="minor"/>
      </rPr>
      <t>0- 10h ou plus par nuit
1- Entre 6h et 10h par nuit
2-  Moins de 6h par nuit</t>
    </r>
  </si>
  <si>
    <r>
      <t xml:space="preserve">Vous endormez-vous facilement devant la télévision ou lors d’un spectacle ? </t>
    </r>
    <r>
      <rPr>
        <b/>
        <sz val="14"/>
        <color rgb="FFFF0000"/>
        <rFont val="Calibri"/>
        <family val="2"/>
        <scheme val="minor"/>
      </rPr>
      <t>(non=0, oui=1)</t>
    </r>
  </si>
  <si>
    <r>
      <t xml:space="preserve">Avez-vous tendance à somnoler dans la journée, même pendant des activités quotidiennes ? </t>
    </r>
    <r>
      <rPr>
        <b/>
        <sz val="14"/>
        <color rgb="FFFF0000"/>
        <rFont val="Calibri"/>
        <family val="2"/>
        <scheme val="minor"/>
      </rPr>
      <t xml:space="preserve"> (non=0, oui=1)</t>
    </r>
  </si>
  <si>
    <r>
      <t xml:space="preserve">Vous sentiez-vous fatigué·e ou sans énergie au réveil ? </t>
    </r>
    <r>
      <rPr>
        <b/>
        <sz val="14"/>
        <color rgb="FFFF0000"/>
        <rFont val="Calibri"/>
        <family val="2"/>
        <scheme val="minor"/>
      </rPr>
      <t>(non=0, oui=1)</t>
    </r>
  </si>
  <si>
    <r>
      <t xml:space="preserve">Avez-vous tendance à ronfler ? </t>
    </r>
    <r>
      <rPr>
        <b/>
        <sz val="14"/>
        <color rgb="FFFF0000"/>
        <rFont val="Calibri"/>
        <family val="2"/>
        <scheme val="minor"/>
      </rPr>
      <t xml:space="preserve"> (non=0, oui=1)</t>
    </r>
  </si>
  <si>
    <r>
      <t xml:space="preserve">Vous réveillez-vous fréquemment ou avez-vous un sommeil agité ?  </t>
    </r>
    <r>
      <rPr>
        <b/>
        <sz val="14"/>
        <color rgb="FFFF0000"/>
        <rFont val="Calibri"/>
        <family val="2"/>
        <scheme val="minor"/>
      </rPr>
      <t>(non=0, oui=1)</t>
    </r>
  </si>
  <si>
    <r>
      <t xml:space="preserve">Vous endormez-vous souvent après le dîner ?  </t>
    </r>
    <r>
      <rPr>
        <b/>
        <sz val="14"/>
        <color rgb="FFFF0000"/>
        <rFont val="Calibri"/>
        <family val="2"/>
        <scheme val="minor"/>
      </rPr>
      <t>(non=0, oui=1)</t>
    </r>
  </si>
  <si>
    <r>
      <t xml:space="preserve">Prenez-vous régulièrement (plusieurs fois par semaine) des somnifères ?  </t>
    </r>
    <r>
      <rPr>
        <b/>
        <sz val="14"/>
        <color rgb="FFFF0000"/>
        <rFont val="Calibri"/>
        <family val="2"/>
        <scheme val="minor"/>
      </rPr>
      <t>(non=0, oui=1)</t>
    </r>
  </si>
  <si>
    <r>
      <t xml:space="preserve">Diriez-vous que vous avez des troubles du sommeil ? </t>
    </r>
    <r>
      <rPr>
        <b/>
        <sz val="14"/>
        <color rgb="FFFF0000"/>
        <rFont val="Calibri"/>
        <family val="2"/>
        <scheme val="minor"/>
      </rPr>
      <t xml:space="preserve"> (non=0, oui=1)</t>
    </r>
  </si>
  <si>
    <r>
      <t xml:space="preserve">Votre poids a-t-il changé (perte ou prise de poids) au cours des six derniers mois ?  </t>
    </r>
    <r>
      <rPr>
        <b/>
        <sz val="14"/>
        <color rgb="FFFF0000"/>
        <rFont val="Calibri"/>
        <family val="2"/>
        <scheme val="minor"/>
      </rPr>
      <t>(non=0, oui=1)</t>
    </r>
  </si>
  <si>
    <r>
      <t xml:space="preserve">Devez-vous vous arrêter parce que vous êtes essoufflé(e) lorsque vous montez trois étages ou moins ?  </t>
    </r>
    <r>
      <rPr>
        <b/>
        <sz val="14"/>
        <color rgb="FFFF0000"/>
        <rFont val="Calibri"/>
        <family val="2"/>
        <scheme val="minor"/>
      </rPr>
      <t>(non=0, oui=1)</t>
    </r>
  </si>
  <si>
    <r>
      <t xml:space="preserve">Toussez-vous souvent (tous les jours) ? </t>
    </r>
    <r>
      <rPr>
        <b/>
        <sz val="14"/>
        <color rgb="FFFF0000"/>
        <rFont val="Calibri"/>
        <family val="2"/>
        <scheme val="minor"/>
      </rPr>
      <t xml:space="preserve"> (non=0, oui=1)</t>
    </r>
  </si>
  <si>
    <r>
      <t xml:space="preserve">Avez-vous l’impression de voir moins bien (difficultés pour lire, pour voir de loin…) ?  </t>
    </r>
    <r>
      <rPr>
        <b/>
        <sz val="14"/>
        <color rgb="FFFF0000"/>
        <rFont val="Calibri"/>
        <family val="2"/>
        <scheme val="minor"/>
      </rPr>
      <t>(non=0, oui=1)</t>
    </r>
  </si>
  <si>
    <r>
      <t xml:space="preserve">Avez-vous l’impression que votre audition s’est détériorée et/ou votre entourage a-t-il remarqué une baisse de votre audition ?  </t>
    </r>
    <r>
      <rPr>
        <b/>
        <sz val="14"/>
        <color rgb="FFFF0000"/>
        <rFont val="Calibri"/>
        <family val="2"/>
        <scheme val="minor"/>
      </rPr>
      <t>(non=0, oui=1)</t>
    </r>
  </si>
  <si>
    <r>
      <t xml:space="preserve">Avez-vous des bouffées de chaleur ou des sueurs nocturnes ? </t>
    </r>
    <r>
      <rPr>
        <b/>
        <sz val="14"/>
        <color rgb="FFFF0000"/>
        <rFont val="Calibri"/>
        <family val="2"/>
        <scheme val="minor"/>
      </rPr>
      <t xml:space="preserve"> (non=0, oui=1)</t>
    </r>
  </si>
  <si>
    <r>
      <t xml:space="preserve">Avez-vous l’impression d’oublier des choses ? </t>
    </r>
    <r>
      <rPr>
        <b/>
        <sz val="14"/>
        <color rgb="FFFF0000"/>
        <rFont val="Calibri"/>
        <family val="2"/>
        <scheme val="minor"/>
      </rPr>
      <t xml:space="preserve"> (non=0, oui=1)</t>
    </r>
  </si>
  <si>
    <r>
      <t xml:space="preserve">Avez-vous remarqué un gonflement important ou inhabituel des chevilles ou des jambes ? </t>
    </r>
    <r>
      <rPr>
        <b/>
        <sz val="14"/>
        <color rgb="FFFF0000"/>
        <rFont val="Calibri"/>
        <family val="2"/>
        <scheme val="minor"/>
      </rPr>
      <t xml:space="preserve"> (non=0, oui=1)</t>
    </r>
  </si>
  <si>
    <r>
      <t xml:space="preserve">Au cours des 12 derniers mois, avez-vous eu des douleurs, raideurs ou gênes au niveau du cou, du dos, des épaules ou des mains qui affectent votre vie quotidienne ?  </t>
    </r>
    <r>
      <rPr>
        <b/>
        <sz val="14"/>
        <color rgb="FFFF0000"/>
        <rFont val="Calibri"/>
        <family val="2"/>
        <scheme val="minor"/>
      </rPr>
      <t>(non=0, oui=1)</t>
    </r>
  </si>
  <si>
    <r>
      <t xml:space="preserve">Ressentez-vous parfois des douleurs dans la poitrine notamment à l'effort ? </t>
    </r>
    <r>
      <rPr>
        <b/>
        <sz val="14"/>
        <color rgb="FFFF0000"/>
        <rFont val="Calibri"/>
        <family val="2"/>
        <scheme val="minor"/>
      </rPr>
      <t xml:space="preserve"> (non=0, oui=1)</t>
    </r>
  </si>
  <si>
    <r>
      <t xml:space="preserve">Avez-vous des douleurs importantes dans le bas-ventre ou la région génitale ?  </t>
    </r>
    <r>
      <rPr>
        <b/>
        <sz val="14"/>
        <color rgb="FFFF0000"/>
        <rFont val="Calibri"/>
        <family val="2"/>
        <scheme val="minor"/>
      </rPr>
      <t>(non=0, oui=1)</t>
    </r>
  </si>
  <si>
    <r>
      <t xml:space="preserve">Souffrez-vous régulièrement de constipation (depuis plus de six mois) ?  </t>
    </r>
    <r>
      <rPr>
        <b/>
        <sz val="14"/>
        <color rgb="FFFF0000"/>
        <rFont val="Calibri"/>
        <family val="2"/>
        <scheme val="minor"/>
      </rPr>
      <t>(non=0, oui=1)</t>
    </r>
  </si>
  <si>
    <r>
      <t xml:space="preserve">Avez-vous des diarrhées, des selles molles ou glaireuses plusieurs fois par semaine, ou d’autres modifications des selles comme la présence de sang ?  </t>
    </r>
    <r>
      <rPr>
        <b/>
        <sz val="14"/>
        <color rgb="FFFF0000"/>
        <rFont val="Calibri"/>
        <family val="2"/>
        <scheme val="minor"/>
      </rPr>
      <t>(non=0, oui=1)</t>
    </r>
  </si>
  <si>
    <r>
      <t xml:space="preserve">Vous sentez-vous chroniquement fatigué(e) tout au long de la journée (depuis plus de six mois) sans effort particulier ?  </t>
    </r>
    <r>
      <rPr>
        <b/>
        <sz val="14"/>
        <color rgb="FFFF0000"/>
        <rFont val="Calibri"/>
        <family val="2"/>
        <scheme val="minor"/>
      </rPr>
      <t>(non=0, oui=1)</t>
    </r>
  </si>
  <si>
    <r>
      <t xml:space="preserve">Avez-vous régulièrement une sensation de fièvre de fébrilité, surtout le soir, pendant une période prolongée (plus de six semaines consécutives) ? </t>
    </r>
    <r>
      <rPr>
        <b/>
        <sz val="14"/>
        <color rgb="FFFF0000"/>
        <rFont val="Calibri"/>
        <family val="2"/>
        <scheme val="minor"/>
      </rPr>
      <t xml:space="preserve"> (non=0, oui=1)</t>
    </r>
  </si>
  <si>
    <r>
      <t xml:space="preserve">Avez-vous des tremblements des mains au repos ou lors de gestes précis ? </t>
    </r>
    <r>
      <rPr>
        <b/>
        <sz val="14"/>
        <color rgb="FFFF0000"/>
        <rFont val="Calibri"/>
        <family val="2"/>
        <scheme val="minor"/>
      </rPr>
      <t xml:space="preserve"> (non=0, oui=1)</t>
    </r>
  </si>
  <si>
    <r>
      <t xml:space="preserve">Avez-vous des douleurs dans la partie supérieure de l’abdomen (région épigastrique) ou une sensation de brûlure remontant vers la poitrine ? </t>
    </r>
    <r>
      <rPr>
        <b/>
        <sz val="14"/>
        <color rgb="FFFF0000"/>
        <rFont val="Calibri"/>
        <family val="2"/>
        <scheme val="minor"/>
      </rPr>
      <t xml:space="preserve"> (non=0, oui=1)</t>
    </r>
  </si>
  <si>
    <r>
      <t xml:space="preserve">Avez-vous des saignements prolongés (par exemple des gencives), des bleus spontanés ou un trouble de la coagulation (hémophilie, maladie de von Willebrand, déficit en facteur V) ? </t>
    </r>
    <r>
      <rPr>
        <b/>
        <sz val="14"/>
        <color rgb="FFFF0000"/>
        <rFont val="Calibri"/>
        <family val="2"/>
        <scheme val="minor"/>
      </rPr>
      <t xml:space="preserve"> (non=0, oui=1)</t>
    </r>
  </si>
  <si>
    <r>
      <t xml:space="preserve">Avez-vous des douleurs anales, des hémorroïdes ou une fissure anale ? </t>
    </r>
    <r>
      <rPr>
        <b/>
        <sz val="14"/>
        <color rgb="FFFF0000"/>
        <rFont val="Calibri"/>
        <family val="2"/>
        <scheme val="minor"/>
      </rPr>
      <t xml:space="preserve"> (non=0, oui=1)</t>
    </r>
  </si>
  <si>
    <r>
      <t xml:space="preserve">Avez-vous déjà eu des idées suicidaires ou fait une tentative de suicide ?  </t>
    </r>
    <r>
      <rPr>
        <b/>
        <sz val="14"/>
        <color rgb="FFFF0000"/>
        <rFont val="Calibri"/>
        <family val="2"/>
        <scheme val="minor"/>
      </rPr>
      <t>(non=0, oui=1)</t>
    </r>
  </si>
  <si>
    <r>
      <t xml:space="preserve">Vous sentez-vous régulièrement découragé(e) ou triste ? </t>
    </r>
    <r>
      <rPr>
        <b/>
        <sz val="14"/>
        <color rgb="FFFF0000"/>
        <rFont val="Calibri"/>
        <family val="2"/>
        <scheme val="minor"/>
      </rPr>
      <t xml:space="preserve"> (non=0, oui=1)</t>
    </r>
  </si>
  <si>
    <r>
      <t xml:space="preserve">Avez-vous régulièrement des sensations désagréables ou des douleurs dans les jambes la nuit qui disparaissent lorsque vous marchez ?  </t>
    </r>
    <r>
      <rPr>
        <b/>
        <sz val="14"/>
        <color rgb="FFFF0000"/>
        <rFont val="Calibri"/>
        <family val="2"/>
        <scheme val="minor"/>
      </rPr>
      <t>(non=0, oui=1)</t>
    </r>
  </si>
  <si>
    <r>
      <t xml:space="preserve">Avez-vous régulièrement des douleurs dans les jambes qui limitent votre marche à moins de 100 mètres (moins de 5 minutes) et qui disparaissent au repos ? </t>
    </r>
    <r>
      <rPr>
        <b/>
        <sz val="14"/>
        <color rgb="FFFF0000"/>
        <rFont val="Calibri"/>
        <family val="2"/>
        <scheme val="minor"/>
      </rPr>
      <t xml:space="preserve"> (non=0, oui=1)</t>
    </r>
  </si>
  <si>
    <r>
      <t xml:space="preserve">Vous sentez-vous frustré·e ou démotivé·e par votre travail ? </t>
    </r>
    <r>
      <rPr>
        <b/>
        <sz val="14"/>
        <color rgb="FFFF0000"/>
        <rFont val="Calibri"/>
        <family val="2"/>
        <scheme val="minor"/>
      </rPr>
      <t xml:space="preserve"> (non=0, oui=1)</t>
    </r>
  </si>
  <si>
    <r>
      <t xml:space="preserve">Un membre de votre famille proche (parents ou frères/sœurs) a-t-il déjà eu un cancer ? </t>
    </r>
    <r>
      <rPr>
        <b/>
        <sz val="14"/>
        <color rgb="FFFF0000"/>
        <rFont val="Calibri"/>
        <family val="2"/>
        <scheme val="minor"/>
      </rPr>
      <t xml:space="preserve"> (non=0, oui=1)</t>
    </r>
  </si>
  <si>
    <r>
      <t xml:space="preserve">Avez-vous déjà eu une infection urinaire, une cystite, une prostatite ou une pyélonéphrite ? </t>
    </r>
    <r>
      <rPr>
        <b/>
        <sz val="14"/>
        <color rgb="FFFF0000"/>
        <rFont val="Calibri"/>
        <family val="2"/>
        <scheme val="minor"/>
      </rPr>
      <t xml:space="preserve"> (non=0, oui=1)</t>
    </r>
  </si>
  <si>
    <r>
      <t xml:space="preserve">Avez-vous déjà eu une maladie infectieuse chronique nécessitant un traitement antibiotique de plus de 3 mois (comme la tuberculose, la brucellose ou l’endocardite) ?  </t>
    </r>
    <r>
      <rPr>
        <b/>
        <sz val="14"/>
        <color rgb="FFFF0000"/>
        <rFont val="Calibri"/>
        <family val="2"/>
        <scheme val="minor"/>
      </rPr>
      <t>(non=0, oui=1)</t>
    </r>
  </si>
  <si>
    <r>
      <t xml:space="preserve">Avez-vous reçu le vaccin contre le pneumocoque ?  </t>
    </r>
    <r>
      <rPr>
        <b/>
        <sz val="14"/>
        <color rgb="FFFF0000"/>
        <rFont val="Calibri"/>
        <family val="2"/>
        <scheme val="minor"/>
      </rPr>
      <t>(non=0, oui=1, ne sais pas =2)</t>
    </r>
  </si>
  <si>
    <r>
      <t xml:space="preserve">Avez-vous réalisé un dépistage dermatologique du cancer de la peau au cours des deux dernières années ? </t>
    </r>
    <r>
      <rPr>
        <b/>
        <sz val="14"/>
        <color rgb="FFFF0000"/>
        <rFont val="Calibri"/>
        <family val="2"/>
        <scheme val="minor"/>
      </rPr>
      <t xml:space="preserve"> (non=0, oui=1)</t>
    </r>
  </si>
  <si>
    <r>
      <t xml:space="preserve">Quelqu’un vous a-t-il déjà dit que vous arrêtiez de respirer pendant la nuit ? </t>
    </r>
    <r>
      <rPr>
        <b/>
        <sz val="14"/>
        <color rgb="FFFF0000"/>
        <rFont val="Calibri"/>
        <family val="2"/>
        <scheme val="minor"/>
      </rPr>
      <t xml:space="preserve"> (non=0, oui=1)</t>
    </r>
  </si>
  <si>
    <r>
      <t xml:space="preserve">Vos douleurs thoraciques sont-elles aggravées par le stress émotionnel ou l’effort physique ?  </t>
    </r>
    <r>
      <rPr>
        <b/>
        <sz val="14"/>
        <color rgb="FFFF0000"/>
        <rFont val="Calibri"/>
        <family val="2"/>
        <scheme val="minor"/>
      </rPr>
      <t>(non=0, oui=1)</t>
    </r>
  </si>
  <si>
    <r>
      <t xml:space="preserve">Vos douleurs thoraciques s’améliorent-elles avec le repos et/ou après avoir pris des nitrés (comme la nitroglycérine), dans un délai de 5 minutes ?  </t>
    </r>
    <r>
      <rPr>
        <b/>
        <sz val="14"/>
        <color rgb="FFFF0000"/>
        <rFont val="Calibri"/>
        <family val="2"/>
        <scheme val="minor"/>
      </rPr>
      <t>(non=0, oui=1)</t>
    </r>
  </si>
  <si>
    <r>
      <t xml:space="preserve">Avez-vous des allergies ou des intolérances alimentaires ?  </t>
    </r>
    <r>
      <rPr>
        <b/>
        <sz val="14"/>
        <color rgb="FFFF0000"/>
        <rFont val="Calibri"/>
        <family val="2"/>
        <scheme val="minor"/>
      </rPr>
      <t>(non=0, oui=1)</t>
    </r>
  </si>
  <si>
    <r>
      <t xml:space="preserve">Avez-vous une coloscopie dans les 10 ans ? </t>
    </r>
    <r>
      <rPr>
        <b/>
        <sz val="14"/>
        <color rgb="FFFF0000"/>
        <rFont val="Calibri"/>
        <family val="2"/>
        <scheme val="minor"/>
      </rPr>
      <t xml:space="preserve"> (non=0, oui=1)</t>
    </r>
  </si>
  <si>
    <r>
      <t xml:space="preserve">Au cours des cinq dernières années, avez-vous réalisé un test de densité osseuse (comme une ostéodensitométrie ou DXA) ? </t>
    </r>
    <r>
      <rPr>
        <b/>
        <sz val="14"/>
        <color rgb="FFFF0000"/>
        <rFont val="Calibri"/>
        <family val="2"/>
        <scheme val="minor"/>
      </rPr>
      <t xml:space="preserve"> (non=0, oui=1)</t>
    </r>
  </si>
  <si>
    <r>
      <t xml:space="preserve">Avez-vous été vacciné(e) contre la varicelle (chickenpox) ?  </t>
    </r>
    <r>
      <rPr>
        <b/>
        <sz val="14"/>
        <color rgb="FFFF0000"/>
        <rFont val="Calibri"/>
        <family val="2"/>
        <scheme val="minor"/>
      </rPr>
      <t>(non=0, oui=1, ne sais pas =2)</t>
    </r>
  </si>
  <si>
    <r>
      <t xml:space="preserve">Avez-vous reçu le vaccin ROR (rougeole, oreillons, rubéole) ? </t>
    </r>
    <r>
      <rPr>
        <b/>
        <sz val="14"/>
        <color rgb="FFFF0000"/>
        <rFont val="Calibri"/>
        <family val="2"/>
        <scheme val="minor"/>
      </rPr>
      <t xml:space="preserve"> (non=0, oui=1, ne sais pas =2)</t>
    </r>
  </si>
  <si>
    <r>
      <t xml:space="preserve">Avez-vous reçu le vaccin contre l’encéphalite à tiques (FSME) ?  </t>
    </r>
    <r>
      <rPr>
        <b/>
        <sz val="14"/>
        <color rgb="FFFF0000"/>
        <rFont val="Calibri"/>
        <family val="2"/>
        <scheme val="minor"/>
      </rPr>
      <t>(non=0, oui=1, ne sais pas =2)</t>
    </r>
  </si>
  <si>
    <r>
      <t xml:space="preserve">Avez-vous reçu le vaccin contre l'hémophilus ?  </t>
    </r>
    <r>
      <rPr>
        <b/>
        <sz val="14"/>
        <color rgb="FFFF0000"/>
        <rFont val="Calibri"/>
        <family val="2"/>
        <scheme val="minor"/>
      </rPr>
      <t>(non=0, oui=1, ne sais pas =2)</t>
    </r>
  </si>
  <si>
    <r>
      <t xml:space="preserve">Êtes-vous à jour dans vos vaccinations ? (référence :  calendrier vaccinal de santé publique) </t>
    </r>
    <r>
      <rPr>
        <b/>
        <sz val="14"/>
        <color theme="4"/>
        <rFont val="Calibri"/>
        <family val="2"/>
        <scheme val="minor"/>
      </rPr>
      <t xml:space="preserve"> </t>
    </r>
    <r>
      <rPr>
        <b/>
        <sz val="14"/>
        <color rgb="FFFF0000"/>
        <rFont val="Calibri"/>
        <family val="2"/>
        <scheme val="minor"/>
      </rPr>
      <t xml:space="preserve"> (non=0, oui=1, ne sais pas =2)</t>
    </r>
  </si>
  <si>
    <r>
      <t xml:space="preserve">Avez-vous déjà eu une anesthésie générale ? </t>
    </r>
    <r>
      <rPr>
        <b/>
        <sz val="14"/>
        <color rgb="FFFF0000"/>
        <rFont val="Calibri"/>
        <family val="2"/>
        <scheme val="minor"/>
      </rPr>
      <t xml:space="preserve"> (non=0, oui=1)</t>
    </r>
  </si>
  <si>
    <r>
      <t xml:space="preserve">Avez-vous eu des problémes lors de précédentes anesthésies générale (nausées ou vomissements) ? </t>
    </r>
    <r>
      <rPr>
        <b/>
        <sz val="14"/>
        <color rgb="FFFF0000"/>
        <rFont val="Calibri"/>
        <family val="2"/>
        <scheme val="minor"/>
      </rPr>
      <t xml:space="preserve"> (non=0, oui=1)</t>
    </r>
  </si>
  <si>
    <r>
      <t xml:space="preserve">Avez-vous une myasthénie ou ou myopathie ?  </t>
    </r>
    <r>
      <rPr>
        <b/>
        <sz val="14"/>
        <color rgb="FFFF0000"/>
        <rFont val="Calibri"/>
        <family val="2"/>
        <scheme val="minor"/>
      </rPr>
      <t xml:space="preserve"> (non=0, oui=1)</t>
    </r>
  </si>
  <si>
    <r>
      <t xml:space="preserve">Avez-vous eu une épilepsie, Maladie de Parkinson, Slécore latérale amyotrophique, autre maladie du système nerveux ?  </t>
    </r>
    <r>
      <rPr>
        <b/>
        <sz val="14"/>
        <color rgb="FFFF0000"/>
        <rFont val="Calibri"/>
        <family val="2"/>
        <scheme val="minor"/>
      </rPr>
      <t>(non=0, oui=1)</t>
    </r>
  </si>
  <si>
    <r>
      <t xml:space="preserve">Avez-vous un Glaucome ? </t>
    </r>
    <r>
      <rPr>
        <b/>
        <sz val="14"/>
        <color rgb="FFFF0000"/>
        <rFont val="Calibri"/>
        <family val="2"/>
        <scheme val="minor"/>
      </rPr>
      <t xml:space="preserve"> (non=0, oui=1)</t>
    </r>
  </si>
  <si>
    <r>
      <t xml:space="preserve">Etes vous enceinte ? </t>
    </r>
    <r>
      <rPr>
        <b/>
        <sz val="14"/>
        <color rgb="FFFF0000"/>
        <rFont val="Calibri"/>
        <family val="2"/>
        <scheme val="minor"/>
      </rPr>
      <t xml:space="preserve"> (non=0, oui=1)</t>
    </r>
  </si>
  <si>
    <r>
      <t xml:space="preserve">Avez-vous eu des accouchements compliqués (forceps, césarienne) ? </t>
    </r>
    <r>
      <rPr>
        <b/>
        <sz val="14"/>
        <color rgb="FFFF0000"/>
        <rFont val="Calibri"/>
        <family val="2"/>
        <scheme val="minor"/>
      </rPr>
      <t xml:space="preserve"> (non=0, oui=1)</t>
    </r>
  </si>
  <si>
    <r>
      <t xml:space="preserve">Etes vous porteur d'une valve cardiaque artificielle ou bioprothése ?  </t>
    </r>
    <r>
      <rPr>
        <b/>
        <sz val="14"/>
        <color rgb="FFFF0000"/>
        <rFont val="Calibri"/>
        <family val="2"/>
        <scheme val="minor"/>
      </rPr>
      <t>(non=0, oui=1)</t>
    </r>
  </si>
  <si>
    <r>
      <t xml:space="preserve">Etes vous porteur d'un pace-maker ou défibrilateur implantable ?  </t>
    </r>
    <r>
      <rPr>
        <b/>
        <sz val="14"/>
        <color rgb="FFFF0000"/>
        <rFont val="Calibri"/>
        <family val="2"/>
        <scheme val="minor"/>
      </rPr>
      <t>(non=0, oui=1)</t>
    </r>
  </si>
  <si>
    <r>
      <t xml:space="preserve">Etes vous porteur d'une prothése ou appareil dentaire ?  </t>
    </r>
    <r>
      <rPr>
        <b/>
        <sz val="14"/>
        <color rgb="FFFF0000"/>
        <rFont val="Calibri"/>
        <family val="2"/>
        <scheme val="minor"/>
      </rPr>
      <t>(non=0, oui=1)</t>
    </r>
  </si>
  <si>
    <r>
      <t xml:space="preserve">Etes vous porteur de prothéses articulaires (hanche, genou, épaule….) ?  </t>
    </r>
    <r>
      <rPr>
        <b/>
        <sz val="14"/>
        <color rgb="FFFF0000"/>
        <rFont val="Calibri"/>
        <family val="2"/>
        <scheme val="minor"/>
      </rPr>
      <t>(non=0, oui=1)</t>
    </r>
  </si>
  <si>
    <r>
      <t>Ouverture de Bouche</t>
    </r>
    <r>
      <rPr>
        <b/>
        <sz val="14"/>
        <color rgb="FFFF0000"/>
        <rFont val="Calibri"/>
        <family val="2"/>
        <scheme val="minor"/>
      </rPr>
      <t xml:space="preserve"> (0=&lt;20, 1=35, 2=&gt;35)</t>
    </r>
  </si>
  <si>
    <r>
      <t>Distance Thyro-mentonniére</t>
    </r>
    <r>
      <rPr>
        <b/>
        <sz val="14"/>
        <color rgb="FFFF0000"/>
        <rFont val="Calibri"/>
        <family val="2"/>
        <scheme val="minor"/>
      </rPr>
      <t xml:space="preserve"> (0=&lt;65mm, 1=&gt;65mm)</t>
    </r>
  </si>
  <si>
    <r>
      <t xml:space="preserve">Abord vasculaire veineux compliqué ?  </t>
    </r>
    <r>
      <rPr>
        <b/>
        <sz val="14"/>
        <color rgb="FFFF0000"/>
        <rFont val="Calibri"/>
        <family val="2"/>
        <scheme val="minor"/>
      </rPr>
      <t>(non=0, oui=1)</t>
    </r>
  </si>
  <si>
    <r>
      <t xml:space="preserve">Décubitus dorsal compliqué (ex: Scoliose…..) ?  </t>
    </r>
    <r>
      <rPr>
        <b/>
        <sz val="14"/>
        <color rgb="FFFF0000"/>
        <rFont val="Calibri"/>
        <family val="2"/>
        <scheme val="minor"/>
      </rPr>
      <t>(non=0, oui=1)</t>
    </r>
  </si>
  <si>
    <t>Pression artérielle systolique (mmHg) au repos (position couché ou assis)</t>
  </si>
  <si>
    <t>Pression artérielle diastolique (mmHg) au repos (position couché ou assis)</t>
  </si>
  <si>
    <r>
      <t xml:space="preserve">Tension oculaire </t>
    </r>
    <r>
      <rPr>
        <b/>
        <sz val="14"/>
        <color rgb="FFFF0000"/>
        <rFont val="Arial"/>
        <family val="2"/>
      </rPr>
      <t>(non fait=0, normale=2 ou anormale=1)</t>
    </r>
  </si>
  <si>
    <r>
      <t xml:space="preserve">Examen de la rétine </t>
    </r>
    <r>
      <rPr>
        <b/>
        <sz val="14"/>
        <color rgb="FFFF0000"/>
        <rFont val="Arial"/>
        <family val="2"/>
      </rPr>
      <t>(non fait=0, normale=2 ou anormale=1)</t>
    </r>
  </si>
  <si>
    <r>
      <t xml:space="preserve">Test DMLA AMSLER : </t>
    </r>
    <r>
      <rPr>
        <b/>
        <sz val="12"/>
        <color rgb="FFFF0000"/>
        <rFont val="Arial"/>
        <family val="2"/>
      </rPr>
      <t>(non fait=0, normale=2 ou anormale=1)</t>
    </r>
  </si>
  <si>
    <r>
      <t xml:space="preserve">Vitesse de marche &gt;0,8 m/s </t>
    </r>
    <r>
      <rPr>
        <b/>
        <sz val="14"/>
        <color rgb="FFFF0000"/>
        <rFont val="Arial"/>
        <family val="2"/>
      </rPr>
      <t>(non fait=0, normale=2 ou anormale=1)</t>
    </r>
  </si>
  <si>
    <r>
      <t xml:space="preserve">Dynamométrie  &gt;27 kg (H) / &gt;16 kg (F) </t>
    </r>
    <r>
      <rPr>
        <b/>
        <sz val="14"/>
        <color rgb="FFFF0000"/>
        <rFont val="Arial"/>
        <family val="2"/>
      </rPr>
      <t>(non fait=0, normale=2 ou anormale=1)</t>
    </r>
  </si>
  <si>
    <r>
      <t xml:space="preserve">Surface muscle Psoas en L3:  L500 mm²/taille-m² (H) &gt; 385 mm²/taille-m² (F) </t>
    </r>
    <r>
      <rPr>
        <b/>
        <sz val="14"/>
        <color rgb="FFFF0000"/>
        <rFont val="Arial"/>
        <family val="2"/>
      </rPr>
      <t>(non fait=0, normale=2 ou anormale=1)</t>
    </r>
  </si>
  <si>
    <r>
      <t xml:space="preserve">Appui Unipodal &gt; 10sec </t>
    </r>
    <r>
      <rPr>
        <b/>
        <sz val="14"/>
        <color rgb="FFFF0000"/>
        <rFont val="Arial"/>
        <family val="2"/>
      </rPr>
      <t>(non fait=0, normale=2 ou anormale=1)</t>
    </r>
  </si>
  <si>
    <r>
      <t xml:space="preserve">DXA (masse musculaire) </t>
    </r>
    <r>
      <rPr>
        <b/>
        <sz val="14"/>
        <color rgb="FFFF0000"/>
        <rFont val="Calibri"/>
        <family val="2"/>
        <scheme val="minor"/>
      </rPr>
      <t>(non fait=0, normale=2 ou anormale=1)</t>
    </r>
  </si>
  <si>
    <r>
      <t xml:space="preserve">Résidu postmictionnel (échographie) ml &gt; 100ml (H), &lt; 5ml (F) </t>
    </r>
    <r>
      <rPr>
        <b/>
        <sz val="14"/>
        <color rgb="FFFF0000"/>
        <rFont val="Calibri"/>
        <family val="2"/>
        <scheme val="minor"/>
      </rPr>
      <t>(non fait=0, normale=2 ou anormale=1)</t>
    </r>
  </si>
  <si>
    <r>
      <t xml:space="preserve">Débitmétrie mictionnelle (ml/sec) moyen &gt; 10ml /sec </t>
    </r>
    <r>
      <rPr>
        <b/>
        <sz val="14"/>
        <color rgb="FFFF0000"/>
        <rFont val="Calibri"/>
        <family val="2"/>
        <scheme val="minor"/>
      </rPr>
      <t>(non fait=0, normale=2 ou anormale=1)</t>
    </r>
  </si>
  <si>
    <r>
      <t xml:space="preserve">Combien de cigarettes fumez-vous / avez-vous fumé par jour ? </t>
    </r>
    <r>
      <rPr>
        <b/>
        <sz val="14"/>
        <color rgb="FFFF0000"/>
        <rFont val="Calibri"/>
        <family val="2"/>
        <scheme val="minor"/>
      </rPr>
      <t xml:space="preserve">Réponse dans colonne F? </t>
    </r>
  </si>
  <si>
    <r>
      <t xml:space="preserve">Utilisez-vous des cigarettes électroniques (vapotage) ou d’autres produits à base de nicotine ? </t>
    </r>
    <r>
      <rPr>
        <b/>
        <sz val="14"/>
        <color rgb="FFFF0000"/>
        <rFont val="Calibri"/>
        <family val="2"/>
        <scheme val="minor"/>
      </rPr>
      <t>(non=0, oui=1)</t>
    </r>
  </si>
  <si>
    <r>
      <t xml:space="preserve">Un membre de votre famille a-t-il eu une maladie de la thyroide ?  </t>
    </r>
    <r>
      <rPr>
        <b/>
        <sz val="14"/>
        <color rgb="FFFF0000"/>
        <rFont val="Calibri"/>
        <family val="2"/>
        <scheme val="minor"/>
      </rPr>
      <t>(non=0, oui=1)</t>
    </r>
  </si>
  <si>
    <r>
      <t xml:space="preserve">Combien de sœur, frère ont  eu un cancer du poumon ?  </t>
    </r>
    <r>
      <rPr>
        <b/>
        <sz val="14"/>
        <color rgb="FFFF0000"/>
        <rFont val="Calibri"/>
        <family val="2"/>
        <scheme val="minor"/>
      </rPr>
      <t>(0=0, 1=1, 2=2ou plus)</t>
    </r>
  </si>
  <si>
    <r>
      <t xml:space="preserve">Votre mère ou votre père, ont-ils  eu un cancer du poumon ?   </t>
    </r>
    <r>
      <rPr>
        <b/>
        <sz val="14"/>
        <color rgb="FFFF0000"/>
        <rFont val="Calibri"/>
        <family val="2"/>
        <scheme val="minor"/>
      </rPr>
      <t>(non=0, oui=1)</t>
    </r>
  </si>
  <si>
    <r>
      <t>Ressentez-vous un essoufflement au repos ?</t>
    </r>
    <r>
      <rPr>
        <b/>
        <sz val="14"/>
        <color rgb="FFFF0000"/>
        <rFont val="Calibri"/>
        <family val="2"/>
        <scheme val="minor"/>
      </rPr>
      <t xml:space="preserve"> (non=0, oui=1)</t>
    </r>
  </si>
  <si>
    <r>
      <t xml:space="preserve">Toussez-vous avec des crachats (mucosités) ? </t>
    </r>
    <r>
      <rPr>
        <b/>
        <sz val="14"/>
        <color rgb="FFFF0000"/>
        <rFont val="Calibri"/>
        <family val="2"/>
        <scheme val="minor"/>
      </rPr>
      <t>(non=0, oui=1)</t>
    </r>
  </si>
  <si>
    <r>
      <t xml:space="preserve">À l’approche de la retraite (ou depuis le passage à la retraite), envisagez-vous de nouveaux projets (passe-temps, sorties, associations, …) ?
</t>
    </r>
    <r>
      <rPr>
        <b/>
        <sz val="14"/>
        <color rgb="FFFF0000"/>
        <rFont val="Calibri"/>
        <family val="2"/>
        <scheme val="minor"/>
      </rPr>
      <t>Oui, et j’ai déjà mis en place ces projets (2)
Oui, j’ai des projets prévus mais je ne les ai pas encore concrétisés (1)
Non, je ne sais pas encore quels seront mes projets (0)</t>
    </r>
  </si>
  <si>
    <r>
      <t>Avez-vous des difficultés à réaliser certains gestes de la vie quotidienne ? </t>
    </r>
    <r>
      <rPr>
        <b/>
        <sz val="14"/>
        <color rgb="FFFF0000"/>
        <rFont val="Calibri"/>
        <family val="2"/>
        <scheme val="minor"/>
      </rPr>
      <t>(non=0, oui=1)</t>
    </r>
  </si>
  <si>
    <r>
      <t xml:space="preserve">Avez-vous des difficultés à quitter votre lit et/ou se coucher seul, manger seul  ou aller seul aux toilettes ? </t>
    </r>
    <r>
      <rPr>
        <b/>
        <sz val="14"/>
        <color rgb="FFFF0000"/>
        <rFont val="Calibri"/>
        <family val="2"/>
        <scheme val="minor"/>
      </rPr>
      <t>(non=0, oui=1)</t>
    </r>
  </si>
  <si>
    <r>
      <t xml:space="preserve">Avez-vous des difficultés à vous vêtir et/ou vous dévêtir seule ou faire votre toilette seul(e) ? </t>
    </r>
    <r>
      <rPr>
        <b/>
        <sz val="14"/>
        <color rgb="FFFF0000"/>
        <rFont val="Calibri"/>
        <family val="2"/>
        <scheme val="minor"/>
      </rPr>
      <t>(non=0, oui=1)</t>
    </r>
  </si>
  <si>
    <r>
      <t xml:space="preserve">Avez-vous des difficultés à marcher seul(e) avec ou sans béquille, canne… ou à utiliser seul(e) un moyen de transport (transports en commun, voiture….) ? </t>
    </r>
    <r>
      <rPr>
        <b/>
        <sz val="14"/>
        <color rgb="FFFF0000"/>
        <rFont val="Calibri"/>
        <family val="2"/>
        <scheme val="minor"/>
      </rPr>
      <t>(non=0, oui=1)</t>
    </r>
  </si>
  <si>
    <r>
      <t xml:space="preserve">Souhaitez-vous arrêter l’utilisation du préservatif avec votre nouveau ou votre nouvelle partenaire ? </t>
    </r>
    <r>
      <rPr>
        <b/>
        <sz val="14"/>
        <color rgb="FFFF0000"/>
        <rFont val="Calibri"/>
        <family val="2"/>
        <scheme val="minor"/>
      </rPr>
      <t>(non=0, oui=1)</t>
    </r>
  </si>
  <si>
    <r>
      <t xml:space="preserve">Avez-vous été vacciné(e) contre le papillomavirus ? </t>
    </r>
    <r>
      <rPr>
        <b/>
        <sz val="14"/>
        <color rgb="FFFF0000"/>
        <rFont val="Calibri"/>
        <family val="2"/>
        <scheme val="minor"/>
      </rPr>
      <t xml:space="preserve"> (non=0, oui=1, ne sais pas =2)</t>
    </r>
  </si>
  <si>
    <r>
      <t xml:space="preserve">Avez-vous eu des rapports sexuels au cours des 12 derniers mois sans être concerné(e) par l’une des situations mentionnées ci-dessus ? </t>
    </r>
    <r>
      <rPr>
        <b/>
        <sz val="14"/>
        <color rgb="FFFF0000"/>
        <rFont val="Calibri"/>
        <family val="2"/>
        <scheme val="minor"/>
      </rPr>
      <t>(non=0, oui=1)</t>
    </r>
  </si>
  <si>
    <t>Européen(ne) ou Hispanique</t>
  </si>
  <si>
    <t>Ne souhaite pas répondre</t>
  </si>
  <si>
    <t xml:space="preserve">Asiatique ou Indien(ne) </t>
  </si>
  <si>
    <t>Africain(e) ou AfroCarribéen(ne)</t>
  </si>
  <si>
    <t>Origine</t>
  </si>
  <si>
    <r>
      <t xml:space="preserve">Vous habitez : 
</t>
    </r>
    <r>
      <rPr>
        <b/>
        <sz val="14"/>
        <color rgb="FFFF0000"/>
        <rFont val="Calibri"/>
        <family val="2"/>
        <scheme val="minor"/>
      </rPr>
      <t>(0=Seul·e; 1=Avec vos parents ou votre famille ; 1=Avec un·e partenaire ; 1=En colocation / logement partagé ; 1=Autre)</t>
    </r>
  </si>
  <si>
    <t>Étudiant·e (1</t>
  </si>
  <si>
    <t>Salarié·e</t>
  </si>
  <si>
    <t>Indépendant·e</t>
  </si>
  <si>
    <t>En congé (parental, médical, sabbatique)</t>
  </si>
  <si>
    <t>Étudiant·e et salarié·e</t>
  </si>
  <si>
    <t>Sans emploi (en recherche)</t>
  </si>
  <si>
    <t>Retraité·e (4)</t>
  </si>
  <si>
    <t>Parent au foyer / aidant·e</t>
  </si>
  <si>
    <t xml:space="preserve"> Autre</t>
  </si>
  <si>
    <t xml:space="preserve">Occupation </t>
  </si>
  <si>
    <t>Seul·e</t>
  </si>
  <si>
    <t>Avec un·e partenaire</t>
  </si>
  <si>
    <t>En colocation / logement partagé</t>
  </si>
  <si>
    <t>Avec vos parents ou votre famille</t>
  </si>
  <si>
    <t>Habitation</t>
  </si>
  <si>
    <t>Sentiement retraite</t>
  </si>
  <si>
    <t>Plutôt positivement</t>
  </si>
  <si>
    <t>Plutôt négativement</t>
  </si>
  <si>
    <r>
      <t>Comment ressentez-vous le fait d’être à la retraite ou d’approcher de la retraite ?</t>
    </r>
    <r>
      <rPr>
        <b/>
        <sz val="14"/>
        <color rgb="FFFF0000"/>
        <rFont val="Calibri"/>
        <family val="2"/>
        <scheme val="minor"/>
      </rPr>
      <t xml:space="preserve"> (Plutôt positivement=1 / Plutôt négativement=0 / Ne me concerne pas=2)</t>
    </r>
  </si>
  <si>
    <t xml:space="preserve">Une fois par mois ou jamais </t>
  </si>
  <si>
    <t xml:space="preserve">Plusieurs fois par semaine </t>
  </si>
  <si>
    <t>0 à 1 fois par semaine</t>
  </si>
  <si>
    <t>2 à 3 fois par semaine</t>
  </si>
  <si>
    <t>4 à 6 fois par semaine</t>
  </si>
  <si>
    <t>Une fois par jour ou plus</t>
  </si>
  <si>
    <t>Moins d’1 heure</t>
  </si>
  <si>
    <t xml:space="preserve"> Entre 1 et 2 heures</t>
  </si>
  <si>
    <t>Fréquence mois/semaine/jour (nutrition)</t>
  </si>
  <si>
    <t>Fréquence par semaine (lait)</t>
  </si>
  <si>
    <t>Fréquence heures (écran)</t>
  </si>
  <si>
    <t>Fréquence heures (sédentaire)</t>
  </si>
  <si>
    <t>Nombre frères/sœurs</t>
  </si>
  <si>
    <t>Satisfaction (qualité de vie)</t>
  </si>
  <si>
    <t>Très satisfaisant</t>
  </si>
  <si>
    <t>Plutôt satisfaisant</t>
  </si>
  <si>
    <t>Peu satisfaisant</t>
  </si>
  <si>
    <t>Pas du tout satisfaisant</t>
  </si>
  <si>
    <t>Heure sommeil</t>
  </si>
  <si>
    <t>Fréquence semaine (fuite)</t>
  </si>
  <si>
    <t>Moins d’une fois par semaine</t>
  </si>
  <si>
    <t>Plusieurs fois par jour)</t>
  </si>
  <si>
    <t>Fréquence minute (urine)</t>
  </si>
  <si>
    <t>Plus de 15 minutes</t>
  </si>
  <si>
    <t>De 6 à 15 minutes</t>
  </si>
  <si>
    <t>De 1 à 5 minutes</t>
  </si>
  <si>
    <t>Moins de 1 minute</t>
  </si>
  <si>
    <t>Ouverture bouche</t>
  </si>
  <si>
    <t>20-35</t>
  </si>
  <si>
    <t>&gt;35</t>
  </si>
  <si>
    <t>&lt;65mm</t>
  </si>
  <si>
    <t>&gt;65mm)</t>
  </si>
  <si>
    <t>Distance Thyro-mentonniére</t>
  </si>
  <si>
    <t>normale</t>
  </si>
  <si>
    <t>non fait</t>
  </si>
  <si>
    <t>anormale</t>
  </si>
  <si>
    <t>Normal/anormale</t>
  </si>
  <si>
    <t>Projet retraite</t>
  </si>
  <si>
    <t xml:space="preserve">Oui, et j’ai déjà mis en place ces projets </t>
  </si>
  <si>
    <r>
      <t>Consommez-vous du porc, du bœuf, du veau, de l’agneau ou du mouton ?</t>
    </r>
    <r>
      <rPr>
        <b/>
        <sz val="14"/>
        <color rgb="FFFF0000"/>
        <rFont val="Calibri"/>
        <family val="2"/>
        <scheme val="minor"/>
      </rPr>
      <t xml:space="preserve"> (0 = Une fois par mois ou jamais ; 1 = Une fois par semaine ; 2 = Plusieurs fois par semaine ; 3 = Plusieurs fois par jour)</t>
    </r>
  </si>
  <si>
    <r>
      <t xml:space="preserve">À quelle fréquence consommez-vous des aliments salés (par exemple : charcuterie, chips) ? </t>
    </r>
    <r>
      <rPr>
        <b/>
        <sz val="14"/>
        <color rgb="FFFF0000"/>
        <rFont val="Calibri"/>
        <family val="2"/>
        <scheme val="minor"/>
      </rPr>
      <t>(0 = Une fois par mois ou jamais ; 1 = Une fois par semaine ; 2 = Plusieurs fois par semaine ; 3 = Plusieurs fois par jour)</t>
    </r>
  </si>
  <si>
    <r>
      <t xml:space="preserve">Consommez-vous des produits laitiers ? (1 portion = 1 yaourt, 1 dessert lacté ou 1 verre de lait (150 ml)) 
</t>
    </r>
    <r>
      <rPr>
        <b/>
        <sz val="14"/>
        <color rgb="FFFF0000"/>
        <rFont val="Calibri"/>
        <family val="2"/>
        <scheme val="minor"/>
      </rPr>
      <t>(0 = 0 à 1 fois par semaine 1 = 2 à 3 fois par semaine 2 = 4 à 6 fois par semaine 3 = Une fois par jour ou plus</t>
    </r>
  </si>
  <si>
    <r>
      <t xml:space="preserve">Combien de temps par jour passez-vous devant un écran en dehors du travail (téléphone, télévision, ordinateur) ? 
</t>
    </r>
    <r>
      <rPr>
        <b/>
        <sz val="14"/>
        <color rgb="FFFF0000"/>
        <rFont val="Calibri"/>
        <family val="2"/>
        <scheme val="minor"/>
      </rPr>
      <t>(0 = Moins d’1 heure ; 1 = Entre 1 et 2 heures ; 2 = Entre 2 et 4 heures ; 3 = Plus de 4 heures)</t>
    </r>
  </si>
  <si>
    <r>
      <t xml:space="preserve">Combien de temps par jour passez-vous assis·e ou allongé·e (hors sommeil) ? 
</t>
    </r>
    <r>
      <rPr>
        <b/>
        <sz val="14"/>
        <color rgb="FFFF0000"/>
        <rFont val="Calibri"/>
        <family val="2"/>
        <scheme val="minor"/>
      </rPr>
      <t>(0 = Moins de 2 heures ; 1 = Entre 2 et 4 heures ; 2 = Entre 4 et 7 heures ; 3 = Plus de 7 heures)</t>
    </r>
  </si>
  <si>
    <r>
      <t xml:space="preserve">À quelle fréquence consommez-vous des aliments sucrés (par exemple : sodas, bonbons, pâtisseries, glaces) ? 
</t>
    </r>
    <r>
      <rPr>
        <b/>
        <sz val="14"/>
        <color rgb="FFFF0000"/>
        <rFont val="Calibri"/>
        <family val="2"/>
        <scheme val="minor"/>
      </rPr>
      <t>(0 = Une fois par mois ou jamais ; 1 = Une fois par semaine ; 2 = Plusieurs fois par semaine ; 3 = Plusieurs fois par jour)</t>
    </r>
  </si>
  <si>
    <r>
      <t xml:space="preserve">À quelle fréquence consommez-vous des aliments gras (par exemple : burgers de fast-food, viennoiseries au beurre, pain beurré) ?
</t>
    </r>
    <r>
      <rPr>
        <b/>
        <sz val="14"/>
        <color rgb="FFFF0000"/>
        <rFont val="Calibri"/>
        <family val="2"/>
        <scheme val="minor"/>
      </rPr>
      <t>(0 = Une fois par mois ou jamais ; 1 = Une fois par semaine ; 2 = Plusieurs fois par semaine ; 3 = Plusieurs fois par jour)</t>
    </r>
  </si>
  <si>
    <r>
      <t xml:space="preserve">Si vous deviez vivre le reste de votre vie avec votre état urinaire actuel tel qu’il est maintenant, comment vous sentiriez-vous ?
</t>
    </r>
    <r>
      <rPr>
        <b/>
        <sz val="14"/>
        <color rgb="FFFF0000"/>
        <rFont val="Calibri"/>
        <family val="2"/>
        <scheme val="minor"/>
      </rPr>
      <t>(0 = Très satisfaisant ; 1 = Plutôt satisfaisant ; 2 = Peu satisfaisant ; 3 = Pas du tout satisfaisant)</t>
    </r>
  </si>
  <si>
    <r>
      <t xml:space="preserve">Si vous deviez vivre le reste de votre vie avec votre état sexuel actuel tel qu’il est maintenant, comment vous sentiriez-vous ?
</t>
    </r>
    <r>
      <rPr>
        <b/>
        <sz val="14"/>
        <color rgb="FFFF0000"/>
        <rFont val="Calibri"/>
        <family val="2"/>
        <scheme val="minor"/>
      </rPr>
      <t>(0 = Très satisfaisant ; 1 = Plutôt satisfaisant ; 2 = Peu satisfaisant ; 3 = Pas du tout satisfaisant)</t>
    </r>
  </si>
  <si>
    <r>
      <t xml:space="preserve">Si vous deviez vivre le reste de votre vie avec votre état digestif actuel tel qu’il est maintenant, comment vous sentiriez-vous ?
</t>
    </r>
    <r>
      <rPr>
        <b/>
        <sz val="14"/>
        <color rgb="FFFF0000"/>
        <rFont val="Calibri"/>
        <family val="2"/>
        <scheme val="minor"/>
      </rPr>
      <t>(0 = Très satisfaisant ; 1 = Plutôt satisfaisant ; 2 = Peu satisfaisant ; 3 = Pas du tout satisfaisant)</t>
    </r>
  </si>
  <si>
    <r>
      <t xml:space="preserve">Si vous deviez vivre le reste de votre vie avec votre état musculo-squelettique actuel tel qu’il est maintenant, comment vous sentiriez-vous ?
</t>
    </r>
    <r>
      <rPr>
        <b/>
        <sz val="14"/>
        <color rgb="FFFF0000"/>
        <rFont val="Calibri"/>
        <family val="2"/>
        <scheme val="minor"/>
      </rPr>
      <t>(0 = Très satisfaisant ; 1 = Plutôt satisfaisant ; 2 = Peu satisfaisant ; 3 = Pas du tout satisfaisant)</t>
    </r>
  </si>
  <si>
    <r>
      <t xml:space="preserve">Au cours des quatre dernières semaines, avez-vous eu des fuites urinaires lors d’un effort physique ?
</t>
    </r>
    <r>
      <rPr>
        <b/>
        <sz val="14"/>
        <color rgb="FFFF0000"/>
        <rFont val="Calibri"/>
        <family val="2"/>
        <scheme val="minor"/>
      </rPr>
      <t>(0 = Jamais ; 1 = Moins d’une fois par semaine ; 2 = Plusieurs fois par semaine ; 3 = Plusieurs fois par jour)</t>
    </r>
  </si>
  <si>
    <r>
      <t xml:space="preserve">Lorsque vous avez un besoin urgent d'uriner, combien de temps en moyenne pouvez-vous vous retenir ? </t>
    </r>
    <r>
      <rPr>
        <b/>
        <sz val="14"/>
        <color rgb="FFFF0000"/>
        <rFont val="Calibri"/>
        <family val="2"/>
        <scheme val="minor"/>
      </rPr>
      <t>(0=Plus de 15 minutes;  1=De 6 à 15 minutes; 2=De 1 à 5 minutes; 3=Moins de 1 minute)</t>
    </r>
  </si>
  <si>
    <r>
      <t xml:space="preserve">Pendant combien d’années avez-vous fumé ? Réponse dans colonne F? </t>
    </r>
    <r>
      <rPr>
        <b/>
        <sz val="14"/>
        <color rgb="FFFF0000"/>
        <rFont val="Calibri"/>
        <family val="2"/>
        <scheme val="minor"/>
      </rPr>
      <t xml:space="preserve"> Réponse dans colonne F? </t>
    </r>
  </si>
  <si>
    <r>
      <t>Avez-vous des palpitations (sensation de battements rapides, irréguliers ou forts du cœur) ?</t>
    </r>
    <r>
      <rPr>
        <b/>
        <sz val="14"/>
        <color rgb="FFFF0000"/>
        <rFont val="Calibri"/>
        <family val="2"/>
        <scheme val="minor"/>
      </rPr>
      <t xml:space="preserve"> (non=0, oui=1)</t>
    </r>
  </si>
  <si>
    <r>
      <t xml:space="preserve">Quelle est votre origine ethnique principale ? </t>
    </r>
    <r>
      <rPr>
        <b/>
        <sz val="14"/>
        <color rgb="FFFF0000"/>
        <rFont val="Calibri"/>
        <family val="2"/>
        <scheme val="minor"/>
      </rPr>
      <t>(Européen(ne) ou Hispanique "0" , Asiatique ou Indien(ne) "1", Africain(e) ou AfroCarribéen(ne) "2", Ne souhaite pas répondre (défaut "0")</t>
    </r>
    <r>
      <rPr>
        <b/>
        <sz val="14"/>
        <rFont val="Calibri"/>
        <family val="2"/>
        <scheme val="minor"/>
      </rPr>
      <t>) (Données utilisées pour les courbes de référence médicale)</t>
    </r>
  </si>
  <si>
    <t>Thématique</t>
  </si>
  <si>
    <t>Explications</t>
  </si>
  <si>
    <t>Résultats</t>
  </si>
  <si>
    <t>Environnement &amp; habitude de vies</t>
  </si>
  <si>
    <t>Sommeil</t>
  </si>
  <si>
    <t>Nutrition</t>
  </si>
  <si>
    <t>Addiction</t>
  </si>
  <si>
    <t>Exposition IST</t>
  </si>
  <si>
    <t>Couverture vaccinale &amp; dépistage</t>
  </si>
  <si>
    <t>Pollution aerienne</t>
  </si>
  <si>
    <t>Medications</t>
  </si>
  <si>
    <t xml:space="preserve">Cholestérol Total et fractions HDL et LDL, Triglycérides, </t>
  </si>
  <si>
    <t>QV sexuelle</t>
  </si>
  <si>
    <t>QV digestive</t>
  </si>
  <si>
    <t>QV Locomoteur</t>
  </si>
  <si>
    <t>QV urinaire</t>
  </si>
  <si>
    <t>QV nerveuse &amp; emotionnelle</t>
  </si>
  <si>
    <t>QV vision</t>
  </si>
  <si>
    <t>QV audition</t>
  </si>
  <si>
    <t>Quel est votre sexe assigné à la naissance ? (Données utilisées pour les courbes de référence médicale)  "H"=1;"F"=0</t>
  </si>
  <si>
    <r>
      <t>Quelle est votre occupation ?</t>
    </r>
    <r>
      <rPr>
        <b/>
        <sz val="14"/>
        <color rgb="FFFF0000"/>
        <rFont val="Calibri"/>
        <family val="2"/>
        <scheme val="minor"/>
      </rPr>
      <t xml:space="preserve"> Étudiant·e (0) ; Salarié·e (1) ; Indépendant·e (1); En congé (parental, médical, sabbatique) (1) ; Étudiant·e et salarié·e (1) ; Sans emploi (en recherche) (2) ; Retraité·e (3) ; Parent au foyer / aidant·e (4); Autre (5)</t>
    </r>
  </si>
  <si>
    <t>Homme/Femme</t>
  </si>
  <si>
    <t>600 UI</t>
  </si>
  <si>
    <t>Fréquence cardiaque au repos couché ou assis (P0)</t>
  </si>
  <si>
    <t>Fréquence cardiaque à l'effort (P1) (après 30 flexions complètes de jambes en 45 secondes, bras tendus)</t>
  </si>
  <si>
    <t>Fréquence cardiaque de récupération après 1 minute (P2)</t>
  </si>
  <si>
    <t>Symptômes te Etat général</t>
  </si>
  <si>
    <t>Tabagisme en Paquets années</t>
  </si>
  <si>
    <t>Le paquet-année (PA) est une unité de mesure de la consommation de tabac fumé en cigarettes. Le risque de cancer augmente avec l'intensité de la consommation tabagique mais plus encore avec sa durée. A partir de 20 paquets-années dépistage des maladies associées au tabagisme est proposé.</t>
  </si>
  <si>
    <r>
      <t>Tenez vous en  équilibre sur une jambe plus de 10 secondes (tester les 2 jambes)</t>
    </r>
    <r>
      <rPr>
        <b/>
        <sz val="14"/>
        <color rgb="FFFF0000"/>
        <rFont val="Calibri"/>
        <family val="2"/>
        <scheme val="minor"/>
      </rPr>
      <t xml:space="preserve"> (non-fait=0 , non=2, oui=1)</t>
    </r>
  </si>
  <si>
    <t>Fréquence cardiaque debout</t>
  </si>
  <si>
    <t>Pression artérielle systolique debout</t>
  </si>
  <si>
    <t>syndrome de tachycardie orthostatique posturale (STOP) </t>
  </si>
  <si>
    <t>Delta FC assis debout</t>
  </si>
  <si>
    <t>Delta pression artérielle systolique assis debout</t>
  </si>
  <si>
    <t>Une hypotension orthostatique peut être suspectée si la différence de PA systolique assis-debour est supérieure à 20mmHg</t>
  </si>
  <si>
    <t>Un syndrome de tachycardie orthostatique posturale peut être suspecté si la différence de FC assis debout est supérieure à 30 pulsations / minutes</t>
  </si>
  <si>
    <t>Fréquence cardiaque repos</t>
  </si>
  <si>
    <t>Delta FC assis-debout</t>
  </si>
  <si>
    <t>Acuité visuele</t>
  </si>
  <si>
    <t>SP02</t>
  </si>
  <si>
    <t>Test DMLA  (AMSLER)</t>
  </si>
  <si>
    <t>Presion artérielle systolique repos</t>
  </si>
  <si>
    <t>Presion artérielle diastolique repos</t>
  </si>
  <si>
    <t>Delta PA systolique  assis-debout</t>
  </si>
  <si>
    <t>Test appui unipodal</t>
  </si>
  <si>
    <t>SP02 au repos</t>
  </si>
  <si>
    <t> Le taux d’oxygène dans le sang doit être compris entre 95 et 100%</t>
  </si>
  <si>
    <t>Détection fibrillation atriale au repos ou à l'effort (non fait=0, normale=2 ou anormale=1)</t>
  </si>
  <si>
    <r>
      <t xml:space="preserve">Avez-vous reçu le vaccin contre les méningocoques ACWY ? </t>
    </r>
    <r>
      <rPr>
        <b/>
        <sz val="14"/>
        <color rgb="FFFF0000"/>
        <rFont val="Calibri"/>
        <family val="2"/>
        <scheme val="minor"/>
      </rPr>
      <t xml:space="preserve"> (non=0, oui=1, ne sais pas =2)</t>
    </r>
  </si>
  <si>
    <r>
      <t xml:space="preserve">Avez-vous reçu le vaccin contre les méningocoques  B ? </t>
    </r>
    <r>
      <rPr>
        <b/>
        <sz val="14"/>
        <color rgb="FFFF0000"/>
        <rFont val="Calibri"/>
        <family val="2"/>
        <scheme val="minor"/>
      </rPr>
      <t xml:space="preserve"> (non=0, oui=1, ne sais pas =2)</t>
    </r>
  </si>
  <si>
    <t>Vaccin contre le ménigoccoque ACWY</t>
  </si>
  <si>
    <t>Vaccin contre le ménigoccoque B</t>
  </si>
  <si>
    <t>Dépendance Autonomie (100% pas de dépendance)</t>
  </si>
  <si>
    <t>Dépendance</t>
  </si>
  <si>
    <t>Dépendance Autonomie</t>
  </si>
  <si>
    <t xml:space="preserve">Vaccination Tetanos (diphtérie, coqueluche, polio), ou Test IgG, </t>
  </si>
  <si>
    <t xml:space="preserve">Vaccination Pneumoccoque, </t>
  </si>
  <si>
    <t xml:space="preserve">Vaccination COVID, </t>
  </si>
  <si>
    <t xml:space="preserve">Vaccination hepatite, </t>
  </si>
  <si>
    <t xml:space="preserve">Vaccination ROR, </t>
  </si>
  <si>
    <t xml:space="preserve">Vaccination E. Tiques, </t>
  </si>
  <si>
    <t xml:space="preserve">Vaccination méningoccoque ACWY, </t>
  </si>
  <si>
    <t xml:space="preserve">Vaccination méningoccoque B, </t>
  </si>
  <si>
    <t xml:space="preserve">Vaccination hémophilus, </t>
  </si>
  <si>
    <t xml:space="preserve">Dépistage  cancer du sein, </t>
  </si>
  <si>
    <t xml:space="preserve">Score ROMA (Ovaire), </t>
  </si>
  <si>
    <t>SI RR &gt;par systéme</t>
  </si>
  <si>
    <t>SI RR&gt;2 global</t>
  </si>
  <si>
    <t>Score K cutanés</t>
  </si>
  <si>
    <t>Vegane</t>
  </si>
  <si>
    <r>
      <t>Avez-vous déjà réalisé un test de dépistage d’infections sexuellement transmissibles au cours des 12 derniers mois?</t>
    </r>
    <r>
      <rPr>
        <b/>
        <sz val="14"/>
        <color rgb="FFFF0000"/>
        <rFont val="Calibri"/>
        <family val="2"/>
        <scheme val="minor"/>
      </rPr>
      <t xml:space="preserve"> (non=0, oui=1)</t>
    </r>
  </si>
  <si>
    <t>Score Visionmetrc</t>
  </si>
  <si>
    <t>Acuité visuelle (non fait=0, normale=2 ou anormale=1)</t>
  </si>
  <si>
    <t xml:space="preserve"> cardiaque BNP</t>
  </si>
  <si>
    <t>addiction Tabac&gt;5/j</t>
  </si>
  <si>
    <t>Date</t>
  </si>
  <si>
    <t>Taille</t>
  </si>
  <si>
    <t>Poids</t>
  </si>
  <si>
    <t xml:space="preserve">Tabac (paquets années) : </t>
  </si>
  <si>
    <t>Cartographie des systèmes</t>
  </si>
  <si>
    <t>Score mixte</t>
  </si>
  <si>
    <t>Légende</t>
  </si>
  <si>
    <t>Suivi</t>
  </si>
  <si>
    <t>Vigilance</t>
  </si>
  <si>
    <t>Sensibilisation</t>
  </si>
  <si>
    <t>Descriptif</t>
  </si>
  <si>
    <t>Système cardiovasculaire</t>
  </si>
  <si>
    <t>Systéme endocrinien et métabolique</t>
  </si>
  <si>
    <t>Systéme digestif</t>
  </si>
  <si>
    <t>Systéme du foie et des voies biliaires</t>
  </si>
  <si>
    <t>Système génital</t>
  </si>
  <si>
    <t>Systéme locomoteur</t>
  </si>
  <si>
    <t>Système nerveux et mental</t>
  </si>
  <si>
    <t>Systéme respiratoire</t>
  </si>
  <si>
    <t>Digestion</t>
  </si>
  <si>
    <t>Muscles et articulation</t>
  </si>
  <si>
    <t>Vos demandes</t>
  </si>
  <si>
    <t>Données cliniques et biologiques</t>
  </si>
  <si>
    <t>Cartographie environnement et habitudes de vies</t>
  </si>
  <si>
    <t>Description</t>
  </si>
  <si>
    <t>Activité physique</t>
  </si>
  <si>
    <t>Addictions &amp; consommations</t>
  </si>
  <si>
    <t>Dépendance et autonomie</t>
  </si>
  <si>
    <t>Médications</t>
  </si>
  <si>
    <t>Pollution aérienne</t>
  </si>
  <si>
    <t>Santé et charge mentale</t>
  </si>
  <si>
    <t>Sensibilité cutanée (UV)</t>
  </si>
  <si>
    <t>Poids corporel idéal</t>
  </si>
  <si>
    <t>Poids corporel idéal à 12 mois </t>
  </si>
  <si>
    <t>Apport en protéines (g/jour)</t>
  </si>
  <si>
    <t xml:space="preserve">Sel (g/jour) </t>
  </si>
  <si>
    <t>FCmax estimé (bpm) HOMME</t>
  </si>
  <si>
    <t>FCmax estimé (bpm) FEMME</t>
  </si>
  <si>
    <t>FCcible estimé (bpm) HOMME - 70%</t>
  </si>
  <si>
    <t>FCcible estimé (bpm) FEMME - 70%</t>
  </si>
  <si>
    <t>Biologie</t>
  </si>
  <si>
    <t xml:space="preserve">Compléments </t>
  </si>
  <si>
    <t>B12</t>
  </si>
  <si>
    <t>Ubiquinol</t>
  </si>
  <si>
    <t>B6</t>
  </si>
  <si>
    <t>Dans la norme</t>
  </si>
  <si>
    <t>Qualité de vie réduite</t>
  </si>
  <si>
    <t>Qualité de vie à améliorer</t>
  </si>
  <si>
    <t>Bonne qualité perçue</t>
  </si>
  <si>
    <t>Faire apparaitre dans rapport (IMC)</t>
  </si>
  <si>
    <t>Faire apparaitre dans rapport (H vs F)</t>
  </si>
  <si>
    <t xml:space="preserve">Apnée du sommeil </t>
  </si>
  <si>
    <t>Conseils nutritionnels</t>
  </si>
  <si>
    <t>Dépistage(s) recommandé(s)</t>
  </si>
  <si>
    <t>Conseils pour une bonne condition physique</t>
  </si>
  <si>
    <t>Conseil pour une morphologie optimale</t>
  </si>
  <si>
    <t xml:space="preserve">Calories quotidiennes à consommer pour perdre du poids à hauteur de 0.25kg / semaine (kcal) </t>
  </si>
  <si>
    <t xml:space="preserve">Calories quotidiennes à consommer pour gagner du poids à hauteur de 0.25kg / semaine (kcal) </t>
  </si>
  <si>
    <t>Conseils sur la consommation de tabac</t>
  </si>
  <si>
    <t>Conseils sur la consommation d’alcool</t>
  </si>
  <si>
    <t>Consultation(s) de routine recommandée(s)</t>
  </si>
  <si>
    <t>Libellé</t>
  </si>
  <si>
    <t>Elements additionnels</t>
  </si>
  <si>
    <t>Delta fréquence cardiaque assis debout</t>
  </si>
  <si>
    <t>&lt;p&gt;La &lt;strong&gt;pression systolique&lt;/strong&gt; correspond à la pression du sang lors de la contraction du cœur. Repères usuels : inférieure à 90 (basse) · 90 à 120 (souhaitable) · 120 à 140 (intermédiaire) · supérieure à 140 (élevée).&lt;/p&gt;</t>
  </si>
  <si>
    <t>&lt;p&gt;La &lt;strong&gt;pression diastolique&lt;/strong&gt; correspond à la pression du sang entre deux battements du cœur. Repères usuels : inférieure à 60 (basse) · 60 à 80 (souhaitable) · 80 à 90 (intermédiaire) · supérieure à 90 (élevée).&lt;/p&gt;</t>
  </si>
  <si>
    <t>&lt;p&gt;La &lt;strong&gt;fréquence cardiaque&lt;/strong&gt; au repos correspond au nombre de battements par minute. Repères usuels chez l'adulte : 50 à 85 bpm au repos. Une fréquence plus basse peut s'observer chez les personnes très entraînées ; une fréquence plus élevée peut être liée à un manque d'activité physique ou à d'autres facteurs.&lt;/p&gt;</t>
  </si>
  <si>
    <t>&lt;p&gt;Le &lt;strong&gt;cholestérol&lt;/strong&gt; circule dans le sang sous deux formes principales : le LDL et le HDL. Sa lecture se fait en tenant compte de ces deux fractions, et non du seul cholestérol total. Repères usuels pour le cholestérol total : inférieur à 2 g/L (souhaitable) · 2 à 2,39 g/L (intermédiaire) · 2,40 g/L ou plus (élevé). Des valeurs supérieures à la plage normale indiquent la nécessité d'une analyse quantitative du profil des lipoprotéines avec un professionnel de santé.&lt;/p&gt;</t>
  </si>
  <si>
    <t>&lt;p&gt;La &lt;strong&gt;SpO2&lt;/strong&gt; mesure le taux d'oxygène dans le sang. Repère usuel : entre 95 et 100 %.&lt;/p&gt;</t>
  </si>
  <si>
    <t>&lt;p&gt;La &lt;strong&gt;glycémie à jeun&lt;/strong&gt; mesure le taux de sucre dans le sang. Repère usuel à jeun : entre 0,70 et 1,10 g/L. Une valeur en dehors de cette plage s'interprète avec un professionnel de santé, qui pourra proposer une mesure de contrôle si nécessaire.&lt;/p&gt;</t>
  </si>
  <si>
    <t>&lt;p&gt;L'&lt;strong&gt;HbA1c&lt;/strong&gt; reflète la glycémie moyenne des trois derniers mois. Repère usuel : inférieure à 5,7 %. Cette mesure doit être confirmée par une mesure de contrôle.&lt;/p&gt;</t>
  </si>
  <si>
    <t>&lt;p&gt;Le &lt;strong&gt;débit de filtration glomérulaire&lt;/strong&gt; évalue le fonctionnement des reins. Sa valeur dépend notamment de l'âge, du sexe et de la masse musculaire.&lt;/p&gt;</t>
  </si>
  <si>
    <t>&lt;p&gt;L'&lt;strong&gt;acuité visuelle&lt;/strong&gt; mesure la précision de la vision. Une anomalie justifie un examen ophtalmologique plus approfondi.&lt;/p&gt;</t>
  </si>
  <si>
    <t>&lt;p&gt;Le &lt;strong&gt;test d'Amsler&lt;/strong&gt; est un test simple de la vision centrale. Si le résultat est à vérifier, un examen auprès d'un ophtalmologue permet de faire le point.&lt;/p&gt;</t>
  </si>
  <si>
    <t>&lt;p&gt;Examens cliniques et biologiques types de prévention. Les repères sont indicatifs et s'interprètent toujours avec un professionnel de santé.&lt;/p&gt;</t>
  </si>
  <si>
    <t>&lt;p&gt;Le &lt;strong&gt;système cardiovasculaire&lt;/strong&gt; assure l'oxygénation de vos organes et la régulation de vos constantes sanguines. Préserver votre cœur et vos vaisseaux aide à maintenir votre endurance et à prévenir la fatigue.&lt;/p&gt;</t>
  </si>
  <si>
    <t>&lt;p&gt;Le &lt;strong&gt;métabolisme&lt;/strong&gt; est le moteur de votre énergie ; il régule votre poids, votre glycémie et vos hormones. Veiller à son bon fonctionnement aide à prévenir la fatigue et à maintenir votre vitalité.&lt;/p&gt;</t>
  </si>
  <si>
    <t>&lt;p&gt;Le &lt;strong&gt;système digestif&lt;/strong&gt; est responsable de l'assimilation des nutriments et de l'élimination des déchets. Son bon fonctionnement est un pilier de votre niveau d'énergie et de votre immunité globale.&lt;/p&gt;</t>
  </si>
  <si>
    <t>&lt;p&gt;Le &lt;strong&gt;foie&lt;/strong&gt; filtre et transforme tout ce que vous consommez ; il joue un rôle clé dans la digestion et l'élimination. Le préserver est important car il se manifeste tardivement, ce qui rend la prévention d'autant plus utile.&lt;/p&gt;</t>
  </si>
  <si>
    <t>&lt;p&gt;La &lt;strong&gt;sphère intime et reproductive&lt;/strong&gt; gère la dimension intime ou reproductive. Son équilibre participe pleinement à votre bien-être global et à votre qualité de vie.&lt;/p&gt;</t>
  </si>
  <si>
    <t>&lt;p&gt;Le &lt;strong&gt;système locomoteur&lt;/strong&gt; — os, articulations et muscles — forme l'architecture de votre corps. Un système locomoteur préservé soutient votre mobilité, votre confort physique et votre autonomie au fil du temps.&lt;/p&gt;</t>
  </si>
  <si>
    <t>&lt;p&gt;Le &lt;strong&gt;système nerveux et mental&lt;/strong&gt; englobe votre équilibre émotionnel, votre gestion du stress et vos fonctions cognitives. En prendre soin contribue à une bonne qualité de vie au quotidien.&lt;/p&gt;</t>
  </si>
  <si>
    <t>&lt;p&gt;Le &lt;strong&gt;système respiratoire&lt;/strong&gt; oxygène l'ensemble de votre corps et filtre l'air ambiant. Maintenir une bonne capacité respiratoire soutient votre résistance à l'effort et votre vitalité globale.&lt;/p&gt;</t>
  </si>
  <si>
    <t>&lt;p&gt;Le &lt;strong&gt;système sensoriel&lt;/strong&gt; conditionne votre perception, votre autonomie et votre lien aux autres. Préserver vision et audition contribue à votre confort quotidien et à votre énergie sur la durée.&lt;/p&gt;</t>
  </si>
  <si>
    <t>&lt;p&gt;Les &lt;strong&gt;reins&lt;/strong&gt; filtrent en permanence votre sang et participent à la régulation de la tension. Maintenir leur bon fonctionnement aide à protéger durablement votre équilibre interne et votre énergie.&lt;/p&gt;</t>
  </si>
  <si>
    <t>&lt;p&gt;La &lt;strong&gt;prévention et le dépistage précoce&lt;/strong&gt; sont des leviers efficaces face au cancer. Connaître les dépistages adaptés à votre profil et à votre âge est une façon d'agir tôt.&lt;/p&gt;</t>
  </si>
  <si>
    <t>&lt;p&gt; Continuez votre suivi habituel et signalez à votre médecin tout changement perçu.&lt;/p&gt;</t>
  </si>
  <si>
    <t>&lt;p&gt;Points de vigilance à aborder en priorité.&lt;/p&gt;</t>
  </si>
  <si>
    <t>&lt;p&gt;Point d'attention pouvant bénéficier d'ajustements de votre hygiène de vie ou de surveillance sur le long terme.&lt;/p&gt;</t>
  </si>
  <si>
    <t>&lt;p&gt; Maintenez vos bonnes habitudes actuelles.&lt;/p&gt;</t>
  </si>
  <si>
    <t>&lt;p&gt;Vous déclarez avoir un inconfort majeur. Ce ressenti est un indicateur important à prendre en compte dans votre suivi.&lt;/p&gt;</t>
  </si>
  <si>
    <t>&lt;p&gt;Vous déclarez avoir quelques inconforts qui ponctuent votre quotidien. Y prêter attention et faire de simples ajustements de votre hygiène de vie sont de bons réflexes de prévention.&lt;/p&gt;</t>
  </si>
  <si>
    <t>&lt;p&gt; Vous déclarez avoir un ressenti positif. C'est un précieux capital qui soutient votre équilibre global.&lt;/p&gt;</t>
  </si>
  <si>
    <t>&lt;p&gt;Sujets à aborder en priorité&lt;/p&gt;</t>
  </si>
  <si>
    <t>&lt;p&gt; Votre ressenti est un indicateur de santé à part entière, complémentaire des données cliniques. Cette section reflète votre qualité de vie perçue dans plusieurs dimensions du quotidien (physique et mentale).&lt;/p&gt;</t>
  </si>
  <si>
    <t>&lt;p&gt;La prévention en santé consiste à repérer des facteurs connus pour agir sur la santé des individus. Cette analyse met en évidence plusieurs axes de prévention qui vous sont propres, comparés aux tendances observées dans des bases de données populationnelles.&lt;/p&gt;</t>
  </si>
  <si>
    <t>&lt;p&gt;Votre niveau d'&lt;strong&gt;activité physique&lt;/strong&gt; et votre temps en position assise ou allongée se situent en dessous des repères recommandés pour votre sexe et âge. Bouger régulièrement soutient le cœur, le métabolisme, l'humeur et la mobilité : c'est l'un des leviers de prévention à tout âge. (réf. 2.2 Repères officiels)&lt;/p&gt;</t>
  </si>
  <si>
    <t>&lt;p&gt;Votre &lt;strong&gt;couverture vaccinale et vos dépistages&lt;/strong&gt; déclarés ne sont pas en adéquation avec les recommandations en vigueur pour votre tranche d'âge. Maintenir cette protection à jour est l'un des leviers de prévention pour éviter certaines maladies graves et détecter tôt celles qui se traitent mieux à un stade précoce. (réf. 2.2 Repères officiels)&lt;/p&gt;</t>
  </si>
  <si>
    <t>&lt;p&gt;Vous déclarez que certains gestes du quotidien sont devenus difficiles ou nécessitent une aide. Maintenir son &lt;strong&gt;autonomie&lt;/strong&gt; est un enjeu central pour la qualité de vie ; activité physique adaptée, lien social et aménagement du logement en sont les piliers.&lt;/p&gt;</t>
  </si>
  <si>
    <t>&lt;p&gt;Vous déclarez des situations qui peuvent justifier un dépistage des &lt;strong&gt;infections sexuellement transmissibles (IST)&lt;/strong&gt;. Ces infections concernent toutes les tranches d'âge et restent sous-dépistées. Une protection régulière et un dépistage périodique sont des réflexes de prévention efficaces.&lt;/p&gt;</t>
  </si>
  <si>
    <t>&lt;p&gt;Vous déclarez prendre plusieurs traitements simultanément. La &lt;strong&gt;polymédication&lt;/strong&gt; peut augmenter le risque d'interactions et générer fatigue ou effets indésirables ; une revue régulière des traitements est un pilier du suivi. Un échange avec votre pharmacien sur l'observance (par exemple via le questionnaire Girerd) peut aider à faire le point.&lt;/p&gt;</t>
  </si>
  <si>
    <t>&lt;p&gt;Vos &lt;strong&gt;habitudes alimentaires&lt;/strong&gt; actuelles diffèrent des repères recommandés (par exemple : excès de sel, sucre et graisses ou déficit en fruits &amp;amp; légumes ou protéines). L'alimentation est un déterminant majeur de votre santé cardiovasculaire, métabolique et digestive sur le long terme. (réf. 2.2 Repères officiels)&lt;/p&gt;</t>
  </si>
  <si>
    <t>&lt;p&gt;Vous déclarez une exposition possible à plusieurs sources de &lt;strong&gt;pollution aérienne&lt;/strong&gt; (tabac, vapotage, trafic routier, émanations de produits ménagers, environnement de travail). Une exposition prolongée à ces sources peut avoir un impact sur la santé respiratoire et cardiovasculaire. Aérer régulièrement les espaces de vie reste un geste simple.&lt;/p&gt;</t>
  </si>
  <si>
    <t>&lt;p&gt;Vous déclarez des éléments qui peuvent peser sur votre quotidien. Préserver l'&lt;strong&gt;équilibre psychologique&lt;/strong&gt; est aussi important que la santé physique, et des solutions d'accompagnement existent (médecin traitant, psychologue, lignes d'écoute).&lt;/p&gt;</t>
  </si>
  <si>
    <t>&lt;p&gt;Vous déclarez une exposition solaire fréquente, peu de protection, et/ou une peau sensible. La &lt;strong&gt;peau&lt;/strong&gt; est l'organe le plus exposé aux agressions extérieures, et la sensibilité aux UV varie selon le type de peau. Une protection adaptée (écran solaire, vêtements, éviction des heures à risque) fait partie des gestes de prévention recommandés par Santé publique France pour préserver la santé cutanée à long terme.&lt;/p&gt;</t>
  </si>
  <si>
    <t>&lt;p&gt;Vous déclarez rencontrer quelques perturbations du &lt;strong&gt;sommeil&lt;/strong&gt;. Les sources peuvent être multiples (stress, exposition aux écrans, sédentarité, habitudes de consommation ou éventuels troubles respiratoires). Un sommeil de qualité contribue à la récupération, à l'équilibre émotionnel et à l'énergie au quotidien.&lt;/p&gt;</t>
  </si>
  <si>
    <t>&lt;p&gt;De simples ajustements progressifs dans votre quotidien peuvent durablement améliorer votre énergie et votre santé métabolique. Retrouvez ici les repères officiels des instances de santé publiques pour optimiser vos habitudes et votre hygiène de vie. Ces objectifs sont donnés à titre indicatif et peuvent être adaptés à votre rythme avec l'aide d’un professionnel de santé.&lt;/p&gt;</t>
  </si>
  <si>
    <t>&lt;ul&gt;
  &lt;li&gt;Complétion du questionnaire Fagerström&lt;/li&gt;
  &lt;li&gt;Entretien sur le tabagisme avec votre pharmacien&lt;/li&gt;
&lt;/ul&gt;
&lt;p&gt;(&lt;a href="https://www.ameli.fr/assure/sante/themes/tabac"&gt;AMELI — Tabac&lt;/a&gt;)&lt;/p&gt;</t>
  </si>
  <si>
    <t>&lt;ul&gt;
  &lt;li&gt;Complétion du questionnaire AUDIT&lt;/li&gt;
  &lt;li&gt;Limiter la consommation d'alcool à 2 verres/jour et 10 verres/semaine maximum&lt;/li&gt;
&lt;/ul&gt;
&lt;p&gt;(&lt;a href="https://www.ameli.fr/assure/sante/themes/alcool-sante/definition-reperes-consommation"&gt;AMELI — alcool&lt;/a&gt;)&lt;/p&gt;</t>
  </si>
  <si>
    <t>&lt;p&gt;La &lt;strong&gt;vitamine D&lt;/strong&gt; contribue au maintien d'une ossature normale et au fonctionnement normal du système immunitaire.&lt;/p&gt;</t>
  </si>
  <si>
    <t>&lt;p&gt;Selon les bonnes pratiques professionnelles, certains nutriments peuvent contribuer au bon fonctionnement de l'organisme. Cette section présente, à titre informatif, des compléments alimentaires fréquemment évoqués en prévention. &lt;em&gt;Important : ces informations vous sont données à titre indicatif et ne remplacent pas un avis professionnel. En cas de traitement médical en cours, consultez toujours votre médecin ou votre pharmacien avant toute prise.&lt;/em&gt;&lt;/p&gt;</t>
  </si>
  <si>
    <t>&gt;1.2 et &lt;3</t>
  </si>
  <si>
    <t>&gt;1 et =&lt;1.2</t>
  </si>
  <si>
    <t>&gt;3</t>
  </si>
  <si>
    <t>Pression artérielle systolique (mmHg) Au repos, couché ou assis</t>
  </si>
  <si>
    <t>Pression artérielle diastolique (mmHg) Au repos, couché ou assis</t>
  </si>
  <si>
    <t>Fréquence cardiaque (bpm) Au repos, couché ou assis</t>
  </si>
  <si>
    <t>Cholestérol total (mmol/L)
LDL-cholestérol (mmol/L)
HDL-cholestérol (mmol/L)
+ 60 ans ou profil sensible</t>
  </si>
  <si>
    <t>Saturation en oxygène SpO2 (%) Au repos</t>
  </si>
  <si>
    <t>Glycémie capillaire à jeun (g/L)</t>
  </si>
  <si>
    <t>Hémoglobine glyquée HbA1c (%)</t>
  </si>
  <si>
    <t>Débit de filtration glomérulaire (ml/min/1,73m²)</t>
  </si>
  <si>
    <t xml:space="preserve">Acuité visuelle </t>
  </si>
  <si>
    <t>Test d’Amsler (DMLA)
+ 50 ans</t>
  </si>
  <si>
    <t>&lt;p&gt;Vous déclarez une &lt;strong&gt;consommation&lt;/strong&gt; ({=H107}) qui diffère des repères recommandés. Au-delà du plaisir ou du confort qu'elles peuvent procurer, ces consommations agissent sur de multiples systèmes (cœur, foie, système nerveux, sommeil) et leur impact se cumule dans le temps. (réf. 2.2 Repères officiels)&lt;/p&gt;</t>
  </si>
  <si>
    <t>&lt;p&gt;L'analyse de vos réponses; mises en regard de référentiels publics (&lt;strong&gt;HAS&lt;/strong&gt;; &lt;strong&gt;Santé publique France&lt;/strong&gt;); permet de structurer les déterminants de santé que vous avez signalés. Elle identifie les points satisfaisants et ceux nécessitant une attention particulière dans une démarche de prévention. Ce document n'établit aucun diagnostic et ne constitue pas une évaluation clinique de votre état de santé.&lt;/p&gt;</t>
  </si>
  <si>
    <t>Elements additionnels2</t>
  </si>
  <si>
    <t>Elements additionnels3</t>
  </si>
  <si>
    <t>REFERENCES</t>
  </si>
  <si>
    <t>PROFIL</t>
  </si>
  <si>
    <t>Test d'aptitude fréquence cardiaque à l'effort (Indice de Ruffier-Dickson)</t>
  </si>
  <si>
    <t xml:space="preserve">Légende </t>
  </si>
  <si>
    <t xml:space="preserve">Description  </t>
  </si>
  <si>
    <t>CARTO_SYSTEMES</t>
  </si>
  <si>
    <t>Mon arthrose</t>
  </si>
  <si>
    <t>QUALITE_VIE</t>
  </si>
  <si>
    <t>DEMANDES</t>
  </si>
  <si>
    <t>DONNEES</t>
  </si>
  <si>
    <t xml:space="preserve">Autres déterminants : </t>
  </si>
  <si>
    <t>Dépendances identifiées</t>
  </si>
  <si>
    <t>CARTO_HABITUDES-ENVIR</t>
  </si>
  <si>
    <t>Recommandation à faire apparaitre dans le rapport en plus des informations sur la nutrition, la morphologie et l'activité physique (comme non-vide)</t>
  </si>
  <si>
    <t>Faire apparaitre dans rapport (OUI VS NON)</t>
  </si>
  <si>
    <t>REPERES_OFFICIELS</t>
  </si>
  <si>
    <t>COMPLEMENTS</t>
  </si>
  <si>
    <t>&lt;p&gt;Voici les dépistages organisés recommandés pour vous mettre à jour : {B204}{B205}&lt;/p&gt;
&lt;p&gt;(&lt;a href="https://www.ameli.fr/assure/sante/themes/cancers/depistage-prevention"&gt;AMELI — dépistages&lt;/a&gt;)&lt;/p&gt;</t>
  </si>
  <si>
    <t>&lt;ul&gt;
  &lt;li&gt;Faire au moins 30 minutes d'activités physiques dynamiques par jour (sport, marche rapide, monter d'escaliers, jardinage…)&lt;/li&gt;
  &lt;li&gt;Adapter votre niveau d'activité physique sur la fréquence cardiaque maximale à l'effort (FCmax) vs votre fréquence cardiaque à l'entraînement (FCcible)
    &lt;ul&gt;
      &lt;li&gt;FCmax estimé (bpm) : {B177}{B178}&lt;/li&gt;
      &lt;li&gt;FCcible estimé (bpm) : {B179}{B180}&lt;/li&gt;
    &lt;/ul&gt;
  &lt;/li&gt;
  &lt;li&gt;Réduire le temps passé en position assise ou allongée au quotidien : marcher un peu toutes les 2 heures&lt;/li&gt;
&lt;/ul&gt;
&lt;p&gt;(&lt;a href="https://www.has-sante.fr/upload/docs/application/pdf/2022-08/guide_connaissance_ap_sedentarite_vf.pdf"&gt;Haute Autorité de Santé — sédentarité&lt;/a&gt;)&lt;/p&gt;</t>
  </si>
  <si>
    <t>&lt;ul&gt;
  &lt;li&gt;Complétion d'un questionnaire nutritionnel&lt;/li&gt;
  &lt;li&gt;Consommer 5+ portions de fruits et légumes par jour&lt;/li&gt;
  &lt;li&gt;Réduire les sucres et graisses animales&lt;/li&gt;
  &lt;li&gt;Ajuster l'apport en protéines à la morphologie (g/jour) : {B169}&lt;/li&gt;
  &lt;li&gt;Limiter le sel à (g/jour) : {B170}&lt;/li&gt;
  &lt;li&gt;Quantité d'eau à boire quotidiennement (litres) : {B171}&lt;/li&gt;
&lt;/ul&gt;
&lt;p&gt;(&lt;a href="https://www.mangerbouger.fr/manger-mieux/a-tout-age-et-a-chaque-etape-de-la-vie/les-recommandations-alimentaires-pour-les-adultes"&gt;Programme national nutrition santé — PNNS&lt;/a&gt;)&lt;/p&gt;</t>
  </si>
  <si>
    <t>&lt;ul&gt;
  &lt;li&gt;Objectif de poids corporel à 12 mois (kg) : {B160}
    &lt;ul&gt;&lt;li&gt;Le poids corporel de référence étant de (kg) : {B159}&lt;/li&gt;&lt;/ul&gt;
  &lt;/li&gt;
  &lt;li&gt;{A161}{A162}{A163} : {B161}{B162}{B163}&lt;/li&gt;
&lt;/ul&gt;
&lt;p&gt;(&lt;a href="https://www.ameli.fr/assure/sante/themes/surpoids-obesite-adulte/calcul-imc-bilan-medical"&gt;AMELI — surpoids et obésité&lt;/a&gt; &amp;amp; &lt;a href="https://www.has-sante.fr/jcms/c_964938/fr/surpoids-et-obesite-de-l-adulte-prise-en-charge-medicale-de-premier-recours#toc_1_7"&gt;HAS — prise en charge&lt;/a&gt;)&lt;/p&gt;</t>
  </si>
  <si>
    <t>&lt;p&gt;Les recommandations officielles suggèrent de consulter régulièrement certains professionnels de santé. Voici les consultations de suivi recommandées :&lt;/p&gt;
&lt;p&gt;{B211}&lt;/p&gt;</t>
  </si>
  <si>
    <t>&lt;p&gt;Voici les vaccinations organisées recommandées pour mettre à jour votre couverture vaccinale : {B198}&lt;/p&gt;
&lt;p&gt;(&lt;a href="https://sante.gouv.fr/prevention-en-sante/preserver-sa-sante/vaccination/calendrier-vaccinal"&gt;Ministère de la Santé — calendrier vaccinal&lt;/a&gt;)&lt;/p&gt;</t>
  </si>
  <si>
    <t>&lt;p&gt;&lt;strong&gt;L'indice de masse corporelle (IMC)&lt;/strong&gt; est un indicateur permettant d'estimer la corpulence et d'évaluer le risque de maladies associées à un excès de masse grasse.&lt;/p&gt;
&lt;p&gt;&lt;strong&gt;Repères usuels :&lt;/strong&gt; Insuffisance pondérale : inférieure à 18,5 · Normale : 18,5 à 24,9 · Surpoids : 25,0 à 29,9 · Obésité : 30,0 et plus.&lt;/p&gt;</t>
  </si>
  <si>
    <t>&lt;p&gt;&lt;strong&gt;Le paquet-année (PA)&lt;/strong&gt; est une unité de mesure de la consommation de tabac. Le risque de cancer augmente avec l'intensité de la consommation tabagique, mais plus encore avec sa durée.&lt;/p&gt;
&lt;p&gt;&lt;strong&gt;Repère usuel :&lt;/strong&gt; À partir de 20 paquets-années, un dépistage des maladies associées au tabagisme est recommandé.&lt;/p&gt;</t>
  </si>
  <si>
    <t>&lt;p&gt;&lt;strong&gt;Le test des flexions&lt;/strong&gt; évalue l'aptitude de la fréquence cardiaque à l'effort.&lt;/p&gt;
&lt;p&gt;&lt;strong&gt;Repères usuels :&lt;/strong&gt; Excellent ou très bon : inférieur à 2 · Bon : 2 à 4 · Moyen : 4 à 6 · Faible : 6 à 8 · Très faible ou médiocre : supérieur à 8.&lt;/p&gt;</t>
  </si>
  <si>
    <t>&lt;p&gt;&lt;strong&gt;Le tour de taille&lt;/strong&gt; aide à dépister les risques pour la santé liés au surpoids et à l'obésité.&lt;/p&gt;
&lt;p&gt;&lt;strong&gt;Repères usuels :&lt;/strong&gt; Le risque augmente avec un tour de taille supérieur à 102 cm chez l'homme et à 88 cm chez la femme.&lt;/p&gt;</t>
  </si>
  <si>
    <t>&lt;p&gt;&lt;strong&gt;Le tour de cou&lt;/strong&gt; est un indicateur utilisé notamment dans le dépistage du syndrome d'apnée du sommeil.&lt;/p&gt;
&lt;p&gt;&lt;strong&gt;Repères usuels :&lt;/strong&gt; Normal si inférieur à 41 cm chez l'homme et à 36 cm chez la femme.&lt;/p&gt;</t>
  </si>
  <si>
    <t>&lt;p&gt;&lt;strong&gt;Le test orthostatique de fréquence cardiaque&lt;/strong&gt; permet de dépister un syndrome de tachycardie orthostatique posturale.&lt;/p&gt;
&lt;p&gt;&lt;strong&gt;Repère usuel :&lt;/strong&gt; Un syndrome peut être suspecté si la différence de fréquence cardiaque assis-debout est supérieure à 30 pulsations par minute.&lt;/p&gt;</t>
  </si>
  <si>
    <t>&lt;p&gt;&lt;strong&gt;Le test orthostatique de pression artérielle&lt;/strong&gt; permet de dépister une hypotension orthostatique.&lt;/p&gt;
&lt;p&gt;&lt;strong&gt;Repère usuel :&lt;/strong&gt; Une hypotension orthostatique peut être suspectée si la différence de pression artérielle systolique assis-debout est supérieure à 20 mmHg.&lt;/p&gt;</t>
  </si>
  <si>
    <t>&lt;p&gt;Un apport suffisant en &lt;strong&gt;ubiquinol&lt;/strong&gt; contribue au bon fonctionnement du métabolisme énergétique et au soutien de la vitalité cardiovasculaire.&lt;/p&gt;</t>
  </si>
  <si>
    <t>Traitement en cours</t>
  </si>
  <si>
    <t>Faire apparaitre ou non</t>
  </si>
  <si>
    <t xml:space="preserve">Traitements : </t>
  </si>
  <si>
    <t>Vaccination &amp; dépistages</t>
  </si>
  <si>
    <t>Troubles du sommeil</t>
  </si>
  <si>
    <t>Vaccinations à vérifier</t>
  </si>
  <si>
    <t>&lt;p&gt;La &lt;strong&gt;vitamine B12&lt;/strong&gt; contribue au fonctionnement normal du système nerveux; à la formation normale de globules rouges et à réduire la fatigue.&lt;/p&gt;
&lt;p&gt;&lt;strong&gt;La vitamine B12&lt;/strong&gt; contribue au fonctionnement normal du système nerveux, à la formation normale des globules rouges et à la réduction de la fatigue. Une supplémentation est généralement recommandée en cas de régime végan.&lt;/p&gt;</t>
  </si>
  <si>
    <t>&lt;p&gt;&lt;strong&gt;La vitamine B6&lt;/strong&gt; contribue au fonctionnement normal du système immunitaire, à une régulation normale de l'activité hormonale et à la réduction de la fatigue. Une supplémentation est généralement recommandée en cas de régime végan.&lt;/p&gt;</t>
  </si>
  <si>
    <t>&lt;25%(H) &lt;35%(F)</t>
  </si>
  <si>
    <t>&gt;0,8</t>
  </si>
  <si>
    <t>&gt;27(H) &gt;16(F)</t>
  </si>
  <si>
    <t>&gt;500(H) &gt;385(F)</t>
  </si>
  <si>
    <t>&gt;10sec</t>
  </si>
  <si>
    <t>&gt;7(H) &gt;5,5(F)</t>
  </si>
  <si>
    <t>&gt;25%(H) &gt;35%(F)</t>
  </si>
  <si>
    <t>&lt;27(H) &lt;16(F)</t>
  </si>
  <si>
    <t>&lt;500(H) &lt;385(F)</t>
  </si>
  <si>
    <t>&gt;70</t>
  </si>
  <si>
    <t>64-83</t>
  </si>
  <si>
    <t>8-12%</t>
  </si>
  <si>
    <t>&gt;15</t>
  </si>
  <si>
    <t>&lt;1,0</t>
  </si>
  <si>
    <t>2,5-7,5</t>
  </si>
  <si>
    <t>30-120</t>
  </si>
  <si>
    <t>&lt;17</t>
  </si>
  <si>
    <t>5000-12000</t>
  </si>
  <si>
    <t>0,3-1</t>
  </si>
  <si>
    <t>3,1-6,8</t>
  </si>
  <si>
    <t>70-130</t>
  </si>
  <si>
    <t>1,6-2,6</t>
  </si>
  <si>
    <t>200-900</t>
  </si>
  <si>
    <t>0,5-1,7</t>
  </si>
  <si>
    <t>Négatif</t>
  </si>
  <si>
    <t>Positif</t>
  </si>
  <si>
    <t>Anormal</t>
  </si>
  <si>
    <t>&gt;0,4</t>
  </si>
  <si>
    <t>&lt;10%</t>
  </si>
  <si>
    <t>&gt;10%</t>
  </si>
  <si>
    <t>&lt;100(H) &lt;5(F)</t>
  </si>
  <si>
    <t>&gt;100(H) &gt;5(F)</t>
  </si>
  <si>
    <t>0,9-1,5</t>
  </si>
  <si>
    <t>0,8-0,9</t>
  </si>
  <si>
    <t>&lt;0,8 ou &gt;1,5</t>
  </si>
  <si>
    <t>0-1</t>
  </si>
  <si>
    <t>Hormone thyroïdienne active valeurs normales usuelles 3,1–6,8 pmol/L</t>
  </si>
  <si>
    <t xml:space="preserve">Prohormone thyroïdienne valeurs normales usuelles 12–22 pmol/L </t>
  </si>
  <si>
    <t>Le phosphore est, avec le calcium, le composant le plus abondant du squelette. Il joue un rôle clé dans le métabolisme cellulaire (synthèse d'ATP, phospholipides membranaires). La phosphatémie varie avec l'âge et le sexe et présente des variations nycthémérales (prélèvement à jeun recommandé). Valeurs normales adulte : 0,9 à 1,5 mmol/l (28 à 46 mg/l). Une hypophosphorémie (&lt;0,8 mmol/l) peut être liée à une perte rénale, un déficit d'absorption digestive ou une redistribution intracellulaire. Une hyperphosphorémie (&gt;1,5 mmol/l) est le plus souvent causée par l'insuffisance rénale. L'excrétion urinaire normale est de 25 à 65 mmol/24h.</t>
  </si>
  <si>
    <t>Phosphorémie</t>
  </si>
  <si>
    <t>Albuminurie</t>
  </si>
  <si>
    <t>L'albuminurie mesure la présence d'albumine dans les urines. C'est un marqueur précoce d'atteinte rénale, particulièrement pertinent chez les patients hypertendus et diabétiques. Valeurs normales adulte : &lt; 30 mg/L (normoalbuminurie). Une microalbuminurie (30 à 300 mg/L) traduit une atteinte glomérulaire débutante. Une macroalbuminurie (&gt; 300 mg/L) indique une néphropathie avérée.</t>
  </si>
  <si>
    <t>30-300</t>
  </si>
  <si>
    <t>&gt;300</t>
  </si>
  <si>
    <t>Le rapport albuminurie/créatininurie (RAC) permet d'évaluer l'excrétion urinaire d'albumine sur un échantillon ponctuel, en corrigeant par la concentration de créatinine urinaire. Il est recommandé comme test de dépistage de la néphropathie, notamment dans le cadre du bilan cardiovasculaire. Valeurs normales : &lt; 30 mg/g (ou &lt; 3 mg/mmol). Un RAC entre 30 et 300 mg/g (3-30 mg/mmol) correspond à une microalbuminurie. Un RAC &gt; 300 mg/g (&gt; 30 mg/mmol) traduit une macroalbuminurie.</t>
  </si>
  <si>
    <t>Ratio : Albumin/Creatinine (Urine)</t>
  </si>
  <si>
    <t>Un tour de cou supérieur à 43 cm pour un homme et supérieur à 40cm est un facteur de risque important pour l'apnée du sommeil</t>
  </si>
  <si>
    <t>Tour de Cou  cm</t>
  </si>
  <si>
    <t>L'apnée  du sommeil correspond à des pauses respiratoires pendant le sommeil. Un risque élevé fait suspecter une apnée du sommeil. L'apnée du sommeil augmente le risque neurologiques (somnolence, troubles cognitifs…), cardiovasculaires (HTA, infarctus du myocarde, arythmies…) et métaboliques (diabète de type 2)</t>
  </si>
  <si>
    <t>Intermédiaire</t>
  </si>
  <si>
    <t>une augmentation de la  TA systolique &gt; 20 mmHg par minute de durée d’effort une augmentation par 2,du risque d’un accident vasculaire par rapport aux hommes dont l’augmentation est &lt; 16 mmHg par minute.</t>
  </si>
  <si>
    <t>Détection valvulopathie au repos ou à l'effort (non fait=0, normale=2 ou anormale=1)</t>
  </si>
  <si>
    <t>Les valvulopathies pouvent entraîner une insuffisance cardiaque; Détection valvulopathie au repos ou à l'effort (non fait=0, normale=2 ou anormale=1)</t>
  </si>
  <si>
    <t>Acuité visuelle</t>
  </si>
  <si>
    <t>Tour de taille Hommes (cm)</t>
  </si>
  <si>
    <t>&lt;</t>
  </si>
  <si>
    <t>La mesure du tour de taille aide à dépister les risques possibles pour la santé liés au surpoids et à l’obésité. Ce risque augmente avec un tour de taille supérieur à 102 cm pour les hommes  et  à 88 cm pour les femmes. Le tour de taille peut être ajusté sur la taille, il ne devrait pas dépasser le moitié de la taille (ex: pour 180cm &lt; à 90cm)</t>
  </si>
  <si>
    <t>Risque faible &lt;94 (Homme) &lt;88 (Femme)</t>
  </si>
  <si>
    <t>Risque elevé &gt;102 (Homme) &gt;88 (Femme)</t>
  </si>
  <si>
    <t>Risque intermédiare 94-102 (Homme 80-88 (Femme)</t>
  </si>
  <si>
    <t>Ionogramme: Sodium</t>
  </si>
  <si>
    <t>Ionogramme: Potassium</t>
  </si>
  <si>
    <t>Ionogramme: Chloride</t>
  </si>
  <si>
    <t>Ionogramme: Bicarbonate</t>
  </si>
  <si>
    <t>Ionogramme: Carbon dioxide</t>
  </si>
  <si>
    <t>Ionogramme: Anion</t>
  </si>
  <si>
    <t>Acide palmitique (16:0)</t>
  </si>
  <si>
    <t>Acide stéarique (18:0)</t>
  </si>
  <si>
    <t>Acide oléique (18:1)</t>
  </si>
  <si>
    <t>Acide linoléique (LA, 18:2 n-6)</t>
  </si>
  <si>
    <t>Acide arachidonique (AA)</t>
  </si>
  <si>
    <t>EPA (20:5 n-3)</t>
  </si>
  <si>
    <t>DHA (22:6 n-3)</t>
  </si>
  <si>
    <t>mg/mmol</t>
  </si>
  <si>
    <t>Si AGE&gt;74</t>
  </si>
  <si>
    <t>135 mmol/L</t>
  </si>
  <si>
    <t>145 mmol/L</t>
  </si>
  <si>
    <t>3,5 mmol/L</t>
  </si>
  <si>
    <t>5,0 mmol/L</t>
  </si>
  <si>
    <t>Essentiel à la conduction cardiaque et neuromusculaire. Dépiste les troubles du rythme, les anomalies rénales et les effets des traitements (diurétiques, IEC, ARA2).</t>
  </si>
  <si>
    <t>98 mmol/L</t>
  </si>
  <si>
    <t>107 mmol/L</t>
  </si>
  <si>
    <t>Participe à l'équilibre acido-basique et hydrique. Oriente le diagnostic des alcaloses, acidoses et troubles digestifs ou rénaux.</t>
  </si>
  <si>
    <t>22 mmol/L</t>
  </si>
  <si>
    <t>29 mmol/L</t>
  </si>
  <si>
    <t>Principal tampon sanguin. Évalue les acidoses et alcaloses métaboliques et l'adaptation respiratoire.</t>
  </si>
  <si>
    <t>30 mmol/L</t>
  </si>
  <si>
    <t>Reflète principalement la concentration en bicarbonates. Utilisé pour apprécier l'équilibre acido-basique.</t>
  </si>
  <si>
    <t>8 mmol/L</t>
  </si>
  <si>
    <t>16 mmol/L</t>
  </si>
  <si>
    <t>Permet d'identifier les causes d'acidose métabolique (acidocétose, insuffisance rénale, intoxications, acidose lactique).</t>
  </si>
  <si>
    <t>Principal acide gras saturé. Un excès est associé à la lipotoxicité, à l'insulinorésistance et au risque cardiométabolique.</t>
  </si>
  <si>
    <t>Acide gras saturé moins athérogène que le palmitique. Participe à la structure membranaire.</t>
  </si>
  <si>
    <t>Principal acide gras mono-insaturé. Reflète l'apport en huile d'olive et l'activité de la désaturase. Généralement associé à un profil cardiovasculaire favorable.</t>
  </si>
  <si>
    <t>Acide gras essentiel oméga-6. Évalue les apports alimentaires et le risque de carence en acides gras essentiels.</t>
  </si>
  <si>
    <t>Précurseur des eicosanoïdes pro- et anti-inflammatoires. Son équilibre avec les oméga-3 influence la réponse inflammatoire.</t>
  </si>
  <si>
    <t>Oméga-3 à longue chaîne. Reflète la consommation de poissons gras ou de suppléments. Associé à un moindre risque cardiovasculaire et à une diminution de l'inflammation.</t>
  </si>
  <si>
    <t>Principal oméga-3 cérébral et rétinien. Important pour la fonction neurologique, la vision et la prévention cardiovasculaire.</t>
  </si>
  <si>
    <t xml:space="preserve">135 -145 </t>
  </si>
  <si>
    <t xml:space="preserve">3,5 -5,0 </t>
  </si>
  <si>
    <t xml:space="preserve">98 -107 </t>
  </si>
  <si>
    <t xml:space="preserve">22 -29 </t>
  </si>
  <si>
    <t xml:space="preserve">22 -30 </t>
  </si>
  <si>
    <t xml:space="preserve"> 8-16</t>
  </si>
  <si>
    <t>0,2-30 %</t>
  </si>
  <si>
    <t>Acide palmitique (16:0)  %des acides gras totaux</t>
  </si>
  <si>
    <t xml:space="preserve">0,1-18 % </t>
  </si>
  <si>
    <t>Acide stéarique (18:0) % des acides gras totaux</t>
  </si>
  <si>
    <t>Acide oléique (18:1) %  des acides gras totaux</t>
  </si>
  <si>
    <t>0,15-30 %</t>
  </si>
  <si>
    <t xml:space="preserve">0,2-35 % </t>
  </si>
  <si>
    <t>Acide linoléique (LA, 18:2 n-6) % des acides gras totaux</t>
  </si>
  <si>
    <t>Acide arachidonique (AA) % des acides gras totaux</t>
  </si>
  <si>
    <t>EPA (20:5 n-3) % des acides gras totaux</t>
  </si>
  <si>
    <t>DHA (22:6 n-3) % des acides gras totaux</t>
  </si>
  <si>
    <t>0,02-8 %</t>
  </si>
  <si>
    <t xml:space="preserve">0,005-3 % </t>
  </si>
  <si>
    <t>0,08-15 %</t>
  </si>
  <si>
    <t>Évalue l'équilibre hydrique, les troubles de l'hydratation, les maladies rénales, endocriniennes et neurologiques.</t>
  </si>
  <si>
    <t>RR immédiat</t>
  </si>
  <si>
    <t>Fib4</t>
  </si>
  <si>
    <t>feuille Résultats</t>
  </si>
  <si>
    <t>BioH38</t>
  </si>
  <si>
    <t>Synd MetpourRR</t>
  </si>
  <si>
    <t>risqueKP</t>
  </si>
  <si>
    <t>Intolérance ou allergie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</si>
</sst>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0.0%"/>
    <numFmt numFmtId="165" formatCode="0.00\x"/>
    <numFmt numFmtId="166" formatCode="m/d/yyyy\ h:mm:ss"/>
    <numFmt numFmtId="167" formatCode="0.000"/>
    <numFmt numFmtId="168" formatCode="0.0"/>
  </numFmts>
  <fonts count="170">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1"/>
      <name val="Calibri"/>
      <family val="2"/>
      <scheme val="minor"/>
    </font>
    <font>
      <b/>
      <sz val="14"/>
      <color theme="1"/>
      <name val="Calibri"/>
      <family val="2"/>
      <scheme val="minor"/>
    </font>
    <font>
      <b/>
      <sz val="11"/>
      <name val="Helvetica"/>
      <family val="2"/>
    </font>
    <font>
      <sz val="11"/>
      <name val="Helvetica"/>
      <family val="2"/>
    </font>
    <font>
      <sz val="11"/>
      <color theme="1"/>
      <name val="Helvetica"/>
      <family val="2"/>
    </font>
    <font>
      <b/>
      <sz val="11"/>
      <name val="Calibri"/>
      <family val="2"/>
      <scheme val="minor"/>
    </font>
    <font>
      <sz val="14"/>
      <color theme="1"/>
      <name val="Calibri"/>
      <family val="2"/>
      <scheme val="minor"/>
    </font>
    <font>
      <b/>
      <sz val="18"/>
      <color theme="1"/>
      <name val="Calibri"/>
      <family val="2"/>
      <scheme val="minor"/>
    </font>
    <font>
      <b/>
      <sz val="10"/>
      <color theme="1"/>
      <name val="Calibri"/>
      <family val="2"/>
      <scheme val="minor"/>
    </font>
    <font>
      <sz val="9"/>
      <color theme="1"/>
      <name val="Calibri"/>
      <family val="2"/>
      <scheme val="minor"/>
    </font>
    <font>
      <sz val="9"/>
      <name val="Calibri"/>
      <family val="2"/>
      <scheme val="minor"/>
    </font>
    <font>
      <b/>
      <sz val="16"/>
      <color theme="1"/>
      <name val="Calibri"/>
      <family val="2"/>
      <scheme val="minor"/>
    </font>
    <font>
      <b/>
      <sz val="18"/>
      <color theme="1"/>
      <name val="Calibri"/>
      <family val="2"/>
    </font>
    <font>
      <sz val="18"/>
      <color theme="1"/>
      <name val="Calibri"/>
      <family val="2"/>
      <scheme val="minor"/>
    </font>
    <font>
      <sz val="18"/>
      <color theme="1"/>
      <name val="Calibri"/>
      <family val="2"/>
    </font>
    <font>
      <b/>
      <sz val="20"/>
      <name val="Calibri"/>
      <family val="2"/>
      <scheme val="minor"/>
    </font>
    <font>
      <sz val="20"/>
      <name val="Calibri"/>
      <family val="2"/>
      <scheme val="minor"/>
    </font>
    <font>
      <u/>
      <sz val="11"/>
      <color theme="10"/>
      <name val="Calibri"/>
      <family val="2"/>
      <scheme val="minor"/>
    </font>
    <font>
      <b/>
      <sz val="18"/>
      <name val="Calibri"/>
      <family val="2"/>
      <scheme val="minor"/>
    </font>
    <font>
      <b/>
      <sz val="16"/>
      <name val="Calibri"/>
      <family val="2"/>
      <scheme val="minor"/>
    </font>
    <font>
      <sz val="16"/>
      <color theme="1"/>
      <name val="Calibri"/>
      <family val="2"/>
      <scheme val="minor"/>
    </font>
    <font>
      <b/>
      <sz val="9"/>
      <name val="Calibri"/>
      <family val="2"/>
      <scheme val="minor"/>
    </font>
    <font>
      <b/>
      <sz val="9"/>
      <color theme="1"/>
      <name val="Calibri"/>
      <family val="2"/>
      <scheme val="minor"/>
    </font>
    <font>
      <b/>
      <sz val="12"/>
      <color rgb="FF202124"/>
      <name val="Calibri"/>
      <family val="2"/>
      <scheme val="minor"/>
    </font>
    <font>
      <b/>
      <sz val="12"/>
      <color rgb="FF4D5156"/>
      <name val="Calibri"/>
      <family val="2"/>
      <scheme val="minor"/>
    </font>
    <font>
      <b/>
      <sz val="12"/>
      <name val="Calibri"/>
      <family val="2"/>
      <scheme val="minor"/>
    </font>
    <font>
      <sz val="12"/>
      <color theme="1"/>
      <name val="Calibri"/>
      <family val="2"/>
      <scheme val="minor"/>
    </font>
    <font>
      <sz val="12"/>
      <name val="Calibri"/>
      <family val="2"/>
      <scheme val="minor"/>
    </font>
    <font>
      <b/>
      <sz val="12"/>
      <color rgb="FF7030A0"/>
      <name val="Calibri"/>
      <family val="2"/>
      <scheme val="minor"/>
    </font>
    <font>
      <sz val="12"/>
      <color rgb="FF000000"/>
      <name val="Calibri"/>
      <family val="2"/>
      <scheme val="minor"/>
    </font>
    <font>
      <sz val="12"/>
      <color theme="9"/>
      <name val="Calibri"/>
      <family val="2"/>
      <scheme val="minor"/>
    </font>
    <font>
      <sz val="12"/>
      <color rgb="FF202124"/>
      <name val="Calibri"/>
      <family val="2"/>
      <scheme val="minor"/>
    </font>
    <font>
      <sz val="10.5"/>
      <color rgb="FF333333"/>
      <name val="Arial"/>
      <family val="2"/>
    </font>
    <font>
      <sz val="12"/>
      <color rgb="FF374151"/>
      <name val="Segoe UI"/>
      <family val="2"/>
    </font>
    <font>
      <sz val="11"/>
      <color rgb="FF343541"/>
      <name val="Segoe UI"/>
      <family val="2"/>
    </font>
    <font>
      <b/>
      <sz val="14"/>
      <color theme="1"/>
      <name val="Arial"/>
      <family val="2"/>
    </font>
    <font>
      <b/>
      <sz val="14"/>
      <name val="Arial"/>
      <family val="2"/>
    </font>
    <font>
      <b/>
      <sz val="14"/>
      <color rgb="FFFF0000"/>
      <name val="Arial"/>
      <family val="2"/>
    </font>
    <font>
      <b/>
      <sz val="14"/>
      <color rgb="FF000000"/>
      <name val="Arial"/>
      <family val="2"/>
    </font>
    <font>
      <sz val="14"/>
      <color theme="1"/>
      <name val="Arial"/>
      <family val="2"/>
    </font>
    <font>
      <b/>
      <sz val="8"/>
      <color rgb="FF4D4D4D"/>
      <name val="Var(--fontFamilySemiBold)"/>
    </font>
    <font>
      <b/>
      <sz val="12"/>
      <color rgb="FFFF0000"/>
      <name val="Calibri"/>
      <family val="2"/>
      <scheme val="minor"/>
    </font>
    <font>
      <sz val="12"/>
      <color rgb="FFFF0000"/>
      <name val="Calibri"/>
      <family val="2"/>
      <scheme val="minor"/>
    </font>
    <font>
      <sz val="11"/>
      <color rgb="FFFF0000"/>
      <name val="Helvetica"/>
      <family val="2"/>
    </font>
    <font>
      <sz val="8"/>
      <color rgb="FF303030"/>
      <name val="Arial"/>
      <family val="2"/>
    </font>
    <font>
      <sz val="8"/>
      <color rgb="FFFF0000"/>
      <name val="Arial"/>
      <family val="2"/>
    </font>
    <font>
      <b/>
      <sz val="14"/>
      <color rgb="FFFF0000"/>
      <name val="Calibri"/>
      <family val="2"/>
      <scheme val="minor"/>
    </font>
    <font>
      <b/>
      <sz val="11"/>
      <color rgb="FF000000"/>
      <name val="Aptos Narrow"/>
      <family val="2"/>
    </font>
    <font>
      <b/>
      <sz val="14"/>
      <color rgb="FF00B0F0"/>
      <name val="Arial"/>
      <family val="2"/>
    </font>
    <font>
      <b/>
      <sz val="20"/>
      <color rgb="FF000000"/>
      <name val="Calibri"/>
      <family val="2"/>
    </font>
    <font>
      <b/>
      <sz val="16"/>
      <color rgb="FF303030"/>
      <name val="Calibri"/>
      <family val="2"/>
      <scheme val="minor"/>
    </font>
    <font>
      <b/>
      <sz val="14"/>
      <color rgb="FF000000"/>
      <name val="Aptos"/>
      <family val="2"/>
    </font>
    <font>
      <b/>
      <sz val="14"/>
      <color theme="1"/>
      <name val="Aptos"/>
      <family val="2"/>
    </font>
    <font>
      <b/>
      <sz val="14"/>
      <color rgb="FFFF0000"/>
      <name val="Aptos"/>
      <family val="2"/>
    </font>
    <font>
      <b/>
      <sz val="20"/>
      <color rgb="FFFF0000"/>
      <name val="Calibri"/>
      <family val="2"/>
      <scheme val="minor"/>
    </font>
    <font>
      <sz val="18"/>
      <color rgb="FFFF0000"/>
      <name val="Calibri"/>
      <family val="2"/>
      <scheme val="minor"/>
    </font>
    <font>
      <b/>
      <sz val="11"/>
      <color theme="4" tint="-0.249977111117893"/>
      <name val="Aptos"/>
      <family val="2"/>
    </font>
    <font>
      <b/>
      <sz val="11"/>
      <color theme="4" tint="-0.249977111117893"/>
      <name val="Calibri"/>
      <family val="2"/>
      <scheme val="minor"/>
    </font>
    <font>
      <b/>
      <sz val="14"/>
      <color theme="4" tint="-0.249977111117893"/>
      <name val="Arial"/>
      <family val="2"/>
    </font>
    <font>
      <b/>
      <u/>
      <sz val="11"/>
      <color theme="1"/>
      <name val="Calibri"/>
      <family val="2"/>
    </font>
    <font>
      <b/>
      <u/>
      <sz val="11"/>
      <color rgb="FF000000"/>
      <name val="Calibri"/>
      <family val="2"/>
    </font>
    <font>
      <b/>
      <sz val="11"/>
      <color rgb="FFFF0000"/>
      <name val="Aptos"/>
      <family val="2"/>
    </font>
    <font>
      <b/>
      <sz val="11"/>
      <color rgb="FF000000"/>
      <name val="Aptos"/>
      <family val="2"/>
    </font>
    <font>
      <b/>
      <sz val="11"/>
      <color theme="1"/>
      <name val="Aptos"/>
      <family val="2"/>
    </font>
    <font>
      <sz val="11"/>
      <color theme="1"/>
      <name val="Calibri"/>
      <family val="2"/>
    </font>
    <font>
      <b/>
      <sz val="11"/>
      <color rgb="FF000000"/>
      <name val="Calibri"/>
      <family val="2"/>
      <scheme val="minor"/>
    </font>
    <font>
      <sz val="11"/>
      <color rgb="FF000000"/>
      <name val="Calibri"/>
      <family val="2"/>
      <scheme val="minor"/>
    </font>
    <font>
      <sz val="11"/>
      <color rgb="FF004072"/>
      <name val="Calibri"/>
      <family val="2"/>
      <scheme val="minor"/>
    </font>
    <font>
      <b/>
      <sz val="14"/>
      <color rgb="FF000000"/>
      <name val="Calibri"/>
      <family val="2"/>
      <scheme val="minor"/>
    </font>
    <font>
      <b/>
      <sz val="14"/>
      <name val="Calibri"/>
      <family val="2"/>
      <scheme val="minor"/>
    </font>
    <font>
      <b/>
      <sz val="10"/>
      <color rgb="FF000000"/>
      <name val="Calibri"/>
      <family val="2"/>
      <scheme val="minor"/>
    </font>
    <font>
      <b/>
      <sz val="10"/>
      <name val="Calibri"/>
      <family val="2"/>
      <scheme val="minor"/>
    </font>
    <font>
      <sz val="6"/>
      <color rgb="FF000000"/>
      <name val="Segoe UI"/>
      <family val="2"/>
    </font>
    <font>
      <sz val="8"/>
      <color rgb="FFA4AAE5"/>
      <name val="Aeonik"/>
    </font>
    <font>
      <sz val="8"/>
      <color rgb="FF000000"/>
      <name val="Arial"/>
      <family val="2"/>
    </font>
    <font>
      <sz val="9.9"/>
      <color rgb="FF000000"/>
      <name val="Arial"/>
      <family val="2"/>
    </font>
    <font>
      <b/>
      <sz val="9.9"/>
      <color rgb="FF000000"/>
      <name val="Arial"/>
      <family val="2"/>
    </font>
    <font>
      <sz val="9.9"/>
      <color rgb="FFFF0000"/>
      <name val="Arial"/>
      <family val="2"/>
    </font>
    <font>
      <b/>
      <sz val="14"/>
      <color rgb="FF303030"/>
      <name val="Calibri"/>
      <family val="2"/>
      <scheme val="minor"/>
    </font>
    <font>
      <sz val="14"/>
      <color theme="1"/>
      <name val="Aptos"/>
      <family val="2"/>
    </font>
    <font>
      <sz val="10"/>
      <color theme="1"/>
      <name val="Calibri"/>
      <family val="2"/>
      <scheme val="minor"/>
    </font>
    <font>
      <sz val="10"/>
      <color rgb="FF040C28"/>
      <name val="Arial"/>
      <family val="2"/>
    </font>
    <font>
      <sz val="10"/>
      <color rgb="FF1F1F1F"/>
      <name val="Arial"/>
      <family val="2"/>
    </font>
    <font>
      <b/>
      <sz val="11"/>
      <color rgb="FF003366"/>
      <name val="Calibri"/>
      <family val="2"/>
      <scheme val="minor"/>
    </font>
    <font>
      <b/>
      <sz val="11"/>
      <color rgb="FF001D35"/>
      <name val="Calibri"/>
      <family val="2"/>
      <scheme val="minor"/>
    </font>
    <font>
      <b/>
      <sz val="11"/>
      <color rgb="FFFF0000"/>
      <name val="Calibri"/>
      <family val="2"/>
      <scheme val="minor"/>
    </font>
    <font>
      <b/>
      <sz val="11"/>
      <color rgb="FF0A0A0A"/>
      <name val="Calibri"/>
      <family val="2"/>
      <scheme val="minor"/>
    </font>
    <font>
      <b/>
      <sz val="14"/>
      <color theme="0"/>
      <name val="Calibri"/>
      <family val="2"/>
      <scheme val="minor"/>
    </font>
    <font>
      <b/>
      <sz val="16"/>
      <color rgb="FFFF0000"/>
      <name val="Calibri"/>
      <family val="2"/>
      <scheme val="minor"/>
    </font>
    <font>
      <b/>
      <sz val="16"/>
      <color theme="0"/>
      <name val="Calibri"/>
      <family val="2"/>
      <scheme val="minor"/>
    </font>
    <font>
      <b/>
      <sz val="16"/>
      <color rgb="FF003366"/>
      <name val="Calibri"/>
      <family val="2"/>
      <scheme val="minor"/>
    </font>
    <font>
      <b/>
      <sz val="16"/>
      <color rgb="FF000000"/>
      <name val="Calibri"/>
      <family val="2"/>
      <scheme val="minor"/>
    </font>
    <font>
      <b/>
      <vertAlign val="superscript"/>
      <sz val="16"/>
      <color rgb="FF000000"/>
      <name val="Calibri"/>
      <family val="2"/>
      <scheme val="minor"/>
    </font>
    <font>
      <b/>
      <sz val="16"/>
      <color rgb="FF202124"/>
      <name val="Calibri"/>
      <family val="2"/>
      <scheme val="minor"/>
    </font>
    <font>
      <b/>
      <u/>
      <sz val="16"/>
      <name val="Calibri"/>
      <family val="2"/>
      <scheme val="minor"/>
    </font>
    <font>
      <b/>
      <sz val="16"/>
      <color rgb="FF212121"/>
      <name val="Calibri"/>
      <family val="2"/>
      <scheme val="minor"/>
    </font>
    <font>
      <b/>
      <sz val="16"/>
      <color rgb="FF1F1F1F"/>
      <name val="Calibri"/>
      <family val="2"/>
      <scheme val="minor"/>
    </font>
    <font>
      <b/>
      <sz val="16"/>
      <color rgb="FF333333"/>
      <name val="Calibri"/>
      <family val="2"/>
      <scheme val="minor"/>
    </font>
    <font>
      <b/>
      <sz val="16"/>
      <color rgb="FF202122"/>
      <name val="Calibri"/>
      <family val="2"/>
      <scheme val="minor"/>
    </font>
    <font>
      <b/>
      <sz val="16"/>
      <color rgb="FF001D35"/>
      <name val="Calibri"/>
      <family val="2"/>
      <scheme val="minor"/>
    </font>
    <font>
      <b/>
      <sz val="16"/>
      <color rgb="FF474747"/>
      <name val="Calibri"/>
      <family val="2"/>
      <scheme val="minor"/>
    </font>
    <font>
      <b/>
      <sz val="16"/>
      <color rgb="FF222222"/>
      <name val="Calibri"/>
      <family val="2"/>
      <scheme val="minor"/>
    </font>
    <font>
      <b/>
      <vertAlign val="superscript"/>
      <sz val="16"/>
      <color rgb="FF222222"/>
      <name val="Calibri"/>
      <family val="2"/>
      <scheme val="minor"/>
    </font>
    <font>
      <b/>
      <sz val="14"/>
      <color rgb="FF002060"/>
      <name val="Calibri"/>
      <family val="2"/>
      <scheme val="minor"/>
    </font>
    <font>
      <b/>
      <sz val="14"/>
      <color theme="0"/>
      <name val="Arial"/>
      <family val="2"/>
    </font>
    <font>
      <sz val="11"/>
      <color rgb="FF404040"/>
      <name val="Calibri"/>
      <family val="2"/>
      <scheme val="minor"/>
    </font>
    <font>
      <sz val="11"/>
      <color rgb="FF003366"/>
      <name val="Calibri"/>
      <family val="2"/>
      <scheme val="minor"/>
    </font>
    <font>
      <vertAlign val="superscript"/>
      <sz val="11"/>
      <color rgb="FF000000"/>
      <name val="Calibri"/>
      <family val="2"/>
      <scheme val="minor"/>
    </font>
    <font>
      <sz val="11"/>
      <color rgb="FF222222"/>
      <name val="Calibri"/>
      <family val="2"/>
      <scheme val="minor"/>
    </font>
    <font>
      <vertAlign val="superscript"/>
      <sz val="11"/>
      <color rgb="FF222222"/>
      <name val="Calibri"/>
      <family val="2"/>
      <scheme val="minor"/>
    </font>
    <font>
      <sz val="11"/>
      <color rgb="FF0A0A0A"/>
      <name val="Calibri"/>
      <family val="2"/>
      <scheme val="minor"/>
    </font>
    <font>
      <b/>
      <sz val="14"/>
      <color rgb="FF040C28"/>
      <name val="Arial"/>
      <family val="2"/>
    </font>
    <font>
      <b/>
      <sz val="12"/>
      <color theme="1"/>
      <name val="Arial"/>
      <family val="2"/>
    </font>
    <font>
      <b/>
      <sz val="14"/>
      <color rgb="FF222222"/>
      <name val="Calibri"/>
      <family val="2"/>
      <scheme val="minor"/>
    </font>
    <font>
      <sz val="11"/>
      <color theme="1"/>
      <name val="Aptos"/>
      <family val="2"/>
    </font>
    <font>
      <b/>
      <sz val="14"/>
      <color theme="4"/>
      <name val="Calibri"/>
      <family val="2"/>
      <scheme val="minor"/>
    </font>
    <font>
      <b/>
      <sz val="11"/>
      <color rgb="FF196B24"/>
      <name val="Calibri"/>
      <family val="2"/>
      <scheme val="minor"/>
    </font>
    <font>
      <sz val="11"/>
      <color rgb="FF196B24"/>
      <name val="Calibri"/>
      <family val="2"/>
      <scheme val="minor"/>
    </font>
    <font>
      <b/>
      <strike/>
      <sz val="11"/>
      <color rgb="FF196B24"/>
      <name val="Calibri"/>
      <family val="2"/>
      <scheme val="minor"/>
    </font>
    <font>
      <vertAlign val="subscript"/>
      <sz val="11"/>
      <color rgb="FFFF0000"/>
      <name val="Calibri"/>
      <family val="2"/>
      <scheme val="minor"/>
    </font>
    <font>
      <sz val="11"/>
      <color rgb="FFD86DCB"/>
      <name val="Calibri"/>
      <family val="2"/>
      <scheme val="minor"/>
    </font>
    <font>
      <i/>
      <sz val="11"/>
      <color rgb="FFD86DCB"/>
      <name val="Calibri"/>
      <family val="2"/>
      <scheme val="minor"/>
    </font>
    <font>
      <sz val="11"/>
      <color rgb="FFFF00FF"/>
      <name val="Calibri"/>
      <family val="2"/>
      <scheme val="minor"/>
    </font>
    <font>
      <sz val="11"/>
      <color rgb="FF3A7C22"/>
      <name val="Calibri"/>
      <family val="2"/>
      <scheme val="minor"/>
    </font>
    <font>
      <b/>
      <sz val="11"/>
      <color rgb="FFEE0000"/>
      <name val="Calibri"/>
      <family val="2"/>
      <scheme val="minor"/>
    </font>
    <font>
      <sz val="11"/>
      <color rgb="FFEE0000"/>
      <name val="Calibri"/>
      <family val="2"/>
      <scheme val="minor"/>
    </font>
    <font>
      <b/>
      <vertAlign val="superscript"/>
      <sz val="16"/>
      <color theme="1"/>
      <name val="Calibri"/>
      <family val="2"/>
      <scheme val="minor"/>
    </font>
    <font>
      <b/>
      <sz val="16"/>
      <color rgb="FF0A0A0A"/>
      <name val="Calibri"/>
      <family val="2"/>
      <scheme val="minor"/>
    </font>
    <font>
      <b/>
      <sz val="14"/>
      <color rgb="FF7030A0"/>
      <name val="Calibri"/>
      <family val="2"/>
      <scheme val="minor"/>
    </font>
    <font>
      <b/>
      <sz val="14"/>
      <color rgb="FF202124"/>
      <name val="Calibri"/>
      <family val="2"/>
      <scheme val="minor"/>
    </font>
    <font>
      <b/>
      <sz val="14"/>
      <color rgb="FF4D4D4D"/>
      <name val="Calibri"/>
      <family val="2"/>
      <scheme val="minor"/>
    </font>
    <font>
      <b/>
      <sz val="14"/>
      <color rgb="FF4D5156"/>
      <name val="Calibri"/>
      <family val="2"/>
      <scheme val="minor"/>
    </font>
    <font>
      <b/>
      <sz val="14"/>
      <color rgb="FF001D35"/>
      <name val="Calibri"/>
      <family val="2"/>
      <scheme val="minor"/>
    </font>
    <font>
      <b/>
      <sz val="14"/>
      <color rgb="FF474747"/>
      <name val="Calibri"/>
      <family val="2"/>
      <scheme val="minor"/>
    </font>
    <font>
      <b/>
      <i/>
      <sz val="14"/>
      <color rgb="FF0A0A0A"/>
      <name val="Calibri"/>
      <family val="2"/>
      <scheme val="minor"/>
    </font>
    <font>
      <b/>
      <sz val="14"/>
      <color rgb="FF374151"/>
      <name val="Calibri"/>
      <family val="2"/>
      <scheme val="minor"/>
    </font>
    <font>
      <b/>
      <sz val="14"/>
      <color rgb="FF333333"/>
      <name val="Calibri"/>
      <family val="2"/>
      <scheme val="minor"/>
    </font>
    <font>
      <b/>
      <sz val="14"/>
      <color rgb="FF343541"/>
      <name val="Calibri"/>
      <family val="2"/>
      <scheme val="minor"/>
    </font>
    <font>
      <b/>
      <sz val="14"/>
      <color theme="9"/>
      <name val="Calibri"/>
      <family val="2"/>
      <scheme val="minor"/>
    </font>
    <font>
      <sz val="10"/>
      <name val="Calibri"/>
      <family val="2"/>
      <scheme val="minor"/>
    </font>
    <font>
      <b/>
      <sz val="12"/>
      <color rgb="FFFF0000"/>
      <name val="Arial"/>
      <family val="2"/>
    </font>
    <font>
      <i/>
      <sz val="6"/>
      <color rgb="FF3C3C3C"/>
      <name val="Arial"/>
      <family val="2"/>
    </font>
    <font>
      <b/>
      <sz val="10"/>
      <color rgb="FF3C3C3C"/>
      <name val="Arial"/>
      <family val="2"/>
    </font>
    <font>
      <b/>
      <sz val="10"/>
      <color rgb="FF1F1F1F"/>
      <name val="Calibri"/>
      <family val="2"/>
      <scheme val="minor"/>
    </font>
    <font>
      <b/>
      <sz val="10"/>
      <color theme="1"/>
      <name val="Arial"/>
      <family val="2"/>
    </font>
    <font>
      <b/>
      <sz val="11"/>
      <color theme="5"/>
      <name val="Calibri"/>
      <family val="2"/>
      <scheme val="minor"/>
    </font>
    <font>
      <sz val="11"/>
      <color rgb="FF0000FF"/>
      <name val="Calibri"/>
      <family val="2"/>
    </font>
    <font>
      <sz val="11"/>
      <name val="Calibri"/>
      <family val="2"/>
    </font>
    <font>
      <b/>
      <sz val="12"/>
      <color theme="1"/>
      <name val="Aptos"/>
      <family val="2"/>
    </font>
    <font>
      <b/>
      <sz val="16"/>
      <color rgb="FF3C3C3C"/>
      <name val="Calibri"/>
      <family val="2"/>
      <scheme val="minor"/>
    </font>
    <font>
      <b/>
      <sz val="8"/>
      <name val="Calibri"/>
      <family val="2"/>
      <scheme val="minor"/>
    </font>
  </fonts>
  <fills count="9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00B050"/>
        <bgColor indexed="64"/>
      </patternFill>
    </fill>
    <fill>
      <patternFill patternType="solid">
        <fgColor rgb="FFFF000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5"/>
        <bgColor indexed="64"/>
      </patternFill>
    </fill>
    <fill>
      <patternFill patternType="solid">
        <fgColor theme="5"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FFC000"/>
        <bgColor indexed="64"/>
      </patternFill>
    </fill>
    <fill>
      <patternFill patternType="solid">
        <fgColor theme="7" tint="0.39997558519241921"/>
        <bgColor indexed="64"/>
      </patternFill>
    </fill>
    <fill>
      <patternFill patternType="solid">
        <fgColor theme="7"/>
        <bgColor indexed="64"/>
      </patternFill>
    </fill>
    <fill>
      <patternFill patternType="solid">
        <fgColor theme="4"/>
        <bgColor indexed="64"/>
      </patternFill>
    </fill>
    <fill>
      <patternFill patternType="solid">
        <fgColor theme="9" tint="0.59999389629810485"/>
        <bgColor indexed="64"/>
      </patternFill>
    </fill>
    <fill>
      <patternFill patternType="solid">
        <fgColor theme="8" tint="-0.249977111117893"/>
        <bgColor indexed="64"/>
      </patternFill>
    </fill>
    <fill>
      <patternFill patternType="solid">
        <fgColor rgb="FFC147A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FFF2CC"/>
        <bgColor indexed="64"/>
      </patternFill>
    </fill>
    <fill>
      <patternFill patternType="solid">
        <fgColor rgb="FFE2EFDA"/>
        <bgColor indexed="64"/>
      </patternFill>
    </fill>
    <fill>
      <patternFill patternType="solid">
        <fgColor rgb="FFD9D9D9"/>
        <bgColor indexed="64"/>
      </patternFill>
    </fill>
    <fill>
      <patternFill patternType="solid">
        <fgColor rgb="FFD9E1F2"/>
        <bgColor indexed="64"/>
      </patternFill>
    </fill>
    <fill>
      <patternFill patternType="solid">
        <fgColor rgb="FFB4C6E7"/>
        <bgColor indexed="64"/>
      </patternFill>
    </fill>
    <fill>
      <patternFill patternType="solid">
        <fgColor theme="4" tint="0.39997558519241921"/>
        <bgColor indexed="64"/>
      </patternFill>
    </fill>
    <fill>
      <patternFill patternType="solid">
        <fgColor rgb="FF00B0F0"/>
        <bgColor indexed="64"/>
      </patternFill>
    </fill>
    <fill>
      <patternFill patternType="solid">
        <fgColor theme="1"/>
        <bgColor indexed="64"/>
      </patternFill>
    </fill>
    <fill>
      <patternFill patternType="solid">
        <fgColor theme="1" tint="0.34998626667073579"/>
        <bgColor indexed="64"/>
      </patternFill>
    </fill>
    <fill>
      <patternFill patternType="solid">
        <fgColor theme="2" tint="-0.249977111117893"/>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
      <patternFill patternType="solid">
        <fgColor theme="8" tint="0.59999389629810485"/>
        <bgColor indexed="64"/>
      </patternFill>
    </fill>
    <fill>
      <patternFill patternType="solid">
        <fgColor rgb="FFFFFFCC"/>
        <bgColor indexed="64"/>
      </patternFill>
    </fill>
    <fill>
      <patternFill patternType="solid">
        <fgColor rgb="FFFF9900"/>
        <bgColor indexed="64"/>
      </patternFill>
    </fill>
    <fill>
      <patternFill patternType="solid">
        <fgColor rgb="FFCC99FF"/>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rgb="FFFF66FF"/>
        <bgColor indexed="64"/>
      </patternFill>
    </fill>
    <fill>
      <patternFill patternType="solid">
        <fgColor rgb="FF0070C0"/>
        <bgColor indexed="64"/>
      </patternFill>
    </fill>
    <fill>
      <patternFill patternType="solid">
        <fgColor rgb="FFFF99FF"/>
        <bgColor indexed="64"/>
      </patternFill>
    </fill>
    <fill>
      <patternFill patternType="solid">
        <fgColor theme="0" tint="-4.9989318521683403E-2"/>
        <bgColor indexed="64"/>
      </patternFill>
    </fill>
    <fill>
      <patternFill patternType="solid">
        <fgColor theme="9" tint="-0.249977111117893"/>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0"/>
        <bgColor rgb="FFFFFFCC"/>
      </patternFill>
    </fill>
    <fill>
      <patternFill patternType="solid">
        <fgColor rgb="FFC0C0C0"/>
        <bgColor rgb="FFCCCCFF"/>
      </patternFill>
    </fill>
    <fill>
      <patternFill patternType="solid">
        <fgColor rgb="FFFFFF00"/>
        <bgColor rgb="FFFFFFCC"/>
      </patternFill>
    </fill>
    <fill>
      <patternFill patternType="solid">
        <fgColor rgb="FF43E957"/>
        <bgColor indexed="64"/>
      </patternFill>
    </fill>
    <fill>
      <patternFill patternType="solid">
        <fgColor rgb="FF00FF99"/>
        <bgColor indexed="64"/>
      </patternFill>
    </fill>
    <fill>
      <patternFill patternType="solid">
        <fgColor rgb="FFC00000"/>
        <bgColor indexed="64"/>
      </patternFill>
    </fill>
    <fill>
      <patternFill patternType="solid">
        <fgColor theme="7" tint="-0.249977111117893"/>
        <bgColor indexed="64"/>
      </patternFill>
    </fill>
    <fill>
      <patternFill patternType="solid">
        <fgColor theme="2" tint="-9.9978637043366805E-2"/>
        <bgColor indexed="64"/>
      </patternFill>
    </fill>
    <fill>
      <patternFill patternType="solid">
        <fgColor theme="3"/>
        <bgColor indexed="64"/>
      </patternFill>
    </fill>
    <fill>
      <patternFill patternType="solid">
        <fgColor rgb="FF00FF00"/>
        <bgColor indexed="64"/>
      </patternFill>
    </fill>
    <fill>
      <patternFill patternType="solid">
        <fgColor theme="1" tint="0.499984740745262"/>
        <bgColor indexed="64"/>
      </patternFill>
    </fill>
    <fill>
      <patternFill patternType="solid">
        <fgColor theme="8"/>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6" fillId="0" borderId="0" applyNumberFormat="0" applyFill="0" applyBorder="0" applyAlignment="0" applyProtection="0"/>
  </cellStyleXfs>
  <cellXfs count="1035">
    <xf numFmtId="0" fontId="0" fillId="0" borderId="0" xfId="0"/>
    <xf numFmtId="2" fontId="21" fillId="0" borderId="10" xfId="0" applyNumberFormat="1" applyFont="1" applyBorder="1" applyAlignment="1">
      <alignment horizontal="center" vertical="center" wrapText="1"/>
    </xf>
    <xf numFmtId="2" fontId="21" fillId="34" borderId="10" xfId="0" applyNumberFormat="1" applyFont="1" applyFill="1" applyBorder="1" applyAlignment="1">
      <alignment horizontal="center"/>
    </xf>
    <xf numFmtId="2" fontId="21" fillId="35" borderId="10" xfId="0" applyNumberFormat="1" applyFont="1" applyFill="1" applyBorder="1" applyAlignment="1">
      <alignment horizontal="center"/>
    </xf>
    <xf numFmtId="2" fontId="22" fillId="0" borderId="10" xfId="0" applyNumberFormat="1" applyFont="1" applyBorder="1" applyAlignment="1">
      <alignment horizontal="center"/>
    </xf>
    <xf numFmtId="2" fontId="23" fillId="40" borderId="10" xfId="0" applyNumberFormat="1" applyFont="1" applyFill="1" applyBorder="1" applyAlignment="1">
      <alignment horizontal="center"/>
    </xf>
    <xf numFmtId="2" fontId="23" fillId="41" borderId="10" xfId="0" applyNumberFormat="1" applyFont="1" applyFill="1" applyBorder="1" applyAlignment="1">
      <alignment horizontal="center"/>
    </xf>
    <xf numFmtId="2" fontId="23" fillId="0" borderId="10" xfId="0" applyNumberFormat="1" applyFont="1" applyBorder="1" applyAlignment="1">
      <alignment horizontal="center"/>
    </xf>
    <xf numFmtId="0" fontId="19" fillId="0" borderId="10" xfId="0" applyFont="1" applyBorder="1" applyAlignment="1">
      <alignment horizontal="center"/>
    </xf>
    <xf numFmtId="2" fontId="21" fillId="42" borderId="10" xfId="0" applyNumberFormat="1" applyFont="1" applyFill="1" applyBorder="1" applyAlignment="1">
      <alignment horizontal="center"/>
    </xf>
    <xf numFmtId="2" fontId="22" fillId="43" borderId="10" xfId="0" applyNumberFormat="1" applyFont="1" applyFill="1" applyBorder="1" applyAlignment="1">
      <alignment horizontal="center"/>
    </xf>
    <xf numFmtId="9" fontId="19" fillId="0" borderId="10" xfId="0" applyNumberFormat="1" applyFont="1" applyBorder="1" applyAlignment="1">
      <alignment horizontal="center"/>
    </xf>
    <xf numFmtId="2" fontId="22" fillId="38" borderId="10" xfId="0" applyNumberFormat="1" applyFont="1" applyFill="1" applyBorder="1" applyAlignment="1">
      <alignment horizontal="center"/>
    </xf>
    <xf numFmtId="165" fontId="23" fillId="0" borderId="10" xfId="0" applyNumberFormat="1" applyFont="1" applyBorder="1" applyAlignment="1">
      <alignment horizontal="center"/>
    </xf>
    <xf numFmtId="9" fontId="0" fillId="0" borderId="0" xfId="0" applyNumberFormat="1" applyAlignment="1">
      <alignment horizontal="center"/>
    </xf>
    <xf numFmtId="0" fontId="0" fillId="0" borderId="0" xfId="0" applyAlignment="1">
      <alignment horizontal="center"/>
    </xf>
    <xf numFmtId="0" fontId="24" fillId="0" borderId="10" xfId="0" applyFont="1" applyBorder="1" applyAlignment="1">
      <alignment horizontal="center"/>
    </xf>
    <xf numFmtId="0" fontId="24" fillId="0" borderId="0" xfId="0" applyFont="1" applyAlignment="1">
      <alignment horizontal="right" vertical="center" wrapText="1"/>
    </xf>
    <xf numFmtId="0" fontId="24" fillId="0" borderId="0" xfId="0" applyFont="1" applyAlignment="1">
      <alignment horizontal="right"/>
    </xf>
    <xf numFmtId="9" fontId="16" fillId="0" borderId="0" xfId="0" applyNumberFormat="1" applyFont="1" applyAlignment="1">
      <alignment horizontal="center"/>
    </xf>
    <xf numFmtId="0" fontId="16" fillId="0" borderId="0" xfId="0" applyFont="1" applyAlignment="1">
      <alignment horizontal="center"/>
    </xf>
    <xf numFmtId="0" fontId="0" fillId="46" borderId="0" xfId="0" applyFill="1"/>
    <xf numFmtId="0" fontId="0" fillId="38" borderId="0" xfId="0" applyFill="1"/>
    <xf numFmtId="0" fontId="16" fillId="0" borderId="0" xfId="0" applyFont="1" applyAlignment="1">
      <alignment horizontal="right"/>
    </xf>
    <xf numFmtId="0" fontId="20" fillId="45" borderId="10" xfId="0" applyFont="1" applyFill="1" applyBorder="1" applyAlignment="1">
      <alignment horizontal="center"/>
    </xf>
    <xf numFmtId="0" fontId="16" fillId="0" borderId="10" xfId="0" applyFont="1" applyBorder="1" applyAlignment="1">
      <alignment horizontal="center"/>
    </xf>
    <xf numFmtId="0" fontId="18" fillId="0" borderId="10" xfId="0" applyFont="1" applyBorder="1" applyAlignment="1">
      <alignment horizontal="center"/>
    </xf>
    <xf numFmtId="0" fontId="26" fillId="0" borderId="0" xfId="0" applyFont="1" applyAlignment="1">
      <alignment horizontal="center"/>
    </xf>
    <xf numFmtId="2" fontId="0" fillId="0" borderId="0" xfId="0" applyNumberFormat="1" applyAlignment="1">
      <alignment horizontal="center"/>
    </xf>
    <xf numFmtId="0" fontId="27" fillId="45" borderId="10" xfId="0" applyFont="1" applyFill="1" applyBorder="1" applyAlignment="1">
      <alignment horizontal="right"/>
    </xf>
    <xf numFmtId="0" fontId="16" fillId="41" borderId="10" xfId="0" applyFont="1" applyFill="1" applyBorder="1" applyAlignment="1">
      <alignment horizontal="center"/>
    </xf>
    <xf numFmtId="164" fontId="19" fillId="0" borderId="10" xfId="0" applyNumberFormat="1" applyFont="1" applyBorder="1" applyAlignment="1">
      <alignment horizontal="center"/>
    </xf>
    <xf numFmtId="0" fontId="25" fillId="45" borderId="10" xfId="0" applyFont="1" applyFill="1" applyBorder="1" applyAlignment="1">
      <alignment horizontal="center"/>
    </xf>
    <xf numFmtId="0" fontId="28" fillId="0" borderId="10" xfId="0" applyFont="1" applyBorder="1" applyAlignment="1">
      <alignment horizontal="center"/>
    </xf>
    <xf numFmtId="0" fontId="28" fillId="40" borderId="10" xfId="0" applyFont="1" applyFill="1" applyBorder="1" applyAlignment="1">
      <alignment horizontal="center" vertical="center"/>
    </xf>
    <xf numFmtId="0" fontId="29" fillId="40" borderId="10" xfId="0" applyFont="1" applyFill="1" applyBorder="1" applyAlignment="1">
      <alignment horizontal="center"/>
    </xf>
    <xf numFmtId="0" fontId="24" fillId="48" borderId="10" xfId="0" applyFont="1" applyFill="1" applyBorder="1" applyAlignment="1">
      <alignment horizontal="center"/>
    </xf>
    <xf numFmtId="2" fontId="31" fillId="33" borderId="10" xfId="0" applyNumberFormat="1" applyFont="1" applyFill="1" applyBorder="1" applyAlignment="1">
      <alignment horizontal="center" vertical="center" wrapText="1"/>
    </xf>
    <xf numFmtId="2" fontId="26" fillId="0" borderId="10" xfId="0" applyNumberFormat="1" applyFont="1" applyBorder="1" applyAlignment="1">
      <alignment horizontal="center" vertical="center"/>
    </xf>
    <xf numFmtId="10" fontId="31" fillId="0" borderId="10" xfId="0" applyNumberFormat="1" applyFont="1" applyBorder="1" applyAlignment="1">
      <alignment horizontal="center" vertical="center"/>
    </xf>
    <xf numFmtId="0" fontId="33" fillId="33" borderId="10" xfId="0" applyFont="1" applyFill="1" applyBorder="1" applyAlignment="1">
      <alignment horizontal="center" vertical="center" wrapText="1"/>
    </xf>
    <xf numFmtId="0" fontId="33" fillId="0" borderId="10" xfId="0" applyFont="1" applyBorder="1" applyAlignment="1">
      <alignment horizontal="center" vertical="center" wrapText="1"/>
    </xf>
    <xf numFmtId="0" fontId="32" fillId="0" borderId="10" xfId="0" applyFont="1" applyBorder="1" applyAlignment="1">
      <alignment horizontal="center" vertical="center" wrapText="1"/>
    </xf>
    <xf numFmtId="0" fontId="34" fillId="33" borderId="10" xfId="0" applyFont="1" applyFill="1" applyBorder="1" applyAlignment="1">
      <alignment horizontal="right" vertical="center" wrapText="1"/>
    </xf>
    <xf numFmtId="0" fontId="34" fillId="0" borderId="10" xfId="0" applyFont="1" applyBorder="1" applyAlignment="1">
      <alignment horizontal="right" vertical="center"/>
    </xf>
    <xf numFmtId="2" fontId="26" fillId="45" borderId="10" xfId="0" applyNumberFormat="1" applyFont="1" applyFill="1" applyBorder="1" applyAlignment="1">
      <alignment horizontal="center" vertical="center"/>
    </xf>
    <xf numFmtId="0" fontId="40" fillId="40" borderId="10" xfId="0" applyFont="1" applyFill="1" applyBorder="1" applyAlignment="1">
      <alignment horizontal="center"/>
    </xf>
    <xf numFmtId="0" fontId="41" fillId="40" borderId="10" xfId="0" applyFont="1" applyFill="1" applyBorder="1" applyAlignment="1">
      <alignment horizontal="center"/>
    </xf>
    <xf numFmtId="2" fontId="18" fillId="34" borderId="10" xfId="0" applyNumberFormat="1" applyFont="1" applyFill="1" applyBorder="1" applyAlignment="1">
      <alignment horizontal="center"/>
    </xf>
    <xf numFmtId="2" fontId="47" fillId="0" borderId="10" xfId="0" applyNumberFormat="1" applyFont="1" applyBorder="1" applyAlignment="1" applyProtection="1">
      <alignment horizontal="center" vertical="center"/>
      <protection locked="0"/>
    </xf>
    <xf numFmtId="2" fontId="47" fillId="43" borderId="10" xfId="0" applyNumberFormat="1" applyFont="1" applyFill="1" applyBorder="1" applyAlignment="1" applyProtection="1">
      <alignment horizontal="center" vertical="center"/>
      <protection locked="0"/>
    </xf>
    <xf numFmtId="2" fontId="18" fillId="0" borderId="10" xfId="0" applyNumberFormat="1" applyFont="1" applyBorder="1" applyAlignment="1">
      <alignment horizontal="center"/>
    </xf>
    <xf numFmtId="2" fontId="18" fillId="41" borderId="10" xfId="0" applyNumberFormat="1" applyFont="1" applyFill="1" applyBorder="1" applyAlignment="1" applyProtection="1">
      <alignment horizontal="center"/>
      <protection locked="0"/>
    </xf>
    <xf numFmtId="0" fontId="18" fillId="46" borderId="10" xfId="0" applyFont="1" applyFill="1" applyBorder="1" applyAlignment="1" applyProtection="1">
      <alignment horizontal="center"/>
      <protection locked="0"/>
    </xf>
    <xf numFmtId="0" fontId="18" fillId="50" borderId="10" xfId="0" applyFont="1" applyFill="1" applyBorder="1" applyAlignment="1" applyProtection="1">
      <alignment horizontal="center"/>
      <protection locked="0"/>
    </xf>
    <xf numFmtId="0" fontId="18" fillId="0" borderId="10" xfId="0" applyFont="1" applyBorder="1" applyAlignment="1" applyProtection="1">
      <alignment horizontal="center"/>
      <protection locked="0"/>
    </xf>
    <xf numFmtId="2" fontId="18" fillId="50" borderId="10" xfId="0" applyNumberFormat="1" applyFont="1" applyFill="1" applyBorder="1" applyAlignment="1" applyProtection="1">
      <alignment horizontal="center"/>
      <protection locked="0"/>
    </xf>
    <xf numFmtId="0" fontId="44" fillId="0" borderId="10" xfId="0" applyFont="1" applyBorder="1" applyAlignment="1">
      <alignment horizontal="left" vertical="center"/>
    </xf>
    <xf numFmtId="0" fontId="18" fillId="41" borderId="10" xfId="0" applyFont="1" applyFill="1" applyBorder="1" applyAlignment="1" applyProtection="1">
      <alignment horizontal="center"/>
      <protection locked="0"/>
    </xf>
    <xf numFmtId="9" fontId="18" fillId="42" borderId="10" xfId="0" applyNumberFormat="1" applyFont="1" applyFill="1" applyBorder="1" applyAlignment="1" applyProtection="1">
      <alignment horizontal="center"/>
      <protection locked="0"/>
    </xf>
    <xf numFmtId="0" fontId="18" fillId="42" borderId="10" xfId="0" applyFont="1" applyFill="1" applyBorder="1" applyAlignment="1" applyProtection="1">
      <alignment horizontal="center"/>
      <protection locked="0"/>
    </xf>
    <xf numFmtId="0" fontId="18" fillId="48" borderId="10" xfId="0" applyFont="1" applyFill="1" applyBorder="1" applyAlignment="1">
      <alignment horizontal="center"/>
    </xf>
    <xf numFmtId="2" fontId="18" fillId="48" borderId="10" xfId="0" applyNumberFormat="1" applyFont="1" applyFill="1" applyBorder="1" applyAlignment="1">
      <alignment horizontal="center"/>
    </xf>
    <xf numFmtId="0" fontId="44" fillId="48" borderId="10" xfId="0" applyFont="1" applyFill="1" applyBorder="1" applyAlignment="1">
      <alignment horizontal="center"/>
    </xf>
    <xf numFmtId="10" fontId="18" fillId="48" borderId="10" xfId="0" applyNumberFormat="1" applyFont="1" applyFill="1" applyBorder="1" applyAlignment="1">
      <alignment horizontal="center"/>
    </xf>
    <xf numFmtId="1" fontId="44" fillId="48" borderId="10" xfId="0" applyNumberFormat="1" applyFont="1" applyFill="1" applyBorder="1" applyAlignment="1">
      <alignment horizontal="center"/>
    </xf>
    <xf numFmtId="0" fontId="44" fillId="34" borderId="10" xfId="0" applyFont="1" applyFill="1" applyBorder="1" applyAlignment="1">
      <alignment horizontal="left" vertical="center"/>
    </xf>
    <xf numFmtId="0" fontId="44" fillId="34" borderId="10" xfId="0" applyFont="1" applyFill="1" applyBorder="1" applyAlignment="1">
      <alignment horizontal="left"/>
    </xf>
    <xf numFmtId="0" fontId="18" fillId="0" borderId="10" xfId="0" applyFont="1" applyBorder="1" applyAlignment="1">
      <alignment horizontal="left" vertical="center"/>
    </xf>
    <xf numFmtId="0" fontId="18" fillId="0" borderId="10" xfId="0" applyFont="1" applyBorder="1" applyAlignment="1">
      <alignment horizontal="center" vertical="center"/>
    </xf>
    <xf numFmtId="0" fontId="54" fillId="51" borderId="10" xfId="0" applyFont="1" applyFill="1" applyBorder="1" applyAlignment="1">
      <alignment horizontal="center"/>
    </xf>
    <xf numFmtId="0" fontId="54" fillId="35" borderId="10" xfId="0" applyFont="1" applyFill="1" applyBorder="1" applyAlignment="1">
      <alignment horizontal="center"/>
    </xf>
    <xf numFmtId="0" fontId="54" fillId="0" borderId="10" xfId="0" applyFont="1" applyBorder="1" applyAlignment="1">
      <alignment horizontal="center"/>
    </xf>
    <xf numFmtId="166" fontId="54" fillId="50" borderId="10" xfId="0" applyNumberFormat="1" applyFont="1" applyFill="1" applyBorder="1" applyAlignment="1" applyProtection="1">
      <alignment horizontal="center"/>
      <protection locked="0"/>
    </xf>
    <xf numFmtId="0" fontId="54" fillId="46" borderId="10" xfId="0" applyFont="1" applyFill="1" applyBorder="1" applyAlignment="1" applyProtection="1">
      <alignment horizontal="center"/>
      <protection locked="0"/>
    </xf>
    <xf numFmtId="0" fontId="54" fillId="42" borderId="10" xfId="0" applyFont="1" applyFill="1" applyBorder="1" applyAlignment="1">
      <alignment horizontal="center"/>
    </xf>
    <xf numFmtId="0" fontId="54" fillId="0" borderId="10" xfId="0" applyFont="1" applyBorder="1" applyAlignment="1" applyProtection="1">
      <alignment horizontal="center"/>
      <protection locked="0"/>
    </xf>
    <xf numFmtId="0" fontId="54" fillId="0" borderId="10" xfId="0" applyFont="1" applyBorder="1" applyAlignment="1">
      <alignment horizontal="center" vertical="center"/>
    </xf>
    <xf numFmtId="0" fontId="55" fillId="0" borderId="10" xfId="0" applyFont="1" applyBorder="1" applyAlignment="1">
      <alignment horizontal="center"/>
    </xf>
    <xf numFmtId="0" fontId="54" fillId="34" borderId="10" xfId="0" applyFont="1" applyFill="1" applyBorder="1" applyAlignment="1">
      <alignment horizontal="center"/>
    </xf>
    <xf numFmtId="0" fontId="54" fillId="48" borderId="10" xfId="0" applyFont="1" applyFill="1" applyBorder="1" applyAlignment="1">
      <alignment horizontal="center"/>
    </xf>
    <xf numFmtId="0" fontId="54" fillId="40" borderId="10" xfId="0" applyFont="1" applyFill="1" applyBorder="1" applyAlignment="1">
      <alignment horizontal="center" vertical="center"/>
    </xf>
    <xf numFmtId="0" fontId="55" fillId="40" borderId="10" xfId="0" applyFont="1" applyFill="1" applyBorder="1" applyAlignment="1">
      <alignment horizontal="center"/>
    </xf>
    <xf numFmtId="0" fontId="54" fillId="40" borderId="10" xfId="0" applyFont="1" applyFill="1" applyBorder="1" applyAlignment="1">
      <alignment horizontal="center"/>
    </xf>
    <xf numFmtId="0" fontId="54" fillId="45" borderId="10" xfId="0" applyFont="1" applyFill="1" applyBorder="1" applyAlignment="1">
      <alignment horizontal="center"/>
    </xf>
    <xf numFmtId="0" fontId="54" fillId="43" borderId="10" xfId="0" applyFont="1" applyFill="1" applyBorder="1" applyAlignment="1">
      <alignment horizontal="center"/>
    </xf>
    <xf numFmtId="0" fontId="54" fillId="33" borderId="10" xfId="0" applyFont="1" applyFill="1" applyBorder="1" applyAlignment="1">
      <alignment horizontal="center"/>
    </xf>
    <xf numFmtId="0" fontId="54" fillId="38" borderId="10" xfId="0" applyFont="1" applyFill="1" applyBorder="1" applyAlignment="1">
      <alignment horizontal="center"/>
    </xf>
    <xf numFmtId="0" fontId="54" fillId="35" borderId="10" xfId="0" applyFont="1" applyFill="1" applyBorder="1" applyAlignment="1" applyProtection="1">
      <alignment horizontal="center"/>
      <protection locked="0"/>
    </xf>
    <xf numFmtId="0" fontId="56" fillId="0" borderId="10" xfId="0" applyFont="1" applyBorder="1" applyAlignment="1">
      <alignment horizontal="center"/>
    </xf>
    <xf numFmtId="2" fontId="54" fillId="0" borderId="10" xfId="0" applyNumberFormat="1" applyFont="1" applyBorder="1" applyAlignment="1">
      <alignment horizontal="center"/>
    </xf>
    <xf numFmtId="0" fontId="54" fillId="41" borderId="10" xfId="0" applyFont="1" applyFill="1" applyBorder="1" applyAlignment="1" applyProtection="1">
      <alignment horizontal="center"/>
      <protection locked="0"/>
    </xf>
    <xf numFmtId="0" fontId="54" fillId="44" borderId="10" xfId="0" applyFont="1" applyFill="1" applyBorder="1" applyAlignment="1">
      <alignment horizontal="center"/>
    </xf>
    <xf numFmtId="0" fontId="54" fillId="34" borderId="10" xfId="0" applyFont="1" applyFill="1" applyBorder="1" applyAlignment="1" applyProtection="1">
      <alignment horizontal="center"/>
      <protection locked="0"/>
    </xf>
    <xf numFmtId="0" fontId="54" fillId="41" borderId="10" xfId="0" applyFont="1" applyFill="1" applyBorder="1" applyAlignment="1">
      <alignment horizontal="center"/>
    </xf>
    <xf numFmtId="0" fontId="54" fillId="34" borderId="10" xfId="0" applyFont="1" applyFill="1" applyBorder="1" applyAlignment="1">
      <alignment horizontal="center" vertical="center"/>
    </xf>
    <xf numFmtId="0" fontId="55" fillId="34" borderId="10" xfId="0" applyFont="1" applyFill="1" applyBorder="1" applyAlignment="1">
      <alignment horizontal="center"/>
    </xf>
    <xf numFmtId="22" fontId="57" fillId="0" borderId="10" xfId="0" applyNumberFormat="1" applyFont="1" applyBorder="1" applyAlignment="1">
      <alignment horizontal="center" wrapText="1"/>
    </xf>
    <xf numFmtId="0" fontId="54" fillId="48" borderId="10" xfId="0" applyFont="1" applyFill="1" applyBorder="1" applyAlignment="1" applyProtection="1">
      <alignment horizontal="center"/>
      <protection locked="0"/>
    </xf>
    <xf numFmtId="14" fontId="54" fillId="50" borderId="10" xfId="0" applyNumberFormat="1" applyFont="1" applyFill="1" applyBorder="1" applyAlignment="1">
      <alignment horizontal="center"/>
    </xf>
    <xf numFmtId="14" fontId="57" fillId="0" borderId="10" xfId="0" applyNumberFormat="1" applyFont="1" applyBorder="1" applyAlignment="1">
      <alignment horizontal="center" wrapText="1"/>
    </xf>
    <xf numFmtId="0" fontId="58" fillId="0" borderId="10" xfId="0" applyFont="1" applyBorder="1" applyAlignment="1">
      <alignment horizontal="center"/>
    </xf>
    <xf numFmtId="0" fontId="57" fillId="53" borderId="10" xfId="0" applyFont="1" applyFill="1" applyBorder="1" applyAlignment="1">
      <alignment horizontal="center" wrapText="1"/>
    </xf>
    <xf numFmtId="0" fontId="57" fillId="0" borderId="10" xfId="0" applyFont="1" applyBorder="1" applyAlignment="1">
      <alignment horizontal="center" wrapText="1"/>
    </xf>
    <xf numFmtId="0" fontId="44" fillId="43" borderId="10" xfId="0" applyFont="1" applyFill="1" applyBorder="1" applyAlignment="1">
      <alignment horizontal="left" vertical="center"/>
    </xf>
    <xf numFmtId="2" fontId="18" fillId="43" borderId="10" xfId="0" applyNumberFormat="1" applyFont="1" applyFill="1" applyBorder="1" applyAlignment="1">
      <alignment horizontal="left"/>
    </xf>
    <xf numFmtId="2" fontId="18" fillId="0" borderId="10" xfId="0" applyNumberFormat="1" applyFont="1" applyBorder="1" applyAlignment="1" applyProtection="1">
      <alignment horizontal="center"/>
      <protection locked="0"/>
    </xf>
    <xf numFmtId="2" fontId="18" fillId="46" borderId="10" xfId="0" applyNumberFormat="1" applyFont="1" applyFill="1" applyBorder="1" applyAlignment="1" applyProtection="1">
      <alignment horizontal="center"/>
      <protection locked="0"/>
    </xf>
    <xf numFmtId="0" fontId="60" fillId="48" borderId="10" xfId="0" applyFont="1" applyFill="1" applyBorder="1" applyAlignment="1">
      <alignment horizontal="center"/>
    </xf>
    <xf numFmtId="2" fontId="62" fillId="0" borderId="10" xfId="0" applyNumberFormat="1" applyFont="1" applyBorder="1" applyAlignment="1">
      <alignment horizontal="center"/>
    </xf>
    <xf numFmtId="164" fontId="14" fillId="0" borderId="10" xfId="0" applyNumberFormat="1" applyFont="1" applyBorder="1" applyAlignment="1">
      <alignment horizontal="center"/>
    </xf>
    <xf numFmtId="2" fontId="56" fillId="50" borderId="10" xfId="0" applyNumberFormat="1" applyFont="1" applyFill="1" applyBorder="1" applyAlignment="1" applyProtection="1">
      <alignment horizontal="center"/>
      <protection locked="0"/>
    </xf>
    <xf numFmtId="0" fontId="56" fillId="44" borderId="10" xfId="0" applyFont="1" applyFill="1" applyBorder="1" applyAlignment="1">
      <alignment horizontal="center"/>
    </xf>
    <xf numFmtId="2" fontId="60" fillId="0" borderId="10" xfId="0" applyNumberFormat="1" applyFont="1" applyBorder="1" applyAlignment="1" applyProtection="1">
      <alignment horizontal="center" vertical="center"/>
      <protection locked="0"/>
    </xf>
    <xf numFmtId="0" fontId="54" fillId="33" borderId="10" xfId="0" applyFont="1" applyFill="1" applyBorder="1" applyAlignment="1">
      <alignment horizontal="center" wrapText="1"/>
    </xf>
    <xf numFmtId="0" fontId="54" fillId="35" borderId="10" xfId="0" applyFont="1" applyFill="1" applyBorder="1" applyAlignment="1">
      <alignment horizontal="center" wrapText="1"/>
    </xf>
    <xf numFmtId="0" fontId="54" fillId="0" borderId="10" xfId="0" applyFont="1" applyBorder="1" applyAlignment="1">
      <alignment horizontal="center" wrapText="1"/>
    </xf>
    <xf numFmtId="0" fontId="54" fillId="47" borderId="10" xfId="0" applyFont="1" applyFill="1" applyBorder="1" applyAlignment="1">
      <alignment horizontal="center" wrapText="1"/>
    </xf>
    <xf numFmtId="0" fontId="54" fillId="34" borderId="10" xfId="0" applyFont="1" applyFill="1" applyBorder="1" applyAlignment="1">
      <alignment horizontal="center" wrapText="1"/>
    </xf>
    <xf numFmtId="0" fontId="54" fillId="46" borderId="10" xfId="0" applyFont="1" applyFill="1" applyBorder="1" applyAlignment="1">
      <alignment horizontal="center" wrapText="1"/>
    </xf>
    <xf numFmtId="0" fontId="56" fillId="43" borderId="10" xfId="0" applyFont="1" applyFill="1" applyBorder="1" applyAlignment="1">
      <alignment horizontal="center"/>
    </xf>
    <xf numFmtId="0" fontId="54" fillId="54" borderId="10" xfId="0" applyFont="1" applyFill="1" applyBorder="1" applyAlignment="1">
      <alignment horizontal="center"/>
    </xf>
    <xf numFmtId="0" fontId="54" fillId="0" borderId="10" xfId="0" applyFont="1" applyBorder="1" applyAlignment="1">
      <alignment wrapText="1"/>
    </xf>
    <xf numFmtId="0" fontId="44" fillId="47" borderId="10" xfId="0" applyFont="1" applyFill="1" applyBorder="1" applyAlignment="1">
      <alignment horizontal="left" vertical="center"/>
    </xf>
    <xf numFmtId="0" fontId="56" fillId="0" borderId="10" xfId="0" applyFont="1" applyBorder="1" applyAlignment="1" applyProtection="1">
      <alignment horizontal="center"/>
      <protection locked="0"/>
    </xf>
    <xf numFmtId="0" fontId="60" fillId="43" borderId="10" xfId="0" applyFont="1" applyFill="1" applyBorder="1" applyAlignment="1">
      <alignment horizontal="left" vertical="center"/>
    </xf>
    <xf numFmtId="2" fontId="60" fillId="0" borderId="10" xfId="0" applyNumberFormat="1" applyFont="1" applyBorder="1" applyAlignment="1">
      <alignment horizontal="center"/>
    </xf>
    <xf numFmtId="2" fontId="60" fillId="0" borderId="10" xfId="0" applyNumberFormat="1" applyFont="1" applyBorder="1" applyAlignment="1" applyProtection="1">
      <alignment horizontal="center"/>
      <protection locked="0"/>
    </xf>
    <xf numFmtId="2" fontId="60" fillId="43" borderId="10" xfId="0" applyNumberFormat="1" applyFont="1" applyFill="1" applyBorder="1" applyAlignment="1" applyProtection="1">
      <alignment horizontal="center" vertical="center"/>
      <protection locked="0"/>
    </xf>
    <xf numFmtId="0" fontId="60" fillId="61" borderId="10" xfId="0" applyFont="1" applyFill="1" applyBorder="1"/>
    <xf numFmtId="0" fontId="60" fillId="61" borderId="10" xfId="0" applyFont="1" applyFill="1" applyBorder="1" applyAlignment="1">
      <alignment horizontal="left" vertical="center"/>
    </xf>
    <xf numFmtId="0" fontId="60" fillId="61" borderId="10" xfId="0" applyFont="1" applyFill="1" applyBorder="1" applyAlignment="1">
      <alignment horizontal="left"/>
    </xf>
    <xf numFmtId="0" fontId="60" fillId="34" borderId="10" xfId="0" applyFont="1" applyFill="1" applyBorder="1" applyAlignment="1">
      <alignment horizontal="left" vertical="center"/>
    </xf>
    <xf numFmtId="2" fontId="18" fillId="64" borderId="10" xfId="0" applyNumberFormat="1" applyFont="1" applyFill="1" applyBorder="1" applyAlignment="1">
      <alignment horizontal="center"/>
    </xf>
    <xf numFmtId="2" fontId="60" fillId="46" borderId="10" xfId="0" applyNumberFormat="1" applyFont="1" applyFill="1" applyBorder="1" applyAlignment="1" applyProtection="1">
      <alignment horizontal="center"/>
      <protection locked="0"/>
    </xf>
    <xf numFmtId="0" fontId="54" fillId="65" borderId="10" xfId="0" applyFont="1" applyFill="1" applyBorder="1" applyAlignment="1">
      <alignment horizontal="center" wrapText="1"/>
    </xf>
    <xf numFmtId="49" fontId="54" fillId="65" borderId="10" xfId="0" applyNumberFormat="1" applyFont="1" applyFill="1" applyBorder="1" applyAlignment="1" applyProtection="1">
      <alignment horizontal="center"/>
      <protection locked="0"/>
    </xf>
    <xf numFmtId="0" fontId="56" fillId="48" borderId="10" xfId="0" applyFont="1" applyFill="1" applyBorder="1" applyAlignment="1">
      <alignment horizontal="center"/>
    </xf>
    <xf numFmtId="49" fontId="56" fillId="48" borderId="10" xfId="0" applyNumberFormat="1" applyFont="1" applyFill="1" applyBorder="1" applyAlignment="1">
      <alignment horizontal="center"/>
    </xf>
    <xf numFmtId="2" fontId="19" fillId="36" borderId="10" xfId="0" applyNumberFormat="1" applyFont="1" applyFill="1" applyBorder="1" applyAlignment="1">
      <alignment horizontal="center"/>
    </xf>
    <xf numFmtId="0" fontId="24" fillId="0" borderId="10" xfId="0" applyFont="1" applyBorder="1" applyAlignment="1">
      <alignment horizontal="center" vertical="center" wrapText="1"/>
    </xf>
    <xf numFmtId="0" fontId="21" fillId="34" borderId="10" xfId="0" applyFont="1" applyFill="1" applyBorder="1" applyAlignment="1">
      <alignment horizontal="center"/>
    </xf>
    <xf numFmtId="0" fontId="29" fillId="0" borderId="10" xfId="0" applyFont="1" applyBorder="1" applyAlignment="1">
      <alignment horizontal="center"/>
    </xf>
    <xf numFmtId="0" fontId="19" fillId="34" borderId="10" xfId="0" applyFont="1" applyFill="1" applyBorder="1" applyAlignment="1">
      <alignment horizontal="center"/>
    </xf>
    <xf numFmtId="0" fontId="19" fillId="35" borderId="10" xfId="0" applyFont="1" applyFill="1" applyBorder="1" applyAlignment="1">
      <alignment horizontal="center"/>
    </xf>
    <xf numFmtId="0" fontId="19" fillId="36" borderId="10" xfId="0" applyFont="1" applyFill="1" applyBorder="1" applyAlignment="1">
      <alignment horizontal="center"/>
    </xf>
    <xf numFmtId="2" fontId="19" fillId="0" borderId="10" xfId="0" applyNumberFormat="1" applyFont="1" applyBorder="1" applyAlignment="1">
      <alignment horizontal="center"/>
    </xf>
    <xf numFmtId="0" fontId="54" fillId="36" borderId="10" xfId="0" applyFont="1" applyFill="1" applyBorder="1" applyAlignment="1">
      <alignment horizontal="center"/>
    </xf>
    <xf numFmtId="0" fontId="33" fillId="0" borderId="10" xfId="0" applyFont="1" applyBorder="1" applyAlignment="1">
      <alignment horizontal="left" wrapText="1"/>
    </xf>
    <xf numFmtId="0" fontId="0" fillId="0" borderId="10" xfId="0" applyBorder="1" applyAlignment="1">
      <alignment horizontal="center"/>
    </xf>
    <xf numFmtId="0" fontId="16" fillId="44" borderId="10" xfId="0" applyFont="1" applyFill="1" applyBorder="1" applyAlignment="1">
      <alignment horizontal="center"/>
    </xf>
    <xf numFmtId="1" fontId="18" fillId="44" borderId="10" xfId="0" applyNumberFormat="1" applyFont="1" applyFill="1" applyBorder="1" applyAlignment="1">
      <alignment horizontal="center"/>
    </xf>
    <xf numFmtId="0" fontId="18" fillId="44" borderId="10" xfId="0" applyFont="1" applyFill="1" applyBorder="1" applyAlignment="1">
      <alignment horizontal="center"/>
    </xf>
    <xf numFmtId="0" fontId="18" fillId="44" borderId="10" xfId="0" applyFont="1" applyFill="1" applyBorder="1"/>
    <xf numFmtId="0" fontId="44" fillId="0" borderId="10" xfId="0" applyFont="1" applyBorder="1" applyAlignment="1">
      <alignment horizontal="center" vertical="center"/>
    </xf>
    <xf numFmtId="2" fontId="18" fillId="0" borderId="10" xfId="0" applyNumberFormat="1" applyFont="1" applyBorder="1" applyAlignment="1">
      <alignment horizontal="center" vertical="center"/>
    </xf>
    <xf numFmtId="0" fontId="45" fillId="0" borderId="10" xfId="0" applyFont="1" applyBorder="1"/>
    <xf numFmtId="0" fontId="18" fillId="0" borderId="10" xfId="0" applyFont="1" applyBorder="1"/>
    <xf numFmtId="2" fontId="42" fillId="0" borderId="10" xfId="0" applyNumberFormat="1" applyFont="1" applyBorder="1" applyAlignment="1">
      <alignment horizontal="center"/>
    </xf>
    <xf numFmtId="0" fontId="52" fillId="0" borderId="10" xfId="0" applyFont="1" applyBorder="1" applyAlignment="1">
      <alignment horizontal="left" vertical="center" indent="3"/>
    </xf>
    <xf numFmtId="1" fontId="45" fillId="0" borderId="10" xfId="0" applyNumberFormat="1" applyFont="1" applyBorder="1"/>
    <xf numFmtId="0" fontId="60" fillId="0" borderId="10" xfId="0" applyFont="1" applyBorder="1"/>
    <xf numFmtId="0" fontId="64" fillId="0" borderId="10" xfId="0" applyFont="1" applyBorder="1"/>
    <xf numFmtId="0" fontId="63" fillId="0" borderId="10" xfId="0" applyFont="1" applyBorder="1"/>
    <xf numFmtId="0" fontId="59" fillId="0" borderId="10" xfId="0" applyFont="1" applyBorder="1"/>
    <xf numFmtId="2" fontId="18" fillId="0" borderId="10" xfId="0" applyNumberFormat="1" applyFont="1" applyBorder="1"/>
    <xf numFmtId="0" fontId="18" fillId="43" borderId="10" xfId="0" applyFont="1" applyFill="1" applyBorder="1" applyAlignment="1">
      <alignment horizontal="center" vertical="center"/>
    </xf>
    <xf numFmtId="0" fontId="51" fillId="0" borderId="10" xfId="0" applyFont="1" applyBorder="1" applyAlignment="1">
      <alignment vertical="center"/>
    </xf>
    <xf numFmtId="0" fontId="53" fillId="0" borderId="10" xfId="0" applyFont="1" applyBorder="1" applyAlignment="1">
      <alignment vertical="center"/>
    </xf>
    <xf numFmtId="0" fontId="60" fillId="62" borderId="10" xfId="0" applyFont="1" applyFill="1" applyBorder="1" applyAlignment="1">
      <alignment horizontal="center"/>
    </xf>
    <xf numFmtId="0" fontId="18" fillId="62" borderId="10" xfId="0" applyFont="1" applyFill="1" applyBorder="1"/>
    <xf numFmtId="0" fontId="18" fillId="62" borderId="10" xfId="0" applyFont="1" applyFill="1" applyBorder="1" applyAlignment="1">
      <alignment horizontal="center"/>
    </xf>
    <xf numFmtId="0" fontId="44" fillId="0" borderId="10" xfId="0" applyFont="1" applyBorder="1" applyAlignment="1">
      <alignment horizontal="center"/>
    </xf>
    <xf numFmtId="0" fontId="18" fillId="42" borderId="10" xfId="0" applyFont="1" applyFill="1" applyBorder="1" applyAlignment="1">
      <alignment horizontal="center"/>
    </xf>
    <xf numFmtId="2" fontId="43" fillId="0" borderId="10" xfId="0" applyNumberFormat="1" applyFont="1" applyBorder="1" applyAlignment="1">
      <alignment horizontal="center"/>
    </xf>
    <xf numFmtId="0" fontId="65" fillId="33" borderId="10" xfId="0" applyFont="1" applyFill="1" applyBorder="1"/>
    <xf numFmtId="0" fontId="48" fillId="0" borderId="10" xfId="0" applyFont="1" applyBorder="1"/>
    <xf numFmtId="0" fontId="18" fillId="48" borderId="10" xfId="0" applyFont="1" applyFill="1" applyBorder="1" applyAlignment="1">
      <alignment horizontal="left"/>
    </xf>
    <xf numFmtId="0" fontId="45" fillId="33" borderId="10" xfId="0" applyFont="1" applyFill="1" applyBorder="1"/>
    <xf numFmtId="0" fontId="18" fillId="33" borderId="10" xfId="0" applyFont="1" applyFill="1" applyBorder="1" applyAlignment="1">
      <alignment horizontal="center"/>
    </xf>
    <xf numFmtId="0" fontId="18" fillId="36" borderId="10" xfId="0" applyFont="1" applyFill="1" applyBorder="1" applyAlignment="1">
      <alignment horizontal="center"/>
    </xf>
    <xf numFmtId="0" fontId="18" fillId="46" borderId="10" xfId="0" applyFont="1" applyFill="1" applyBorder="1" applyAlignment="1">
      <alignment horizontal="center"/>
    </xf>
    <xf numFmtId="0" fontId="66" fillId="34" borderId="10" xfId="0" applyFont="1" applyFill="1" applyBorder="1" applyAlignment="1">
      <alignment horizontal="center" vertical="center"/>
    </xf>
    <xf numFmtId="0" fontId="18" fillId="34" borderId="10" xfId="0" applyFont="1" applyFill="1" applyBorder="1" applyAlignment="1">
      <alignment horizontal="center"/>
    </xf>
    <xf numFmtId="0" fontId="66" fillId="34" borderId="10" xfId="0" applyFont="1" applyFill="1" applyBorder="1" applyAlignment="1">
      <alignment horizontal="center"/>
    </xf>
    <xf numFmtId="0" fontId="45" fillId="0" borderId="10" xfId="0" applyFont="1" applyBorder="1" applyAlignment="1">
      <alignment horizontal="center" vertical="center"/>
    </xf>
    <xf numFmtId="1" fontId="49" fillId="43" borderId="10" xfId="0" applyNumberFormat="1" applyFont="1" applyFill="1" applyBorder="1" applyAlignment="1">
      <alignment horizontal="center"/>
    </xf>
    <xf numFmtId="1" fontId="61" fillId="43" borderId="10" xfId="0" applyNumberFormat="1" applyFont="1" applyFill="1" applyBorder="1" applyAlignment="1">
      <alignment horizontal="center"/>
    </xf>
    <xf numFmtId="0" fontId="45" fillId="34" borderId="10" xfId="0" applyFont="1" applyFill="1" applyBorder="1"/>
    <xf numFmtId="167" fontId="18" fillId="0" borderId="10" xfId="0" applyNumberFormat="1" applyFont="1" applyBorder="1" applyAlignment="1">
      <alignment horizontal="center"/>
    </xf>
    <xf numFmtId="0" fontId="0" fillId="44" borderId="10" xfId="0" applyFill="1" applyBorder="1"/>
    <xf numFmtId="167" fontId="45" fillId="52" borderId="10" xfId="0" applyNumberFormat="1" applyFont="1" applyFill="1" applyBorder="1" applyAlignment="1">
      <alignment horizontal="center" vertical="center"/>
    </xf>
    <xf numFmtId="2" fontId="16" fillId="44" borderId="10" xfId="0" applyNumberFormat="1" applyFont="1" applyFill="1" applyBorder="1"/>
    <xf numFmtId="2" fontId="45" fillId="0" borderId="10" xfId="0" applyNumberFormat="1" applyFont="1" applyBorder="1" applyAlignment="1">
      <alignment horizontal="center" vertical="center"/>
    </xf>
    <xf numFmtId="2" fontId="45" fillId="53" borderId="10" xfId="0" applyNumberFormat="1" applyFont="1" applyFill="1" applyBorder="1" applyAlignment="1">
      <alignment horizontal="center" vertical="center"/>
    </xf>
    <xf numFmtId="2" fontId="45" fillId="52" borderId="10" xfId="0" applyNumberFormat="1" applyFont="1" applyFill="1" applyBorder="1" applyAlignment="1">
      <alignment horizontal="center" vertical="center"/>
    </xf>
    <xf numFmtId="2" fontId="18" fillId="52" borderId="10" xfId="0" applyNumberFormat="1" applyFont="1" applyFill="1" applyBorder="1" applyAlignment="1">
      <alignment horizontal="center" vertical="center"/>
    </xf>
    <xf numFmtId="2" fontId="45" fillId="38" borderId="10" xfId="0" applyNumberFormat="1" applyFont="1" applyFill="1" applyBorder="1" applyAlignment="1">
      <alignment horizontal="center" vertical="center"/>
    </xf>
    <xf numFmtId="0" fontId="18" fillId="34" borderId="10" xfId="0" applyFont="1" applyFill="1" applyBorder="1"/>
    <xf numFmtId="2" fontId="45" fillId="34" borderId="10" xfId="0" applyNumberFormat="1" applyFont="1" applyFill="1" applyBorder="1"/>
    <xf numFmtId="0" fontId="50" fillId="0" borderId="10" xfId="0" applyFont="1" applyBorder="1"/>
    <xf numFmtId="2" fontId="46" fillId="52" borderId="10" xfId="0" applyNumberFormat="1" applyFont="1" applyFill="1" applyBorder="1" applyAlignment="1">
      <alignment horizontal="center" vertical="center"/>
    </xf>
    <xf numFmtId="0" fontId="45" fillId="52" borderId="10" xfId="0" applyFont="1" applyFill="1" applyBorder="1" applyAlignment="1">
      <alignment horizontal="center" vertical="center"/>
    </xf>
    <xf numFmtId="2" fontId="18" fillId="45" borderId="10" xfId="0" applyNumberFormat="1" applyFont="1" applyFill="1" applyBorder="1" applyAlignment="1">
      <alignment horizontal="center" vertical="center"/>
    </xf>
    <xf numFmtId="2" fontId="45" fillId="45" borderId="10" xfId="0" applyNumberFormat="1" applyFont="1" applyFill="1" applyBorder="1" applyAlignment="1">
      <alignment horizontal="center" vertical="center"/>
    </xf>
    <xf numFmtId="0" fontId="57" fillId="57" borderId="11" xfId="0" applyFont="1" applyFill="1" applyBorder="1" applyAlignment="1">
      <alignment horizontal="center" vertical="center" wrapText="1"/>
    </xf>
    <xf numFmtId="0" fontId="57" fillId="57" borderId="12" xfId="0" applyFont="1" applyFill="1" applyBorder="1" applyAlignment="1">
      <alignment horizontal="center" vertical="center" wrapText="1"/>
    </xf>
    <xf numFmtId="0" fontId="56" fillId="34" borderId="10" xfId="0" applyFont="1" applyFill="1" applyBorder="1" applyAlignment="1">
      <alignment horizontal="center" wrapText="1"/>
    </xf>
    <xf numFmtId="9" fontId="54" fillId="0" borderId="10" xfId="0" applyNumberFormat="1" applyFont="1" applyBorder="1" applyAlignment="1" applyProtection="1">
      <alignment horizontal="center"/>
      <protection locked="0"/>
    </xf>
    <xf numFmtId="0" fontId="37" fillId="35" borderId="10" xfId="0" applyFont="1" applyFill="1" applyBorder="1" applyAlignment="1">
      <alignment horizontal="center" vertical="top" wrapText="1"/>
    </xf>
    <xf numFmtId="0" fontId="54" fillId="53" borderId="10" xfId="0" applyFont="1" applyFill="1" applyBorder="1" applyAlignment="1">
      <alignment horizontal="center" wrapText="1"/>
    </xf>
    <xf numFmtId="0" fontId="30" fillId="0" borderId="10" xfId="0" applyFont="1" applyBorder="1" applyAlignment="1">
      <alignment horizontal="center"/>
    </xf>
    <xf numFmtId="0" fontId="30" fillId="0" borderId="10" xfId="0" applyFont="1" applyBorder="1" applyAlignment="1" applyProtection="1">
      <alignment horizontal="center"/>
      <protection locked="0"/>
    </xf>
    <xf numFmtId="0" fontId="69" fillId="67" borderId="0" xfId="0" applyFont="1" applyFill="1" applyAlignment="1">
      <alignment horizontal="center" vertical="center" wrapText="1"/>
    </xf>
    <xf numFmtId="0" fontId="30" fillId="67" borderId="0" xfId="0" applyFont="1" applyFill="1" applyAlignment="1">
      <alignment horizontal="center"/>
    </xf>
    <xf numFmtId="0" fontId="30" fillId="68" borderId="10" xfId="0" applyFont="1" applyFill="1" applyBorder="1" applyAlignment="1">
      <alignment horizontal="center" wrapText="1"/>
    </xf>
    <xf numFmtId="0" fontId="69" fillId="68" borderId="0" xfId="0" applyFont="1" applyFill="1" applyAlignment="1">
      <alignment horizontal="center" vertical="center" wrapText="1"/>
    </xf>
    <xf numFmtId="0" fontId="30" fillId="68" borderId="0" xfId="0" applyFont="1" applyFill="1" applyAlignment="1">
      <alignment horizontal="center"/>
    </xf>
    <xf numFmtId="0" fontId="54" fillId="53" borderId="10" xfId="0" applyFont="1" applyFill="1" applyBorder="1" applyAlignment="1">
      <alignment horizontal="center"/>
    </xf>
    <xf numFmtId="0" fontId="54" fillId="55" borderId="10" xfId="0" applyFont="1" applyFill="1" applyBorder="1" applyAlignment="1">
      <alignment horizontal="center"/>
    </xf>
    <xf numFmtId="0" fontId="0" fillId="0" borderId="10" xfId="0" applyBorder="1" applyAlignment="1">
      <alignment horizontal="right" vertical="center"/>
    </xf>
    <xf numFmtId="0" fontId="32" fillId="0" borderId="10" xfId="0" applyFont="1" applyBorder="1" applyAlignment="1">
      <alignment horizontal="left" vertical="center" wrapText="1"/>
    </xf>
    <xf numFmtId="0" fontId="32" fillId="0" borderId="10" xfId="0" applyFont="1" applyBorder="1" applyAlignment="1">
      <alignment wrapText="1"/>
    </xf>
    <xf numFmtId="0" fontId="32" fillId="0" borderId="10" xfId="42" applyFont="1" applyBorder="1" applyAlignment="1">
      <alignment wrapText="1"/>
    </xf>
    <xf numFmtId="0" fontId="34" fillId="0" borderId="10" xfId="0" applyFont="1" applyBorder="1" applyAlignment="1">
      <alignment horizontal="right" vertical="center" wrapText="1"/>
    </xf>
    <xf numFmtId="0" fontId="34" fillId="45" borderId="10" xfId="0" applyFont="1" applyFill="1" applyBorder="1" applyAlignment="1">
      <alignment horizontal="right" vertical="center"/>
    </xf>
    <xf numFmtId="0" fontId="32" fillId="45" borderId="10" xfId="0" applyFont="1" applyFill="1" applyBorder="1" applyAlignment="1">
      <alignment horizontal="center" vertical="center" wrapText="1"/>
    </xf>
    <xf numFmtId="0" fontId="0" fillId="45" borderId="10" xfId="0" applyFill="1" applyBorder="1" applyAlignment="1">
      <alignment horizontal="right" vertical="center"/>
    </xf>
    <xf numFmtId="9" fontId="26" fillId="0" borderId="10" xfId="0" applyNumberFormat="1" applyFont="1" applyBorder="1" applyAlignment="1">
      <alignment horizontal="center" vertical="center"/>
    </xf>
    <xf numFmtId="9" fontId="32" fillId="0" borderId="10" xfId="0" applyNumberFormat="1" applyFont="1" applyBorder="1" applyAlignment="1">
      <alignment horizontal="left" vertical="center" wrapText="1"/>
    </xf>
    <xf numFmtId="0" fontId="68" fillId="0" borderId="10" xfId="0" applyFont="1" applyBorder="1" applyAlignment="1">
      <alignment horizontal="right" vertical="center" wrapText="1" readingOrder="1"/>
    </xf>
    <xf numFmtId="0" fontId="35" fillId="0" borderId="10" xfId="0" applyFont="1" applyBorder="1" applyAlignment="1">
      <alignment horizontal="right" vertical="center" wrapText="1"/>
    </xf>
    <xf numFmtId="2" fontId="32" fillId="0" borderId="10" xfId="0" applyNumberFormat="1" applyFont="1" applyBorder="1" applyAlignment="1">
      <alignment horizontal="center" vertical="center" wrapText="1"/>
    </xf>
    <xf numFmtId="0" fontId="24" fillId="43" borderId="10" xfId="0" applyFont="1" applyFill="1" applyBorder="1" applyAlignment="1">
      <alignment horizontal="center"/>
    </xf>
    <xf numFmtId="0" fontId="0" fillId="37" borderId="0" xfId="0" applyFill="1"/>
    <xf numFmtId="0" fontId="38" fillId="0" borderId="0" xfId="0" applyFont="1" applyAlignment="1">
      <alignment horizontal="right" vertical="center" wrapText="1"/>
    </xf>
    <xf numFmtId="0" fontId="30" fillId="0" borderId="0" xfId="0" applyFont="1" applyAlignment="1">
      <alignment horizontal="center"/>
    </xf>
    <xf numFmtId="0" fontId="30" fillId="0" borderId="0" xfId="0" applyFont="1" applyAlignment="1">
      <alignment horizontal="right" vertical="center"/>
    </xf>
    <xf numFmtId="164" fontId="39" fillId="0" borderId="0" xfId="0" applyNumberFormat="1" applyFont="1" applyAlignment="1">
      <alignment horizontal="center"/>
    </xf>
    <xf numFmtId="0" fontId="16" fillId="0" borderId="0" xfId="0" applyFont="1" applyAlignment="1">
      <alignment horizontal="left"/>
    </xf>
    <xf numFmtId="0" fontId="38" fillId="0" borderId="0" xfId="0" applyFont="1" applyAlignment="1">
      <alignment horizontal="right"/>
    </xf>
    <xf numFmtId="0" fontId="30" fillId="0" borderId="0" xfId="0" applyFont="1" applyAlignment="1">
      <alignment horizontal="right"/>
    </xf>
    <xf numFmtId="0" fontId="0" fillId="34" borderId="0" xfId="0" applyFill="1" applyAlignment="1">
      <alignment horizontal="center"/>
    </xf>
    <xf numFmtId="2" fontId="54" fillId="43" borderId="10" xfId="0" applyNumberFormat="1" applyFont="1" applyFill="1" applyBorder="1" applyAlignment="1">
      <alignment horizontal="center"/>
    </xf>
    <xf numFmtId="2" fontId="0" fillId="37" borderId="0" xfId="0" applyNumberFormat="1" applyFill="1" applyAlignment="1">
      <alignment horizontal="center"/>
    </xf>
    <xf numFmtId="0" fontId="71" fillId="0" borderId="10" xfId="0" applyFont="1" applyBorder="1" applyAlignment="1">
      <alignment horizontal="center" wrapText="1"/>
    </xf>
    <xf numFmtId="0" fontId="70" fillId="34" borderId="10" xfId="0" applyFont="1" applyFill="1" applyBorder="1" applyAlignment="1">
      <alignment horizontal="center" wrapText="1"/>
    </xf>
    <xf numFmtId="0" fontId="71" fillId="34" borderId="10" xfId="0" applyFont="1" applyFill="1" applyBorder="1" applyAlignment="1">
      <alignment horizontal="center" wrapText="1"/>
    </xf>
    <xf numFmtId="0" fontId="71" fillId="34" borderId="10" xfId="0" applyFont="1" applyFill="1" applyBorder="1" applyAlignment="1">
      <alignment horizontal="center" vertical="center"/>
    </xf>
    <xf numFmtId="0" fontId="71" fillId="34" borderId="10" xfId="0" applyFont="1" applyFill="1" applyBorder="1" applyAlignment="1">
      <alignment horizontal="center"/>
    </xf>
    <xf numFmtId="0" fontId="73" fillId="34" borderId="10" xfId="0" applyFont="1" applyFill="1" applyBorder="1" applyAlignment="1">
      <alignment horizontal="right" vertical="center"/>
    </xf>
    <xf numFmtId="0" fontId="34" fillId="34" borderId="10" xfId="0" applyFont="1" applyFill="1" applyBorder="1" applyAlignment="1">
      <alignment horizontal="right" vertical="center"/>
    </xf>
    <xf numFmtId="0" fontId="74" fillId="0" borderId="10" xfId="0" applyFont="1" applyBorder="1" applyAlignment="1">
      <alignment vertical="center" wrapText="1"/>
    </xf>
    <xf numFmtId="0" fontId="74" fillId="0" borderId="10" xfId="0" applyFont="1" applyBorder="1"/>
    <xf numFmtId="10" fontId="16" fillId="0" borderId="0" xfId="0" applyNumberFormat="1" applyFont="1" applyAlignment="1">
      <alignment horizontal="left" indent="1"/>
    </xf>
    <xf numFmtId="10" fontId="0" fillId="0" borderId="0" xfId="0" applyNumberFormat="1" applyAlignment="1">
      <alignment horizontal="left" indent="1"/>
    </xf>
    <xf numFmtId="2" fontId="16" fillId="0" borderId="0" xfId="0" applyNumberFormat="1" applyFont="1" applyAlignment="1">
      <alignment horizontal="left" indent="1"/>
    </xf>
    <xf numFmtId="164" fontId="0" fillId="0" borderId="0" xfId="0" applyNumberFormat="1" applyAlignment="1">
      <alignment horizontal="center"/>
    </xf>
    <xf numFmtId="0" fontId="18" fillId="0" borderId="10" xfId="0" applyFont="1" applyBorder="1" applyAlignment="1">
      <alignment vertical="center"/>
    </xf>
    <xf numFmtId="0" fontId="46" fillId="0" borderId="10" xfId="0" applyFont="1" applyBorder="1" applyAlignment="1">
      <alignment horizontal="left" vertical="center"/>
    </xf>
    <xf numFmtId="0" fontId="61" fillId="0" borderId="10" xfId="0" applyFont="1" applyBorder="1" applyAlignment="1">
      <alignment horizontal="left" vertical="center"/>
    </xf>
    <xf numFmtId="0" fontId="60" fillId="0" borderId="10" xfId="0" applyFont="1" applyBorder="1" applyAlignment="1">
      <alignment horizontal="left" vertical="center"/>
    </xf>
    <xf numFmtId="2" fontId="31" fillId="0" borderId="10" xfId="0" applyNumberFormat="1" applyFont="1" applyBorder="1" applyAlignment="1">
      <alignment horizontal="center" vertical="center"/>
    </xf>
    <xf numFmtId="10" fontId="39" fillId="0" borderId="0" xfId="0" applyNumberFormat="1" applyFont="1" applyAlignment="1">
      <alignment horizontal="center"/>
    </xf>
    <xf numFmtId="10" fontId="30" fillId="0" borderId="0" xfId="0" applyNumberFormat="1" applyFont="1" applyAlignment="1">
      <alignment horizontal="center"/>
    </xf>
    <xf numFmtId="10" fontId="0" fillId="0" borderId="0" xfId="0" applyNumberFormat="1" applyAlignment="1">
      <alignment horizontal="center"/>
    </xf>
    <xf numFmtId="1" fontId="19" fillId="34" borderId="10" xfId="0" applyNumberFormat="1" applyFont="1" applyFill="1" applyBorder="1" applyAlignment="1">
      <alignment horizontal="center"/>
    </xf>
    <xf numFmtId="164" fontId="19" fillId="34" borderId="10" xfId="0" applyNumberFormat="1" applyFont="1" applyFill="1" applyBorder="1" applyAlignment="1">
      <alignment horizontal="center"/>
    </xf>
    <xf numFmtId="0" fontId="75" fillId="0" borderId="10" xfId="0" applyFont="1" applyBorder="1" applyAlignment="1">
      <alignment horizontal="center"/>
    </xf>
    <xf numFmtId="0" fontId="75" fillId="0" borderId="10" xfId="0" applyFont="1" applyBorder="1" applyAlignment="1">
      <alignment horizontal="center" wrapText="1"/>
    </xf>
    <xf numFmtId="0" fontId="75" fillId="0" borderId="10" xfId="0" applyFont="1" applyBorder="1" applyAlignment="1">
      <alignment horizontal="center" vertical="center"/>
    </xf>
    <xf numFmtId="0" fontId="76" fillId="0" borderId="10" xfId="0" applyFont="1" applyBorder="1" applyAlignment="1">
      <alignment horizontal="center" wrapText="1"/>
    </xf>
    <xf numFmtId="0" fontId="77" fillId="0" borderId="10" xfId="0" applyFont="1" applyBorder="1" applyAlignment="1">
      <alignment horizontal="center" wrapText="1"/>
    </xf>
    <xf numFmtId="0" fontId="80" fillId="0" borderId="10" xfId="0" applyFont="1" applyBorder="1" applyAlignment="1">
      <alignment horizontal="center"/>
    </xf>
    <xf numFmtId="14" fontId="81" fillId="0" borderId="10" xfId="0" applyNumberFormat="1" applyFont="1" applyBorder="1" applyAlignment="1">
      <alignment horizontal="center" wrapText="1"/>
    </xf>
    <xf numFmtId="0" fontId="82" fillId="35" borderId="10" xfId="0" applyFont="1" applyFill="1" applyBorder="1" applyAlignment="1">
      <alignment horizontal="center" wrapText="1"/>
    </xf>
    <xf numFmtId="0" fontId="82" fillId="0" borderId="10" xfId="0" applyFont="1" applyBorder="1" applyAlignment="1">
      <alignment horizontal="center" wrapText="1"/>
    </xf>
    <xf numFmtId="0" fontId="82" fillId="0" borderId="10" xfId="0" applyFont="1" applyBorder="1" applyAlignment="1">
      <alignment horizontal="center"/>
    </xf>
    <xf numFmtId="0" fontId="82" fillId="33" borderId="10" xfId="0" applyFont="1" applyFill="1" applyBorder="1" applyAlignment="1">
      <alignment horizontal="center"/>
    </xf>
    <xf numFmtId="0" fontId="82" fillId="35" borderId="10" xfId="0" applyFont="1" applyFill="1" applyBorder="1" applyAlignment="1">
      <alignment horizontal="center"/>
    </xf>
    <xf numFmtId="0" fontId="82" fillId="73" borderId="10" xfId="0" applyFont="1" applyFill="1" applyBorder="1" applyAlignment="1">
      <alignment horizontal="center"/>
    </xf>
    <xf numFmtId="0" fontId="82" fillId="34" borderId="10" xfId="0" applyFont="1" applyFill="1" applyBorder="1" applyAlignment="1">
      <alignment horizontal="center" wrapText="1"/>
    </xf>
    <xf numFmtId="0" fontId="82" fillId="43" borderId="10" xfId="0" applyFont="1" applyFill="1" applyBorder="1" applyAlignment="1">
      <alignment horizontal="center" wrapText="1"/>
    </xf>
    <xf numFmtId="0" fontId="82" fillId="33" borderId="10" xfId="0" applyFont="1" applyFill="1" applyBorder="1" applyAlignment="1">
      <alignment horizontal="center" wrapText="1"/>
    </xf>
    <xf numFmtId="0" fontId="82" fillId="45" borderId="10" xfId="0" applyFont="1" applyFill="1" applyBorder="1" applyAlignment="1">
      <alignment horizontal="center"/>
    </xf>
    <xf numFmtId="0" fontId="81" fillId="53" borderId="10" xfId="0" applyFont="1" applyFill="1" applyBorder="1" applyAlignment="1">
      <alignment horizontal="center" wrapText="1"/>
    </xf>
    <xf numFmtId="0" fontId="82" fillId="53" borderId="10" xfId="0" applyFont="1" applyFill="1" applyBorder="1" applyAlignment="1">
      <alignment horizontal="center" vertical="center"/>
    </xf>
    <xf numFmtId="0" fontId="81" fillId="43" borderId="10" xfId="0" applyFont="1" applyFill="1" applyBorder="1" applyAlignment="1">
      <alignment horizontal="center" wrapText="1"/>
    </xf>
    <xf numFmtId="0" fontId="81" fillId="35" borderId="10" xfId="0" applyFont="1" applyFill="1" applyBorder="1" applyAlignment="1">
      <alignment horizontal="center" wrapText="1"/>
    </xf>
    <xf numFmtId="0" fontId="81" fillId="0" borderId="10" xfId="0" applyFont="1" applyBorder="1" applyAlignment="1">
      <alignment horizontal="center" wrapText="1"/>
    </xf>
    <xf numFmtId="0" fontId="81" fillId="33" borderId="10" xfId="0" applyFont="1" applyFill="1" applyBorder="1" applyAlignment="1">
      <alignment horizontal="center" wrapText="1"/>
    </xf>
    <xf numFmtId="0" fontId="82" fillId="43" borderId="10" xfId="0" applyFont="1" applyFill="1" applyBorder="1" applyAlignment="1">
      <alignment horizontal="center"/>
    </xf>
    <xf numFmtId="0" fontId="82" fillId="74" borderId="10" xfId="0" applyFont="1" applyFill="1" applyBorder="1" applyAlignment="1">
      <alignment horizontal="center"/>
    </xf>
    <xf numFmtId="0" fontId="82" fillId="74" borderId="10" xfId="0" applyFont="1" applyFill="1" applyBorder="1" applyAlignment="1">
      <alignment horizontal="center" wrapText="1"/>
    </xf>
    <xf numFmtId="0" fontId="82" fillId="74" borderId="10" xfId="0" applyFont="1" applyFill="1" applyBorder="1" applyAlignment="1">
      <alignment horizontal="center" vertical="center"/>
    </xf>
    <xf numFmtId="0" fontId="82" fillId="44" borderId="10" xfId="0" applyFont="1" applyFill="1" applyBorder="1" applyAlignment="1">
      <alignment horizontal="center" vertical="center"/>
    </xf>
    <xf numFmtId="0" fontId="82" fillId="0" borderId="10" xfId="0" applyFont="1" applyBorder="1" applyAlignment="1">
      <alignment horizontal="center" vertical="center"/>
    </xf>
    <xf numFmtId="0" fontId="82" fillId="35" borderId="10" xfId="0" applyFont="1" applyFill="1" applyBorder="1" applyAlignment="1">
      <alignment horizontal="center" vertical="center"/>
    </xf>
    <xf numFmtId="0" fontId="16" fillId="35" borderId="10" xfId="0" applyFont="1" applyFill="1" applyBorder="1" applyAlignment="1">
      <alignment horizontal="center"/>
    </xf>
    <xf numFmtId="0" fontId="82" fillId="53" borderId="10" xfId="0" applyFont="1" applyFill="1" applyBorder="1" applyAlignment="1">
      <alignment horizontal="center"/>
    </xf>
    <xf numFmtId="0" fontId="82" fillId="33" borderId="10" xfId="0" applyFont="1" applyFill="1" applyBorder="1" applyAlignment="1">
      <alignment horizontal="center" vertical="center"/>
    </xf>
    <xf numFmtId="0" fontId="82" fillId="44" borderId="10" xfId="0" applyFont="1" applyFill="1" applyBorder="1" applyAlignment="1">
      <alignment horizontal="center"/>
    </xf>
    <xf numFmtId="0" fontId="82" fillId="44" borderId="10" xfId="0" applyFont="1" applyFill="1" applyBorder="1" applyAlignment="1">
      <alignment horizontal="center" wrapText="1"/>
    </xf>
    <xf numFmtId="0" fontId="82" fillId="75" borderId="10" xfId="0" applyFont="1" applyFill="1" applyBorder="1" applyAlignment="1">
      <alignment horizontal="center"/>
    </xf>
    <xf numFmtId="0" fontId="55" fillId="76" borderId="10" xfId="0" applyFont="1" applyFill="1" applyBorder="1" applyAlignment="1">
      <alignment wrapText="1"/>
    </xf>
    <xf numFmtId="0" fontId="55" fillId="0" borderId="10" xfId="0" applyFont="1" applyBorder="1" applyAlignment="1">
      <alignment horizontal="center" wrapText="1"/>
    </xf>
    <xf numFmtId="0" fontId="55" fillId="76" borderId="10" xfId="0" applyFont="1" applyFill="1" applyBorder="1" applyAlignment="1">
      <alignment horizontal="center" wrapText="1"/>
    </xf>
    <xf numFmtId="0" fontId="75" fillId="34" borderId="10" xfId="0" applyFont="1" applyFill="1" applyBorder="1" applyAlignment="1">
      <alignment horizontal="center" wrapText="1"/>
    </xf>
    <xf numFmtId="0" fontId="57" fillId="34" borderId="10" xfId="0" applyFont="1" applyFill="1" applyBorder="1" applyAlignment="1">
      <alignment horizontal="center" wrapText="1"/>
    </xf>
    <xf numFmtId="0" fontId="16" fillId="0" borderId="10" xfId="0" applyFont="1" applyBorder="1" applyAlignment="1">
      <alignment horizontal="center" vertical="center"/>
    </xf>
    <xf numFmtId="0" fontId="16" fillId="33" borderId="10" xfId="0" applyFont="1" applyFill="1" applyBorder="1" applyAlignment="1">
      <alignment horizontal="center" vertical="center"/>
    </xf>
    <xf numFmtId="0" fontId="16" fillId="44" borderId="10" xfId="0" applyFont="1" applyFill="1" applyBorder="1" applyAlignment="1">
      <alignment horizontal="center" vertical="center"/>
    </xf>
    <xf numFmtId="0" fontId="20" fillId="48" borderId="10" xfId="0" applyFont="1" applyFill="1" applyBorder="1" applyAlignment="1" applyProtection="1">
      <alignment horizontal="center"/>
      <protection locked="0"/>
    </xf>
    <xf numFmtId="0" fontId="20" fillId="46" borderId="10" xfId="0" applyFont="1" applyFill="1" applyBorder="1" applyAlignment="1" applyProtection="1">
      <alignment horizontal="center"/>
      <protection locked="0"/>
    </xf>
    <xf numFmtId="2" fontId="65" fillId="50" borderId="10" xfId="0" applyNumberFormat="1" applyFont="1" applyFill="1" applyBorder="1" applyAlignment="1" applyProtection="1">
      <alignment horizontal="center"/>
      <protection locked="0"/>
    </xf>
    <xf numFmtId="0" fontId="65" fillId="43" borderId="10" xfId="0" applyFont="1" applyFill="1" applyBorder="1" applyAlignment="1">
      <alignment horizontal="center"/>
    </xf>
    <xf numFmtId="0" fontId="88" fillId="0" borderId="10" xfId="0" applyFont="1" applyBorder="1" applyAlignment="1">
      <alignment horizontal="center"/>
    </xf>
    <xf numFmtId="0" fontId="20" fillId="0" borderId="10" xfId="0" applyFont="1" applyBorder="1" applyAlignment="1" applyProtection="1">
      <alignment horizontal="center"/>
      <protection locked="0"/>
    </xf>
    <xf numFmtId="0" fontId="20" fillId="35" borderId="10" xfId="0" applyFont="1" applyFill="1" applyBorder="1" applyAlignment="1" applyProtection="1">
      <alignment horizontal="center"/>
      <protection locked="0"/>
    </xf>
    <xf numFmtId="0" fontId="20" fillId="66" borderId="10" xfId="0" applyFont="1" applyFill="1" applyBorder="1" applyAlignment="1" applyProtection="1">
      <alignment horizontal="center"/>
      <protection locked="0"/>
    </xf>
    <xf numFmtId="0" fontId="88" fillId="66" borderId="10" xfId="0" applyFont="1" applyFill="1" applyBorder="1" applyAlignment="1">
      <alignment horizontal="center"/>
    </xf>
    <xf numFmtId="0" fontId="65" fillId="66" borderId="10" xfId="0" applyFont="1" applyFill="1" applyBorder="1" applyAlignment="1">
      <alignment horizontal="center"/>
    </xf>
    <xf numFmtId="0" fontId="20" fillId="0" borderId="10" xfId="0" applyFont="1" applyBorder="1" applyAlignment="1">
      <alignment horizontal="center"/>
    </xf>
    <xf numFmtId="0" fontId="20" fillId="66" borderId="10" xfId="0" applyFont="1" applyFill="1" applyBorder="1" applyAlignment="1">
      <alignment horizontal="center"/>
    </xf>
    <xf numFmtId="0" fontId="20" fillId="44" borderId="10" xfId="0" applyFont="1" applyFill="1" applyBorder="1" applyAlignment="1">
      <alignment horizontal="center"/>
    </xf>
    <xf numFmtId="0" fontId="20" fillId="48" borderId="10" xfId="0" applyFont="1" applyFill="1" applyBorder="1" applyAlignment="1">
      <alignment horizontal="center"/>
    </xf>
    <xf numFmtId="0" fontId="20" fillId="34" borderId="10" xfId="0" applyFont="1" applyFill="1" applyBorder="1" applyAlignment="1">
      <alignment horizontal="center"/>
    </xf>
    <xf numFmtId="22" fontId="87" fillId="0" borderId="10" xfId="0" applyNumberFormat="1" applyFont="1" applyBorder="1" applyAlignment="1">
      <alignment horizontal="center" wrapText="1"/>
    </xf>
    <xf numFmtId="0" fontId="88" fillId="33" borderId="10" xfId="0" applyFont="1" applyFill="1" applyBorder="1" applyAlignment="1">
      <alignment horizontal="center" wrapText="1"/>
    </xf>
    <xf numFmtId="14" fontId="20" fillId="0" borderId="10" xfId="0" applyNumberFormat="1" applyFont="1" applyBorder="1" applyAlignment="1">
      <alignment horizontal="center"/>
    </xf>
    <xf numFmtId="0" fontId="20" fillId="0" borderId="10" xfId="0" applyFont="1" applyBorder="1" applyAlignment="1">
      <alignment horizontal="center" wrapText="1"/>
    </xf>
    <xf numFmtId="0" fontId="20" fillId="0" borderId="10" xfId="0" applyFont="1" applyBorder="1" applyAlignment="1">
      <alignment horizontal="center" vertical="center"/>
    </xf>
    <xf numFmtId="0" fontId="65" fillId="0" borderId="10" xfId="0" applyFont="1" applyBorder="1" applyAlignment="1">
      <alignment horizontal="center"/>
    </xf>
    <xf numFmtId="49" fontId="65" fillId="0" borderId="10" xfId="0" applyNumberFormat="1" applyFont="1" applyBorder="1" applyAlignment="1">
      <alignment horizontal="center"/>
    </xf>
    <xf numFmtId="0" fontId="88" fillId="44" borderId="10" xfId="0" applyFont="1" applyFill="1" applyBorder="1" applyAlignment="1">
      <alignment horizontal="center"/>
    </xf>
    <xf numFmtId="0" fontId="20" fillId="54" borderId="10" xfId="0" applyFont="1" applyFill="1" applyBorder="1" applyAlignment="1">
      <alignment horizontal="center"/>
    </xf>
    <xf numFmtId="2" fontId="20" fillId="54" borderId="10" xfId="0" applyNumberFormat="1" applyFont="1" applyFill="1" applyBorder="1" applyAlignment="1">
      <alignment horizontal="center"/>
    </xf>
    <xf numFmtId="0" fontId="20" fillId="50" borderId="10" xfId="0" applyFont="1" applyFill="1" applyBorder="1" applyAlignment="1">
      <alignment horizontal="center"/>
    </xf>
    <xf numFmtId="0" fontId="20" fillId="37" borderId="10" xfId="0" applyFont="1" applyFill="1" applyBorder="1" applyAlignment="1">
      <alignment horizontal="center"/>
    </xf>
    <xf numFmtId="0" fontId="20" fillId="35" borderId="10" xfId="0" applyFont="1" applyFill="1" applyBorder="1" applyAlignment="1">
      <alignment horizontal="center"/>
    </xf>
    <xf numFmtId="2" fontId="20" fillId="0" borderId="10" xfId="0" applyNumberFormat="1" applyFont="1" applyBorder="1" applyAlignment="1">
      <alignment horizontal="center"/>
    </xf>
    <xf numFmtId="2" fontId="20" fillId="35" borderId="10" xfId="0" applyNumberFormat="1" applyFont="1" applyFill="1" applyBorder="1" applyAlignment="1">
      <alignment horizontal="center"/>
    </xf>
    <xf numFmtId="2" fontId="20" fillId="50" borderId="10" xfId="0" applyNumberFormat="1" applyFont="1" applyFill="1" applyBorder="1" applyAlignment="1">
      <alignment horizontal="center"/>
    </xf>
    <xf numFmtId="2" fontId="88" fillId="0" borderId="10" xfId="0" applyNumberFormat="1" applyFont="1" applyBorder="1" applyAlignment="1">
      <alignment horizontal="center"/>
    </xf>
    <xf numFmtId="0" fontId="20" fillId="46" borderId="10" xfId="0" applyFont="1" applyFill="1" applyBorder="1" applyAlignment="1">
      <alignment horizontal="center"/>
    </xf>
    <xf numFmtId="0" fontId="20" fillId="79" borderId="10" xfId="0" applyFont="1" applyFill="1" applyBorder="1" applyAlignment="1">
      <alignment horizontal="center"/>
    </xf>
    <xf numFmtId="0" fontId="20" fillId="36" borderId="10" xfId="0" applyFont="1" applyFill="1" applyBorder="1" applyAlignment="1">
      <alignment horizontal="center" wrapText="1"/>
    </xf>
    <xf numFmtId="0" fontId="20" fillId="47" borderId="10" xfId="0" applyFont="1" applyFill="1" applyBorder="1" applyAlignment="1">
      <alignment horizontal="center"/>
    </xf>
    <xf numFmtId="0" fontId="20" fillId="36" borderId="10" xfId="0" applyFont="1" applyFill="1" applyBorder="1" applyAlignment="1">
      <alignment horizontal="center"/>
    </xf>
    <xf numFmtId="2" fontId="20" fillId="45" borderId="10" xfId="0" applyNumberFormat="1" applyFont="1" applyFill="1" applyBorder="1" applyAlignment="1">
      <alignment horizontal="center"/>
    </xf>
    <xf numFmtId="22" fontId="89" fillId="0" borderId="10" xfId="0" applyNumberFormat="1" applyFont="1" applyBorder="1" applyAlignment="1">
      <alignment horizontal="center" wrapText="1"/>
    </xf>
    <xf numFmtId="0" fontId="27" fillId="0" borderId="10" xfId="0" applyFont="1" applyBorder="1" applyAlignment="1">
      <alignment horizontal="center"/>
    </xf>
    <xf numFmtId="0" fontId="16" fillId="79" borderId="10" xfId="0" applyFont="1" applyFill="1" applyBorder="1" applyAlignment="1">
      <alignment horizontal="center" vertical="center"/>
    </xf>
    <xf numFmtId="0" fontId="20" fillId="39" borderId="10" xfId="0" applyFont="1" applyFill="1" applyBorder="1" applyAlignment="1">
      <alignment horizontal="center"/>
    </xf>
    <xf numFmtId="2" fontId="20" fillId="66" borderId="10" xfId="0" applyNumberFormat="1" applyFont="1" applyFill="1" applyBorder="1" applyAlignment="1">
      <alignment horizontal="center"/>
    </xf>
    <xf numFmtId="0" fontId="88" fillId="35" borderId="10" xfId="0" applyFont="1" applyFill="1" applyBorder="1" applyAlignment="1">
      <alignment horizontal="center"/>
    </xf>
    <xf numFmtId="2" fontId="88" fillId="35" borderId="10" xfId="0" applyNumberFormat="1" applyFont="1" applyFill="1" applyBorder="1" applyAlignment="1">
      <alignment horizontal="center"/>
    </xf>
    <xf numFmtId="0" fontId="88" fillId="68" borderId="10" xfId="0" applyFont="1" applyFill="1" applyBorder="1" applyAlignment="1">
      <alignment horizontal="center"/>
    </xf>
    <xf numFmtId="0" fontId="20" fillId="68" borderId="10" xfId="0" applyFont="1" applyFill="1" applyBorder="1" applyAlignment="1">
      <alignment horizontal="center"/>
    </xf>
    <xf numFmtId="0" fontId="0" fillId="0" borderId="10" xfId="0" applyBorder="1"/>
    <xf numFmtId="0" fontId="20" fillId="34" borderId="10" xfId="0" applyFont="1" applyFill="1" applyBorder="1" applyAlignment="1">
      <alignment horizontal="center" wrapText="1"/>
    </xf>
    <xf numFmtId="0" fontId="20" fillId="33" borderId="10" xfId="0" applyFont="1" applyFill="1" applyBorder="1" applyAlignment="1">
      <alignment horizontal="center" vertical="center"/>
    </xf>
    <xf numFmtId="2" fontId="88" fillId="44" borderId="10" xfId="0" applyNumberFormat="1" applyFont="1" applyFill="1" applyBorder="1" applyAlignment="1">
      <alignment horizontal="center"/>
    </xf>
    <xf numFmtId="2" fontId="20" fillId="47" borderId="10" xfId="0" applyNumberFormat="1" applyFont="1" applyFill="1" applyBorder="1" applyAlignment="1">
      <alignment horizontal="center"/>
    </xf>
    <xf numFmtId="2" fontId="20" fillId="36" borderId="10" xfId="0" applyNumberFormat="1" applyFont="1" applyFill="1" applyBorder="1" applyAlignment="1">
      <alignment horizontal="center" wrapText="1"/>
    </xf>
    <xf numFmtId="2" fontId="20" fillId="46" borderId="10" xfId="0" applyNumberFormat="1" applyFont="1" applyFill="1" applyBorder="1" applyAlignment="1">
      <alignment horizontal="center"/>
    </xf>
    <xf numFmtId="2" fontId="20" fillId="44" borderId="10" xfId="0" applyNumberFormat="1" applyFont="1" applyFill="1" applyBorder="1" applyAlignment="1">
      <alignment horizontal="center"/>
    </xf>
    <xf numFmtId="2" fontId="16" fillId="0" borderId="10" xfId="0" applyNumberFormat="1" applyFont="1" applyBorder="1" applyAlignment="1">
      <alignment horizontal="center"/>
    </xf>
    <xf numFmtId="14" fontId="20" fillId="50" borderId="10" xfId="0" applyNumberFormat="1" applyFont="1" applyFill="1" applyBorder="1" applyAlignment="1" applyProtection="1">
      <alignment horizontal="center"/>
      <protection locked="0"/>
    </xf>
    <xf numFmtId="0" fontId="0" fillId="67" borderId="0" xfId="0" applyFill="1"/>
    <xf numFmtId="0" fontId="91" fillId="67" borderId="0" xfId="0" applyFont="1" applyFill="1" applyAlignment="1">
      <alignment vertical="center" wrapText="1"/>
    </xf>
    <xf numFmtId="0" fontId="92" fillId="0" borderId="0" xfId="0" applyFont="1"/>
    <xf numFmtId="0" fontId="93" fillId="0" borderId="0" xfId="0" applyFont="1" applyAlignment="1">
      <alignment vertical="center" wrapText="1"/>
    </xf>
    <xf numFmtId="0" fontId="0" fillId="67" borderId="0" xfId="0" applyFill="1" applyAlignment="1">
      <alignment vertical="top" wrapText="1"/>
    </xf>
    <xf numFmtId="0" fontId="95" fillId="67" borderId="0" xfId="0" applyFont="1" applyFill="1" applyAlignment="1">
      <alignment vertical="top" wrapText="1"/>
    </xf>
    <xf numFmtId="0" fontId="94" fillId="67" borderId="0" xfId="0" applyFont="1" applyFill="1" applyAlignment="1">
      <alignment vertical="top" wrapText="1"/>
    </xf>
    <xf numFmtId="0" fontId="96" fillId="67" borderId="0" xfId="0" applyFont="1" applyFill="1" applyAlignment="1">
      <alignment vertical="center" wrapText="1"/>
    </xf>
    <xf numFmtId="0" fontId="71" fillId="0" borderId="10" xfId="0" applyFont="1" applyBorder="1" applyAlignment="1">
      <alignment horizontal="center"/>
    </xf>
    <xf numFmtId="0" fontId="70" fillId="53" borderId="10" xfId="0" applyFont="1" applyFill="1" applyBorder="1" applyAlignment="1">
      <alignment horizontal="center" wrapText="1"/>
    </xf>
    <xf numFmtId="0" fontId="70" fillId="0" borderId="10" xfId="0" applyFont="1" applyBorder="1" applyAlignment="1">
      <alignment horizontal="center" wrapText="1"/>
    </xf>
    <xf numFmtId="0" fontId="71" fillId="35" borderId="10" xfId="0" applyFont="1" applyFill="1" applyBorder="1" applyAlignment="1">
      <alignment horizontal="center"/>
    </xf>
    <xf numFmtId="0" fontId="71" fillId="35" borderId="10" xfId="0" applyFont="1" applyFill="1" applyBorder="1" applyAlignment="1">
      <alignment horizontal="center" wrapText="1"/>
    </xf>
    <xf numFmtId="0" fontId="88" fillId="35" borderId="10" xfId="0" applyFont="1" applyFill="1" applyBorder="1" applyAlignment="1">
      <alignment horizontal="center" vertical="top" wrapText="1"/>
    </xf>
    <xf numFmtId="0" fontId="20" fillId="68" borderId="10" xfId="0" applyFont="1" applyFill="1" applyBorder="1" applyAlignment="1">
      <alignment horizontal="center" wrapText="1"/>
    </xf>
    <xf numFmtId="0" fontId="71" fillId="33" borderId="10" xfId="0" applyFont="1" applyFill="1" applyBorder="1" applyAlignment="1">
      <alignment horizontal="center"/>
    </xf>
    <xf numFmtId="0" fontId="71" fillId="53" borderId="10" xfId="0" applyFont="1" applyFill="1" applyBorder="1" applyAlignment="1">
      <alignment horizontal="center"/>
    </xf>
    <xf numFmtId="0" fontId="57" fillId="57" borderId="10" xfId="0" applyFont="1" applyFill="1" applyBorder="1" applyAlignment="1">
      <alignment horizontal="center" vertical="center" wrapText="1"/>
    </xf>
    <xf numFmtId="0" fontId="97" fillId="68" borderId="10" xfId="0" applyFont="1" applyFill="1" applyBorder="1" applyAlignment="1">
      <alignment horizontal="center" vertical="center" wrapText="1"/>
    </xf>
    <xf numFmtId="2" fontId="56" fillId="0" borderId="10" xfId="0" applyNumberFormat="1" applyFont="1" applyBorder="1" applyAlignment="1">
      <alignment horizontal="center"/>
    </xf>
    <xf numFmtId="2" fontId="54" fillId="0" borderId="10" xfId="0" applyNumberFormat="1" applyFont="1" applyBorder="1" applyAlignment="1" applyProtection="1">
      <alignment horizontal="center"/>
      <protection locked="0"/>
    </xf>
    <xf numFmtId="2" fontId="71" fillId="0" borderId="10" xfId="0" applyNumberFormat="1" applyFont="1" applyBorder="1" applyAlignment="1">
      <alignment horizontal="center" vertical="center" wrapText="1"/>
    </xf>
    <xf numFmtId="0" fontId="71" fillId="0" borderId="10" xfId="0" applyFont="1" applyBorder="1" applyAlignment="1">
      <alignment horizontal="center" vertical="center" wrapText="1"/>
    </xf>
    <xf numFmtId="0" fontId="98" fillId="0" borderId="10" xfId="0" applyFont="1" applyBorder="1" applyAlignment="1">
      <alignment horizontal="center" vertical="center" wrapText="1"/>
    </xf>
    <xf numFmtId="0" fontId="99" fillId="0" borderId="10" xfId="0" applyFont="1" applyBorder="1" applyAlignment="1">
      <alignment horizontal="center"/>
    </xf>
    <xf numFmtId="2" fontId="27" fillId="0" borderId="10" xfId="0" applyNumberFormat="1" applyFont="1" applyBorder="1" applyAlignment="1">
      <alignment horizontal="center"/>
    </xf>
    <xf numFmtId="0" fontId="99" fillId="48" borderId="10" xfId="0" applyFont="1" applyFill="1" applyBorder="1" applyAlignment="1">
      <alignment horizontal="center"/>
    </xf>
    <xf numFmtId="0" fontId="27" fillId="37" borderId="10" xfId="0" applyFont="1" applyFill="1" applyBorder="1" applyAlignment="1">
      <alignment horizontal="center"/>
    </xf>
    <xf numFmtId="2" fontId="99" fillId="0" borderId="10" xfId="0" applyNumberFormat="1" applyFont="1" applyBorder="1" applyAlignment="1">
      <alignment horizontal="center"/>
    </xf>
    <xf numFmtId="0" fontId="0" fillId="0" borderId="10" xfId="0" applyBorder="1" applyAlignment="1">
      <alignment horizontal="center" vertical="center"/>
    </xf>
    <xf numFmtId="0" fontId="84" fillId="0" borderId="10" xfId="0" applyFont="1" applyBorder="1" applyAlignment="1">
      <alignment horizontal="center" vertical="center"/>
    </xf>
    <xf numFmtId="0" fontId="85" fillId="0" borderId="10" xfId="0" applyFont="1" applyBorder="1" applyAlignment="1">
      <alignment horizontal="center"/>
    </xf>
    <xf numFmtId="0" fontId="83" fillId="0" borderId="10" xfId="0" applyFont="1" applyBorder="1" applyAlignment="1">
      <alignment horizontal="center"/>
    </xf>
    <xf numFmtId="0" fontId="86" fillId="0" borderId="10" xfId="0" applyFont="1" applyBorder="1" applyAlignment="1">
      <alignment horizontal="center"/>
    </xf>
    <xf numFmtId="2" fontId="16" fillId="33" borderId="10" xfId="0" applyNumberFormat="1" applyFont="1" applyFill="1" applyBorder="1" applyAlignment="1">
      <alignment horizontal="center" vertical="center"/>
    </xf>
    <xf numFmtId="0" fontId="99" fillId="34" borderId="10" xfId="0" applyFont="1" applyFill="1" applyBorder="1" applyAlignment="1">
      <alignment horizontal="center"/>
    </xf>
    <xf numFmtId="2" fontId="99" fillId="34" borderId="10" xfId="0" applyNumberFormat="1" applyFont="1" applyFill="1" applyBorder="1" applyAlignment="1">
      <alignment horizontal="center"/>
    </xf>
    <xf numFmtId="14" fontId="89" fillId="0" borderId="10" xfId="0" applyNumberFormat="1" applyFont="1" applyBorder="1" applyAlignment="1">
      <alignment horizontal="center" wrapText="1"/>
    </xf>
    <xf numFmtId="0" fontId="27" fillId="39" borderId="10" xfId="0" applyFont="1" applyFill="1" applyBorder="1" applyAlignment="1">
      <alignment horizontal="center"/>
    </xf>
    <xf numFmtId="0" fontId="90" fillId="40" borderId="10" xfId="0" applyFont="1" applyFill="1" applyBorder="1" applyAlignment="1">
      <alignment horizontal="center"/>
    </xf>
    <xf numFmtId="0" fontId="90" fillId="66" borderId="10" xfId="0" applyFont="1" applyFill="1" applyBorder="1" applyAlignment="1">
      <alignment horizontal="center"/>
    </xf>
    <xf numFmtId="0" fontId="27" fillId="55" borderId="10" xfId="0" applyFont="1" applyFill="1" applyBorder="1" applyAlignment="1">
      <alignment horizontal="center"/>
    </xf>
    <xf numFmtId="0" fontId="27" fillId="66" borderId="10" xfId="0" applyFont="1" applyFill="1" applyBorder="1" applyAlignment="1">
      <alignment horizontal="center"/>
    </xf>
    <xf numFmtId="0" fontId="27" fillId="35" borderId="10" xfId="0" applyFont="1" applyFill="1" applyBorder="1" applyAlignment="1">
      <alignment horizontal="center"/>
    </xf>
    <xf numFmtId="0" fontId="27" fillId="46" borderId="10" xfId="0" applyFont="1" applyFill="1" applyBorder="1" applyAlignment="1">
      <alignment horizontal="center"/>
    </xf>
    <xf numFmtId="0" fontId="27" fillId="77" borderId="10" xfId="0" applyFont="1" applyFill="1" applyBorder="1" applyAlignment="1">
      <alignment horizontal="center"/>
    </xf>
    <xf numFmtId="0" fontId="27" fillId="36" borderId="10" xfId="0" applyFont="1" applyFill="1" applyBorder="1" applyAlignment="1">
      <alignment horizontal="center"/>
    </xf>
    <xf numFmtId="0" fontId="27" fillId="62" borderId="10" xfId="0" applyFont="1" applyFill="1" applyBorder="1" applyAlignment="1">
      <alignment horizontal="center"/>
    </xf>
    <xf numFmtId="2" fontId="20" fillId="36" borderId="10" xfId="0" applyNumberFormat="1" applyFont="1" applyFill="1" applyBorder="1" applyAlignment="1">
      <alignment horizontal="center"/>
    </xf>
    <xf numFmtId="0" fontId="102" fillId="56" borderId="10" xfId="0" applyFont="1" applyFill="1" applyBorder="1" applyAlignment="1">
      <alignment horizontal="center" vertical="center" wrapText="1"/>
    </xf>
    <xf numFmtId="0" fontId="84" fillId="57" borderId="10" xfId="0" applyFont="1" applyFill="1" applyBorder="1" applyAlignment="1">
      <alignment horizontal="center" vertical="center" wrapText="1"/>
    </xf>
    <xf numFmtId="0" fontId="84" fillId="66" borderId="10" xfId="0" applyFont="1" applyFill="1" applyBorder="1" applyAlignment="1">
      <alignment horizontal="center" vertical="center" wrapText="1"/>
    </xf>
    <xf numFmtId="0" fontId="24" fillId="34" borderId="10" xfId="0" applyFont="1" applyFill="1" applyBorder="1" applyAlignment="1">
      <alignment horizontal="center" vertical="center" wrapText="1"/>
    </xf>
    <xf numFmtId="0" fontId="16" fillId="0" borderId="10" xfId="0" applyFont="1" applyBorder="1" applyAlignment="1">
      <alignment vertical="center"/>
    </xf>
    <xf numFmtId="0" fontId="16" fillId="0" borderId="10" xfId="0" applyFont="1" applyBorder="1" applyAlignment="1">
      <alignment vertical="center" wrapText="1"/>
    </xf>
    <xf numFmtId="0" fontId="24" fillId="66" borderId="10" xfId="0" applyFont="1" applyFill="1" applyBorder="1" applyAlignment="1">
      <alignment vertical="center" wrapText="1"/>
    </xf>
    <xf numFmtId="0" fontId="16" fillId="66" borderId="10" xfId="0" applyFont="1" applyFill="1" applyBorder="1" applyAlignment="1">
      <alignment vertical="center" wrapText="1"/>
    </xf>
    <xf numFmtId="0" fontId="24" fillId="0" borderId="10" xfId="0" applyFont="1" applyBorder="1" applyAlignment="1">
      <alignment vertical="center" wrapText="1"/>
    </xf>
    <xf numFmtId="0" fontId="84" fillId="0" borderId="10" xfId="0" applyFont="1" applyBorder="1" applyAlignment="1">
      <alignment vertical="center" wrapText="1"/>
    </xf>
    <xf numFmtId="0" fontId="16" fillId="0" borderId="10" xfId="0" applyFont="1" applyBorder="1" applyAlignment="1">
      <alignment wrapText="1"/>
    </xf>
    <xf numFmtId="0" fontId="103" fillId="0" borderId="10" xfId="0" applyFont="1" applyBorder="1"/>
    <xf numFmtId="0" fontId="0" fillId="43" borderId="0" xfId="0" applyFill="1"/>
    <xf numFmtId="2" fontId="16" fillId="43" borderId="10" xfId="0" applyNumberFormat="1" applyFont="1" applyFill="1" applyBorder="1" applyAlignment="1">
      <alignment horizontal="center"/>
    </xf>
    <xf numFmtId="0" fontId="84" fillId="56" borderId="10" xfId="0" applyFont="1" applyFill="1" applyBorder="1" applyAlignment="1">
      <alignment horizontal="center" vertical="center" wrapText="1"/>
    </xf>
    <xf numFmtId="0" fontId="104" fillId="56" borderId="10" xfId="0" applyFont="1" applyFill="1" applyBorder="1" applyAlignment="1">
      <alignment horizontal="center" vertical="center" wrapText="1"/>
    </xf>
    <xf numFmtId="0" fontId="105" fillId="0" borderId="0" xfId="0" applyFont="1"/>
    <xf numFmtId="0" fontId="99" fillId="0" borderId="10" xfId="0" applyFont="1" applyBorder="1" applyAlignment="1">
      <alignment horizontal="center" textRotation="90"/>
    </xf>
    <xf numFmtId="1" fontId="99" fillId="0" borderId="10" xfId="0" applyNumberFormat="1" applyFont="1" applyBorder="1" applyAlignment="1">
      <alignment horizontal="center"/>
    </xf>
    <xf numFmtId="1" fontId="27" fillId="0" borderId="10" xfId="0" applyNumberFormat="1" applyFont="1" applyBorder="1" applyAlignment="1">
      <alignment horizontal="center" textRotation="90"/>
    </xf>
    <xf numFmtId="1" fontId="27" fillId="0" borderId="10" xfId="0" applyNumberFormat="1" applyFont="1" applyBorder="1" applyAlignment="1">
      <alignment horizontal="center"/>
    </xf>
    <xf numFmtId="1" fontId="99" fillId="34" borderId="10" xfId="0" applyNumberFormat="1" applyFont="1" applyFill="1" applyBorder="1" applyAlignment="1">
      <alignment horizontal="center"/>
    </xf>
    <xf numFmtId="0" fontId="106" fillId="78" borderId="10" xfId="0" applyFont="1" applyFill="1" applyBorder="1" applyAlignment="1">
      <alignment horizontal="center"/>
    </xf>
    <xf numFmtId="0" fontId="106" fillId="49" borderId="10" xfId="0" applyFont="1" applyFill="1" applyBorder="1" applyAlignment="1">
      <alignment horizontal="center"/>
    </xf>
    <xf numFmtId="0" fontId="106" fillId="78" borderId="10" xfId="0" applyFont="1" applyFill="1" applyBorder="1" applyAlignment="1">
      <alignment horizontal="center" vertical="center"/>
    </xf>
    <xf numFmtId="0" fontId="38" fillId="0" borderId="10" xfId="0" applyFont="1" applyBorder="1" applyAlignment="1">
      <alignment horizontal="center" vertical="center" wrapText="1"/>
    </xf>
    <xf numFmtId="2" fontId="38" fillId="0" borderId="10" xfId="0" applyNumberFormat="1" applyFont="1" applyBorder="1" applyAlignment="1">
      <alignment horizontal="center" vertical="center" wrapText="1"/>
    </xf>
    <xf numFmtId="0" fontId="38" fillId="0" borderId="10" xfId="0" applyFont="1" applyBorder="1" applyAlignment="1">
      <alignment vertical="center" wrapText="1"/>
    </xf>
    <xf numFmtId="0" fontId="107" fillId="56" borderId="10" xfId="0" applyFont="1" applyFill="1" applyBorder="1" applyAlignment="1">
      <alignment horizontal="center" vertical="center" wrapText="1"/>
    </xf>
    <xf numFmtId="2" fontId="38" fillId="34" borderId="10" xfId="0" applyNumberFormat="1" applyFont="1" applyFill="1" applyBorder="1" applyAlignment="1">
      <alignment horizontal="center" vertical="center" wrapText="1"/>
    </xf>
    <xf numFmtId="0" fontId="38" fillId="34" borderId="10" xfId="0" applyFont="1" applyFill="1" applyBorder="1" applyAlignment="1">
      <alignment vertical="center" wrapText="1"/>
    </xf>
    <xf numFmtId="0" fontId="38" fillId="37" borderId="10" xfId="0" applyFont="1" applyFill="1" applyBorder="1" applyAlignment="1">
      <alignment horizontal="center" vertical="center" wrapText="1"/>
    </xf>
    <xf numFmtId="0" fontId="38" fillId="46" borderId="10" xfId="0" applyFont="1" applyFill="1" applyBorder="1" applyAlignment="1">
      <alignment horizontal="center" vertical="center" wrapText="1"/>
    </xf>
    <xf numFmtId="0" fontId="38" fillId="38" borderId="10" xfId="0" applyFont="1" applyFill="1" applyBorder="1" applyAlignment="1">
      <alignment horizontal="center" vertical="center" wrapText="1"/>
    </xf>
    <xf numFmtId="0" fontId="108" fillId="63" borderId="10" xfId="0" applyFont="1" applyFill="1" applyBorder="1" applyAlignment="1">
      <alignment horizontal="center" vertical="center" wrapText="1"/>
    </xf>
    <xf numFmtId="0" fontId="38" fillId="34" borderId="10" xfId="0" applyFont="1" applyFill="1" applyBorder="1" applyAlignment="1">
      <alignment horizontal="center" vertical="center" wrapText="1"/>
    </xf>
    <xf numFmtId="0" fontId="109" fillId="56" borderId="10" xfId="0" applyFont="1" applyFill="1" applyBorder="1" applyAlignment="1">
      <alignment horizontal="center" vertical="center" wrapText="1"/>
    </xf>
    <xf numFmtId="0" fontId="110" fillId="0" borderId="10" xfId="0" applyFont="1" applyBorder="1" applyAlignment="1">
      <alignment vertical="center" wrapText="1"/>
    </xf>
    <xf numFmtId="0" fontId="110" fillId="56" borderId="10" xfId="0" applyFont="1" applyFill="1" applyBorder="1" applyAlignment="1">
      <alignment horizontal="center" vertical="center" wrapText="1"/>
    </xf>
    <xf numFmtId="0" fontId="30" fillId="0" borderId="10" xfId="0" applyFont="1" applyBorder="1" applyAlignment="1">
      <alignment vertical="center" wrapText="1"/>
    </xf>
    <xf numFmtId="2" fontId="38" fillId="37" borderId="10" xfId="0" applyNumberFormat="1" applyFont="1" applyFill="1" applyBorder="1" applyAlignment="1">
      <alignment horizontal="center" vertical="center" wrapText="1"/>
    </xf>
    <xf numFmtId="0" fontId="107" fillId="57" borderId="10" xfId="0" applyFont="1" applyFill="1" applyBorder="1" applyAlignment="1">
      <alignment horizontal="center" vertical="center" wrapText="1"/>
    </xf>
    <xf numFmtId="2" fontId="38" fillId="50" borderId="10" xfId="0" applyNumberFormat="1" applyFont="1" applyFill="1" applyBorder="1" applyAlignment="1">
      <alignment horizontal="center" vertical="center" wrapText="1"/>
    </xf>
    <xf numFmtId="0" fontId="110" fillId="57" borderId="10" xfId="0" applyFont="1" applyFill="1" applyBorder="1" applyAlignment="1">
      <alignment vertical="center" wrapText="1"/>
    </xf>
    <xf numFmtId="0" fontId="108" fillId="0" borderId="10" xfId="0" applyFont="1" applyBorder="1" applyAlignment="1">
      <alignment horizontal="center" vertical="center" wrapText="1"/>
    </xf>
    <xf numFmtId="0" fontId="38" fillId="35" borderId="10" xfId="0" applyFont="1" applyFill="1" applyBorder="1" applyAlignment="1">
      <alignment horizontal="center" vertical="center" wrapText="1"/>
    </xf>
    <xf numFmtId="0" fontId="110" fillId="57" borderId="10" xfId="0" applyFont="1" applyFill="1" applyBorder="1" applyAlignment="1">
      <alignment horizontal="center" vertical="center" wrapText="1"/>
    </xf>
    <xf numFmtId="0" fontId="110" fillId="64" borderId="10" xfId="0" applyFont="1" applyFill="1" applyBorder="1" applyAlignment="1">
      <alignment horizontal="center" vertical="center" wrapText="1"/>
    </xf>
    <xf numFmtId="2" fontId="38" fillId="38" borderId="10" xfId="0" applyNumberFormat="1" applyFont="1" applyFill="1" applyBorder="1" applyAlignment="1">
      <alignment horizontal="center" vertical="center" wrapText="1"/>
    </xf>
    <xf numFmtId="0" fontId="107" fillId="58" borderId="10" xfId="0" applyFont="1" applyFill="1" applyBorder="1" applyAlignment="1">
      <alignment horizontal="center" vertical="center" wrapText="1"/>
    </xf>
    <xf numFmtId="2" fontId="38" fillId="55" borderId="10" xfId="0" applyNumberFormat="1" applyFont="1" applyFill="1" applyBorder="1" applyAlignment="1">
      <alignment horizontal="center" vertical="center" wrapText="1"/>
    </xf>
    <xf numFmtId="0" fontId="38" fillId="55" borderId="10" xfId="0" applyFont="1" applyFill="1" applyBorder="1" applyAlignment="1">
      <alignment vertical="center" wrapText="1"/>
    </xf>
    <xf numFmtId="0" fontId="38" fillId="55" borderId="10" xfId="0" applyFont="1" applyFill="1" applyBorder="1" applyAlignment="1">
      <alignment horizontal="center" vertical="center" wrapText="1"/>
    </xf>
    <xf numFmtId="0" fontId="110" fillId="58" borderId="10" xfId="0" applyFont="1" applyFill="1" applyBorder="1" applyAlignment="1">
      <alignment horizontal="center" vertical="center" wrapText="1"/>
    </xf>
    <xf numFmtId="0" fontId="107" fillId="0" borderId="10" xfId="0" applyFont="1" applyBorder="1" applyAlignment="1">
      <alignment vertical="center" wrapText="1"/>
    </xf>
    <xf numFmtId="0" fontId="107" fillId="59" borderId="10" xfId="0" applyFont="1" applyFill="1" applyBorder="1" applyAlignment="1">
      <alignment horizontal="center" vertical="center" wrapText="1"/>
    </xf>
    <xf numFmtId="2" fontId="38" fillId="33" borderId="10" xfId="0" applyNumberFormat="1" applyFont="1" applyFill="1" applyBorder="1" applyAlignment="1">
      <alignment horizontal="center" vertical="center" wrapText="1"/>
    </xf>
    <xf numFmtId="0" fontId="38" fillId="33" borderId="10" xfId="0" applyFont="1" applyFill="1" applyBorder="1" applyAlignment="1">
      <alignment vertical="center" wrapText="1"/>
    </xf>
    <xf numFmtId="0" fontId="38" fillId="33" borderId="10" xfId="0" applyFont="1" applyFill="1" applyBorder="1" applyAlignment="1">
      <alignment horizontal="center" vertical="center" wrapText="1"/>
    </xf>
    <xf numFmtId="0" fontId="110" fillId="60" borderId="10" xfId="0" applyFont="1" applyFill="1" applyBorder="1" applyAlignment="1">
      <alignment horizontal="center" vertical="center" wrapText="1"/>
    </xf>
    <xf numFmtId="2" fontId="38" fillId="46" borderId="10" xfId="0" applyNumberFormat="1" applyFont="1" applyFill="1" applyBorder="1" applyAlignment="1">
      <alignment horizontal="center" vertical="center" wrapText="1"/>
    </xf>
    <xf numFmtId="16" fontId="38" fillId="46" borderId="10" xfId="0" applyNumberFormat="1" applyFont="1" applyFill="1" applyBorder="1" applyAlignment="1">
      <alignment horizontal="center" vertical="center" wrapText="1"/>
    </xf>
    <xf numFmtId="2" fontId="38" fillId="64" borderId="10" xfId="0" applyNumberFormat="1" applyFont="1" applyFill="1" applyBorder="1" applyAlignment="1">
      <alignment horizontal="center" vertical="center" wrapText="1"/>
    </xf>
    <xf numFmtId="0" fontId="110" fillId="49" borderId="10" xfId="0" applyFont="1" applyFill="1" applyBorder="1" applyAlignment="1">
      <alignment horizontal="center" vertical="center" wrapText="1"/>
    </xf>
    <xf numFmtId="17" fontId="38" fillId="37" borderId="10" xfId="0" applyNumberFormat="1" applyFont="1" applyFill="1" applyBorder="1" applyAlignment="1">
      <alignment horizontal="center" vertical="center" wrapText="1"/>
    </xf>
    <xf numFmtId="0" fontId="110" fillId="61" borderId="10" xfId="0" applyFont="1" applyFill="1" applyBorder="1" applyAlignment="1">
      <alignment horizontal="center" vertical="center" wrapText="1"/>
    </xf>
    <xf numFmtId="0" fontId="112" fillId="0" borderId="10" xfId="0" applyFont="1" applyBorder="1" applyAlignment="1">
      <alignment vertical="center" wrapText="1"/>
    </xf>
    <xf numFmtId="0" fontId="110" fillId="59" borderId="10" xfId="0" applyFont="1" applyFill="1" applyBorder="1" applyAlignment="1">
      <alignment horizontal="center" vertical="center" wrapText="1"/>
    </xf>
    <xf numFmtId="17" fontId="38" fillId="46" borderId="10" xfId="0" applyNumberFormat="1" applyFont="1" applyFill="1" applyBorder="1" applyAlignment="1">
      <alignment horizontal="center" vertical="center" wrapText="1"/>
    </xf>
    <xf numFmtId="2" fontId="38" fillId="39" borderId="10" xfId="0" applyNumberFormat="1" applyFont="1" applyFill="1" applyBorder="1" applyAlignment="1">
      <alignment horizontal="center" vertical="center" wrapText="1"/>
    </xf>
    <xf numFmtId="0" fontId="114" fillId="0" borderId="10" xfId="0" applyFont="1" applyBorder="1" applyAlignment="1">
      <alignment vertical="center" wrapText="1"/>
    </xf>
    <xf numFmtId="0" fontId="110" fillId="66" borderId="10" xfId="0" applyFont="1" applyFill="1" applyBorder="1" applyAlignment="1">
      <alignment horizontal="center" vertical="center" wrapText="1"/>
    </xf>
    <xf numFmtId="2" fontId="38" fillId="66" borderId="10" xfId="0" applyNumberFormat="1" applyFont="1" applyFill="1" applyBorder="1" applyAlignment="1">
      <alignment horizontal="center" vertical="center" wrapText="1"/>
    </xf>
    <xf numFmtId="0" fontId="38" fillId="66" borderId="10" xfId="0" applyFont="1" applyFill="1" applyBorder="1" applyAlignment="1">
      <alignment vertical="center" wrapText="1"/>
    </xf>
    <xf numFmtId="0" fontId="38" fillId="66" borderId="10" xfId="0" applyFont="1" applyFill="1" applyBorder="1" applyAlignment="1">
      <alignment horizontal="center" vertical="center" wrapText="1"/>
    </xf>
    <xf numFmtId="0" fontId="108" fillId="66" borderId="10" xfId="0" applyFont="1" applyFill="1" applyBorder="1" applyAlignment="1">
      <alignment horizontal="center" vertical="center" wrapText="1"/>
    </xf>
    <xf numFmtId="0" fontId="110" fillId="66" borderId="10" xfId="0" applyFont="1" applyFill="1" applyBorder="1" applyAlignment="1">
      <alignment vertical="center" wrapText="1"/>
    </xf>
    <xf numFmtId="0" fontId="30" fillId="66" borderId="10" xfId="0" applyFont="1" applyFill="1" applyBorder="1" applyAlignment="1">
      <alignment vertical="center" wrapText="1"/>
    </xf>
    <xf numFmtId="10" fontId="38" fillId="66" borderId="10" xfId="0" applyNumberFormat="1" applyFont="1" applyFill="1" applyBorder="1" applyAlignment="1">
      <alignment horizontal="center" vertical="center" wrapText="1"/>
    </xf>
    <xf numFmtId="0" fontId="30" fillId="34" borderId="10" xfId="0" applyFont="1" applyFill="1" applyBorder="1" applyAlignment="1">
      <alignment horizontal="center" vertical="center" wrapText="1"/>
    </xf>
    <xf numFmtId="0" fontId="115" fillId="0" borderId="10" xfId="0" applyFont="1" applyBorder="1" applyAlignment="1">
      <alignment vertical="center" wrapText="1"/>
    </xf>
    <xf numFmtId="0" fontId="116" fillId="0" borderId="10" xfId="0" applyFont="1" applyBorder="1" applyAlignment="1">
      <alignment vertical="center" wrapText="1"/>
    </xf>
    <xf numFmtId="0" fontId="117" fillId="0" borderId="10" xfId="0" applyFont="1" applyBorder="1" applyAlignment="1">
      <alignment vertical="center"/>
    </xf>
    <xf numFmtId="9" fontId="38" fillId="66" borderId="10" xfId="0" applyNumberFormat="1" applyFont="1" applyFill="1" applyBorder="1" applyAlignment="1">
      <alignment horizontal="center" vertical="center" wrapText="1"/>
    </xf>
    <xf numFmtId="0" fontId="107" fillId="0" borderId="10" xfId="0" applyFont="1" applyBorder="1" applyAlignment="1">
      <alignment vertical="center"/>
    </xf>
    <xf numFmtId="0" fontId="30" fillId="0" borderId="10" xfId="0" applyFont="1" applyBorder="1" applyAlignment="1">
      <alignment horizontal="center" vertical="center"/>
    </xf>
    <xf numFmtId="0" fontId="30" fillId="0" borderId="10" xfId="0" applyFont="1" applyBorder="1" applyAlignment="1">
      <alignment vertical="center"/>
    </xf>
    <xf numFmtId="2" fontId="30" fillId="0" borderId="10" xfId="0" applyNumberFormat="1" applyFont="1" applyBorder="1" applyAlignment="1">
      <alignment horizontal="center" vertical="center"/>
    </xf>
    <xf numFmtId="0" fontId="118" fillId="0" borderId="10" xfId="0" applyFont="1" applyBorder="1" applyAlignment="1">
      <alignment vertical="center"/>
    </xf>
    <xf numFmtId="2" fontId="118" fillId="0" borderId="10" xfId="0" applyNumberFormat="1" applyFont="1" applyBorder="1" applyAlignment="1">
      <alignment horizontal="center" vertical="center"/>
    </xf>
    <xf numFmtId="2" fontId="119" fillId="0" borderId="10" xfId="0" applyNumberFormat="1" applyFont="1" applyBorder="1" applyAlignment="1">
      <alignment horizontal="center" vertical="center"/>
    </xf>
    <xf numFmtId="0" fontId="118" fillId="0" borderId="10" xfId="0" applyFont="1" applyBorder="1" applyAlignment="1">
      <alignment vertical="center" wrapText="1"/>
    </xf>
    <xf numFmtId="2" fontId="38" fillId="66" borderId="10" xfId="0" applyNumberFormat="1" applyFont="1" applyFill="1" applyBorder="1" applyAlignment="1">
      <alignment horizontal="center" vertical="top" wrapText="1"/>
    </xf>
    <xf numFmtId="0" fontId="30" fillId="0" borderId="10" xfId="0" applyFont="1" applyBorder="1" applyAlignment="1">
      <alignment horizontal="center" vertical="center" wrapText="1"/>
    </xf>
    <xf numFmtId="0" fontId="65" fillId="34" borderId="10" xfId="0" applyFont="1" applyFill="1" applyBorder="1" applyAlignment="1">
      <alignment horizontal="center"/>
    </xf>
    <xf numFmtId="2" fontId="16" fillId="0" borderId="10" xfId="0" applyNumberFormat="1" applyFont="1" applyBorder="1" applyAlignment="1">
      <alignment horizontal="center" vertical="center"/>
    </xf>
    <xf numFmtId="0" fontId="20" fillId="33" borderId="10" xfId="0" applyFont="1" applyFill="1" applyBorder="1" applyAlignment="1">
      <alignment horizontal="center"/>
    </xf>
    <xf numFmtId="0" fontId="88" fillId="33" borderId="10" xfId="0" applyFont="1" applyFill="1" applyBorder="1" applyAlignment="1">
      <alignment horizontal="center"/>
    </xf>
    <xf numFmtId="2" fontId="20" fillId="33" borderId="10" xfId="0" applyNumberFormat="1" applyFont="1" applyFill="1" applyBorder="1" applyAlignment="1">
      <alignment horizontal="center"/>
    </xf>
    <xf numFmtId="2" fontId="88" fillId="33" borderId="10" xfId="0" applyNumberFormat="1" applyFont="1" applyFill="1" applyBorder="1" applyAlignment="1">
      <alignment horizontal="center"/>
    </xf>
    <xf numFmtId="2" fontId="20" fillId="79" borderId="10" xfId="0" applyNumberFormat="1" applyFont="1" applyFill="1" applyBorder="1" applyAlignment="1">
      <alignment horizontal="center"/>
    </xf>
    <xf numFmtId="0" fontId="106" fillId="82" borderId="10" xfId="0" applyFont="1" applyFill="1" applyBorder="1" applyAlignment="1">
      <alignment horizontal="center"/>
    </xf>
    <xf numFmtId="0" fontId="20" fillId="82" borderId="10" xfId="0" applyFont="1" applyFill="1" applyBorder="1" applyAlignment="1" applyProtection="1">
      <alignment horizontal="center"/>
      <protection locked="0"/>
    </xf>
    <xf numFmtId="0" fontId="20" fillId="82" borderId="10" xfId="0" applyFont="1" applyFill="1" applyBorder="1" applyAlignment="1">
      <alignment horizontal="center"/>
    </xf>
    <xf numFmtId="14" fontId="87" fillId="0" borderId="10" xfId="0" applyNumberFormat="1" applyFont="1" applyBorder="1" applyAlignment="1">
      <alignment horizontal="center" wrapText="1"/>
    </xf>
    <xf numFmtId="0" fontId="88" fillId="35" borderId="10" xfId="0" applyFont="1" applyFill="1" applyBorder="1" applyAlignment="1">
      <alignment horizontal="center" wrapText="1"/>
    </xf>
    <xf numFmtId="0" fontId="20" fillId="43" borderId="10" xfId="0" applyFont="1" applyFill="1" applyBorder="1" applyAlignment="1">
      <alignment horizontal="center"/>
    </xf>
    <xf numFmtId="0" fontId="88" fillId="40" borderId="10" xfId="0" applyFont="1" applyFill="1" applyBorder="1" applyAlignment="1">
      <alignment horizontal="center"/>
    </xf>
    <xf numFmtId="0" fontId="88" fillId="44" borderId="10" xfId="0" applyFont="1" applyFill="1" applyBorder="1" applyAlignment="1">
      <alignment horizontal="center" wrapText="1"/>
    </xf>
    <xf numFmtId="0" fontId="20" fillId="55" borderId="10" xfId="0" applyFont="1" applyFill="1" applyBorder="1" applyAlignment="1">
      <alignment horizontal="center"/>
    </xf>
    <xf numFmtId="0" fontId="88" fillId="80" borderId="10" xfId="0" applyFont="1" applyFill="1" applyBorder="1" applyAlignment="1">
      <alignment horizontal="center" wrapText="1"/>
    </xf>
    <xf numFmtId="0" fontId="88" fillId="34" borderId="10" xfId="0" applyFont="1" applyFill="1" applyBorder="1" applyAlignment="1">
      <alignment horizontal="center" wrapText="1"/>
    </xf>
    <xf numFmtId="0" fontId="88" fillId="0" borderId="10" xfId="0" applyFont="1" applyBorder="1" applyAlignment="1">
      <alignment horizontal="center" wrapText="1"/>
    </xf>
    <xf numFmtId="0" fontId="0" fillId="33" borderId="10" xfId="0" applyFill="1" applyBorder="1" applyAlignment="1">
      <alignment horizontal="center"/>
    </xf>
    <xf numFmtId="0" fontId="25" fillId="0" borderId="10" xfId="0" applyFont="1" applyBorder="1" applyAlignment="1">
      <alignment horizontal="center"/>
    </xf>
    <xf numFmtId="0" fontId="88" fillId="73" borderId="10" xfId="0" applyFont="1" applyFill="1" applyBorder="1" applyAlignment="1">
      <alignment horizontal="center" wrapText="1"/>
    </xf>
    <xf numFmtId="0" fontId="25" fillId="33" borderId="10" xfId="0" applyFont="1" applyFill="1" applyBorder="1" applyAlignment="1">
      <alignment horizontal="center"/>
    </xf>
    <xf numFmtId="0" fontId="88" fillId="54" borderId="10" xfId="0" applyFont="1" applyFill="1" applyBorder="1" applyAlignment="1">
      <alignment horizontal="center" wrapText="1"/>
    </xf>
    <xf numFmtId="0" fontId="88" fillId="50" borderId="10" xfId="0" applyFont="1" applyFill="1" applyBorder="1" applyAlignment="1">
      <alignment horizontal="center" wrapText="1"/>
    </xf>
    <xf numFmtId="0" fontId="88" fillId="46" borderId="10" xfId="0" applyFont="1" applyFill="1" applyBorder="1" applyAlignment="1">
      <alignment horizontal="center" wrapText="1"/>
    </xf>
    <xf numFmtId="0" fontId="88" fillId="79" borderId="10" xfId="0" applyFont="1" applyFill="1" applyBorder="1" applyAlignment="1">
      <alignment horizontal="center" wrapText="1"/>
    </xf>
    <xf numFmtId="0" fontId="20" fillId="77" borderId="10" xfId="0" applyFont="1" applyFill="1" applyBorder="1" applyAlignment="1">
      <alignment horizontal="center"/>
    </xf>
    <xf numFmtId="0" fontId="88" fillId="72" borderId="10" xfId="0" applyFont="1" applyFill="1" applyBorder="1" applyAlignment="1">
      <alignment horizontal="center" wrapText="1"/>
    </xf>
    <xf numFmtId="0" fontId="88" fillId="36" borderId="10" xfId="0" applyFont="1" applyFill="1" applyBorder="1" applyAlignment="1">
      <alignment horizontal="center" wrapText="1"/>
    </xf>
    <xf numFmtId="0" fontId="88" fillId="82" borderId="10" xfId="0" applyFont="1" applyFill="1" applyBorder="1" applyAlignment="1">
      <alignment horizontal="center" wrapText="1"/>
    </xf>
    <xf numFmtId="0" fontId="20" fillId="62" borderId="10" xfId="0" applyFont="1" applyFill="1" applyBorder="1" applyAlignment="1">
      <alignment horizontal="center"/>
    </xf>
    <xf numFmtId="0" fontId="0" fillId="43" borderId="10" xfId="0" applyFill="1" applyBorder="1" applyAlignment="1">
      <alignment horizontal="center"/>
    </xf>
    <xf numFmtId="0" fontId="106" fillId="46" borderId="10" xfId="0" applyFont="1" applyFill="1" applyBorder="1" applyAlignment="1">
      <alignment horizontal="center"/>
    </xf>
    <xf numFmtId="2" fontId="88" fillId="46" borderId="10" xfId="0" applyNumberFormat="1" applyFont="1" applyFill="1" applyBorder="1" applyAlignment="1">
      <alignment horizontal="center"/>
    </xf>
    <xf numFmtId="0" fontId="106" fillId="37" borderId="10" xfId="0" applyFont="1" applyFill="1" applyBorder="1" applyAlignment="1">
      <alignment horizontal="center"/>
    </xf>
    <xf numFmtId="0" fontId="65" fillId="37" borderId="10" xfId="0" applyFont="1" applyFill="1" applyBorder="1" applyAlignment="1">
      <alignment horizontal="center"/>
    </xf>
    <xf numFmtId="0" fontId="88" fillId="83" borderId="10" xfId="0" applyFont="1" applyFill="1" applyBorder="1" applyAlignment="1">
      <alignment horizontal="center"/>
    </xf>
    <xf numFmtId="0" fontId="106" fillId="83" borderId="10" xfId="0" applyFont="1" applyFill="1" applyBorder="1" applyAlignment="1">
      <alignment horizontal="center"/>
    </xf>
    <xf numFmtId="2" fontId="20" fillId="37" borderId="10" xfId="0" applyNumberFormat="1" applyFont="1" applyFill="1" applyBorder="1" applyAlignment="1">
      <alignment horizontal="center"/>
    </xf>
    <xf numFmtId="2" fontId="16" fillId="37" borderId="10" xfId="0" applyNumberFormat="1" applyFont="1" applyFill="1" applyBorder="1" applyAlignment="1">
      <alignment horizontal="center" vertical="center"/>
    </xf>
    <xf numFmtId="0" fontId="106" fillId="47" borderId="10" xfId="0" applyFont="1" applyFill="1" applyBorder="1" applyAlignment="1">
      <alignment horizontal="center"/>
    </xf>
    <xf numFmtId="0" fontId="88" fillId="47" borderId="10" xfId="0" applyFont="1" applyFill="1" applyBorder="1" applyAlignment="1">
      <alignment horizontal="center" wrapText="1"/>
    </xf>
    <xf numFmtId="0" fontId="65" fillId="47" borderId="10" xfId="0" applyFont="1" applyFill="1" applyBorder="1" applyAlignment="1">
      <alignment horizontal="center"/>
    </xf>
    <xf numFmtId="0" fontId="122" fillId="48" borderId="10" xfId="0" applyFont="1" applyFill="1" applyBorder="1" applyAlignment="1">
      <alignment horizontal="center"/>
    </xf>
    <xf numFmtId="0" fontId="16" fillId="50" borderId="10" xfId="0" applyFont="1" applyFill="1" applyBorder="1" applyAlignment="1">
      <alignment vertical="center"/>
    </xf>
    <xf numFmtId="0" fontId="79" fillId="70" borderId="10" xfId="0" applyFont="1" applyFill="1" applyBorder="1" applyAlignment="1">
      <alignment vertical="center"/>
    </xf>
    <xf numFmtId="0" fontId="24" fillId="0" borderId="10" xfId="0" applyFont="1" applyBorder="1"/>
    <xf numFmtId="0" fontId="78" fillId="0" borderId="10" xfId="0" applyFont="1" applyBorder="1" applyAlignment="1">
      <alignment vertical="center"/>
    </xf>
    <xf numFmtId="0" fontId="79" fillId="71" borderId="10" xfId="0" applyFont="1" applyFill="1" applyBorder="1" applyAlignment="1">
      <alignment vertical="center"/>
    </xf>
    <xf numFmtId="0" fontId="24" fillId="34" borderId="10" xfId="0" applyFont="1" applyFill="1" applyBorder="1"/>
    <xf numFmtId="0" fontId="24" fillId="50" borderId="10" xfId="0" applyFont="1" applyFill="1" applyBorder="1"/>
    <xf numFmtId="0" fontId="79" fillId="72" borderId="10" xfId="0" applyFont="1" applyFill="1" applyBorder="1" applyAlignment="1">
      <alignment vertical="center"/>
    </xf>
    <xf numFmtId="0" fontId="19" fillId="0" borderId="10" xfId="0" applyFont="1" applyBorder="1"/>
    <xf numFmtId="0" fontId="25" fillId="44" borderId="10" xfId="0" applyFont="1" applyFill="1" applyBorder="1" applyAlignment="1">
      <alignment horizontal="center"/>
    </xf>
    <xf numFmtId="2" fontId="16" fillId="44" borderId="10" xfId="0" applyNumberFormat="1" applyFont="1" applyFill="1" applyBorder="1" applyAlignment="1">
      <alignment horizontal="center" vertical="center"/>
    </xf>
    <xf numFmtId="0" fontId="57" fillId="49" borderId="10" xfId="0" applyFont="1" applyFill="1" applyBorder="1" applyAlignment="1">
      <alignment horizontal="center" vertical="center" wrapText="1"/>
    </xf>
    <xf numFmtId="0" fontId="88" fillId="49" borderId="10" xfId="0" applyFont="1" applyFill="1" applyBorder="1" applyAlignment="1">
      <alignment horizontal="center" vertical="top" wrapText="1"/>
    </xf>
    <xf numFmtId="0" fontId="97" fillId="49" borderId="10" xfId="0" applyFont="1" applyFill="1" applyBorder="1" applyAlignment="1">
      <alignment horizontal="center" vertical="center" wrapText="1"/>
    </xf>
    <xf numFmtId="0" fontId="106" fillId="49" borderId="10" xfId="0" applyFont="1" applyFill="1" applyBorder="1" applyAlignment="1">
      <alignment horizontal="center" wrapText="1"/>
    </xf>
    <xf numFmtId="0" fontId="54" fillId="79" borderId="10" xfId="0" applyFont="1" applyFill="1" applyBorder="1" applyAlignment="1">
      <alignment horizontal="center"/>
    </xf>
    <xf numFmtId="0" fontId="82" fillId="79" borderId="10" xfId="0" applyFont="1" applyFill="1" applyBorder="1" applyAlignment="1">
      <alignment horizontal="center"/>
    </xf>
    <xf numFmtId="0" fontId="54" fillId="79" borderId="10" xfId="0" applyFont="1" applyFill="1" applyBorder="1" applyAlignment="1">
      <alignment horizontal="center" wrapText="1"/>
    </xf>
    <xf numFmtId="0" fontId="54" fillId="79" borderId="10" xfId="0" applyFont="1" applyFill="1" applyBorder="1" applyAlignment="1" applyProtection="1">
      <alignment horizontal="center"/>
      <protection locked="0"/>
    </xf>
    <xf numFmtId="0" fontId="20" fillId="35" borderId="10" xfId="0" applyFont="1" applyFill="1" applyBorder="1" applyAlignment="1">
      <alignment horizontal="center" wrapText="1"/>
    </xf>
    <xf numFmtId="0" fontId="20" fillId="73" borderId="10" xfId="0" applyFont="1" applyFill="1" applyBorder="1" applyAlignment="1">
      <alignment horizontal="center"/>
    </xf>
    <xf numFmtId="0" fontId="123" fillId="49" borderId="10" xfId="0" applyFont="1" applyFill="1" applyBorder="1" applyAlignment="1">
      <alignment horizontal="center" wrapText="1"/>
    </xf>
    <xf numFmtId="0" fontId="106" fillId="49" borderId="10" xfId="0" applyFont="1" applyFill="1" applyBorder="1" applyAlignment="1">
      <alignment horizontal="center" vertical="center" wrapText="1"/>
    </xf>
    <xf numFmtId="2" fontId="20" fillId="77" borderId="10" xfId="0" applyNumberFormat="1" applyFont="1" applyFill="1" applyBorder="1" applyAlignment="1">
      <alignment horizontal="center"/>
    </xf>
    <xf numFmtId="0" fontId="19" fillId="66" borderId="10" xfId="0" applyFont="1" applyFill="1" applyBorder="1" applyAlignment="1">
      <alignment horizontal="left" wrapText="1"/>
    </xf>
    <xf numFmtId="0" fontId="124" fillId="66" borderId="10" xfId="0" applyFont="1" applyFill="1" applyBorder="1" applyAlignment="1">
      <alignment horizontal="left"/>
    </xf>
    <xf numFmtId="0" fontId="85" fillId="66" borderId="10" xfId="0" applyFont="1" applyFill="1" applyBorder="1" applyAlignment="1">
      <alignment horizontal="left" vertical="center" wrapText="1"/>
    </xf>
    <xf numFmtId="0" fontId="124" fillId="66" borderId="10" xfId="0" applyFont="1" applyFill="1" applyBorder="1" applyAlignment="1">
      <alignment horizontal="left" vertical="center" wrapText="1"/>
    </xf>
    <xf numFmtId="0" fontId="124" fillId="66" borderId="10" xfId="0" applyFont="1" applyFill="1" applyBorder="1" applyAlignment="1">
      <alignment vertical="center" wrapText="1"/>
    </xf>
    <xf numFmtId="0" fontId="124" fillId="66" borderId="10" xfId="0" applyFont="1" applyFill="1" applyBorder="1"/>
    <xf numFmtId="0" fontId="85" fillId="66" borderId="10" xfId="0" applyFont="1" applyFill="1" applyBorder="1" applyAlignment="1">
      <alignment vertical="center" wrapText="1"/>
    </xf>
    <xf numFmtId="0" fontId="19" fillId="66" borderId="10" xfId="0" applyFont="1" applyFill="1" applyBorder="1" applyAlignment="1">
      <alignment horizontal="left" vertical="center"/>
    </xf>
    <xf numFmtId="0" fontId="19" fillId="66" borderId="10" xfId="0" applyFont="1" applyFill="1" applyBorder="1" applyAlignment="1">
      <alignment horizontal="left"/>
    </xf>
    <xf numFmtId="0" fontId="19" fillId="66" borderId="10" xfId="0" applyFont="1" applyFill="1" applyBorder="1" applyAlignment="1">
      <alignment horizontal="left" vertical="center" wrapText="1"/>
    </xf>
    <xf numFmtId="0" fontId="124" fillId="0" borderId="10" xfId="0" applyFont="1" applyBorder="1"/>
    <xf numFmtId="0" fontId="125" fillId="66" borderId="10" xfId="0" applyFont="1" applyFill="1" applyBorder="1" applyAlignment="1">
      <alignment horizontal="left" vertical="center" wrapText="1"/>
    </xf>
    <xf numFmtId="0" fontId="19" fillId="84" borderId="10" xfId="0" applyFont="1" applyFill="1" applyBorder="1" applyAlignment="1">
      <alignment horizontal="left"/>
    </xf>
    <xf numFmtId="0" fontId="19" fillId="66" borderId="10" xfId="0" applyFont="1" applyFill="1" applyBorder="1" applyAlignment="1">
      <alignment wrapText="1"/>
    </xf>
    <xf numFmtId="0" fontId="127" fillId="66" borderId="10" xfId="0" applyFont="1" applyFill="1" applyBorder="1"/>
    <xf numFmtId="0" fontId="0" fillId="0" borderId="10" xfId="0" applyBorder="1" applyAlignment="1">
      <alignment horizontal="left"/>
    </xf>
    <xf numFmtId="0" fontId="0" fillId="66" borderId="10" xfId="0" applyFill="1" applyBorder="1" applyAlignment="1">
      <alignment horizontal="left" wrapText="1"/>
    </xf>
    <xf numFmtId="0" fontId="0" fillId="66" borderId="10" xfId="0" applyFill="1" applyBorder="1" applyAlignment="1">
      <alignment horizontal="left"/>
    </xf>
    <xf numFmtId="0" fontId="0" fillId="66" borderId="10" xfId="0" applyFill="1" applyBorder="1"/>
    <xf numFmtId="0" fontId="0" fillId="84" borderId="10" xfId="0" applyFill="1" applyBorder="1"/>
    <xf numFmtId="0" fontId="0" fillId="66" borderId="10" xfId="0" applyFill="1" applyBorder="1" applyAlignment="1">
      <alignment vertical="center"/>
    </xf>
    <xf numFmtId="0" fontId="0" fillId="66" borderId="10" xfId="0" applyFill="1" applyBorder="1" applyAlignment="1">
      <alignment horizontal="left" vertical="center"/>
    </xf>
    <xf numFmtId="0" fontId="0" fillId="84" borderId="10" xfId="0" applyFill="1" applyBorder="1" applyAlignment="1">
      <alignment horizontal="left"/>
    </xf>
    <xf numFmtId="0" fontId="0" fillId="0" borderId="10" xfId="0" applyBorder="1" applyAlignment="1">
      <alignment horizontal="left" wrapText="1"/>
    </xf>
    <xf numFmtId="0" fontId="19" fillId="84" borderId="10" xfId="0" applyFont="1" applyFill="1" applyBorder="1" applyAlignment="1">
      <alignment vertical="center"/>
    </xf>
    <xf numFmtId="0" fontId="19" fillId="84" borderId="10" xfId="0" applyFont="1" applyFill="1" applyBorder="1"/>
    <xf numFmtId="0" fontId="124" fillId="0" borderId="10" xfId="0" applyFont="1" applyBorder="1" applyAlignment="1">
      <alignment horizontal="left"/>
    </xf>
    <xf numFmtId="0" fontId="129" fillId="0" borderId="10" xfId="0" applyFont="1" applyBorder="1"/>
    <xf numFmtId="0" fontId="79" fillId="77" borderId="10" xfId="0" applyFont="1" applyFill="1" applyBorder="1" applyAlignment="1">
      <alignment vertical="center"/>
    </xf>
    <xf numFmtId="0" fontId="79" fillId="46" borderId="10" xfId="0" applyFont="1" applyFill="1" applyBorder="1" applyAlignment="1">
      <alignment vertical="center"/>
    </xf>
    <xf numFmtId="0" fontId="78" fillId="46" borderId="10" xfId="0" applyFont="1" applyFill="1" applyBorder="1" applyAlignment="1">
      <alignment vertical="center"/>
    </xf>
    <xf numFmtId="0" fontId="79" fillId="34" borderId="10" xfId="0" applyFont="1" applyFill="1" applyBorder="1" applyAlignment="1">
      <alignment vertical="center"/>
    </xf>
    <xf numFmtId="0" fontId="79" fillId="39" borderId="10" xfId="0" applyFont="1" applyFill="1" applyBorder="1" applyAlignment="1">
      <alignment vertical="center"/>
    </xf>
    <xf numFmtId="0" fontId="79" fillId="87" borderId="10" xfId="0" applyFont="1" applyFill="1" applyBorder="1" applyAlignment="1">
      <alignment vertical="center"/>
    </xf>
    <xf numFmtId="0" fontId="78" fillId="87" borderId="10" xfId="0" applyFont="1" applyFill="1" applyBorder="1" applyAlignment="1">
      <alignment vertical="center"/>
    </xf>
    <xf numFmtId="0" fontId="16" fillId="36" borderId="10" xfId="0" applyFont="1" applyFill="1" applyBorder="1" applyAlignment="1">
      <alignment vertical="center"/>
    </xf>
    <xf numFmtId="0" fontId="79" fillId="36" borderId="10" xfId="0" applyFont="1" applyFill="1" applyBorder="1" applyAlignment="1">
      <alignment vertical="center"/>
    </xf>
    <xf numFmtId="0" fontId="79" fillId="33" borderId="10" xfId="0" applyFont="1" applyFill="1" applyBorder="1" applyAlignment="1">
      <alignment vertical="center"/>
    </xf>
    <xf numFmtId="0" fontId="0" fillId="66" borderId="10" xfId="0" applyFill="1" applyBorder="1" applyAlignment="1">
      <alignment horizontal="center"/>
    </xf>
    <xf numFmtId="0" fontId="78" fillId="36" borderId="10" xfId="0" applyFont="1" applyFill="1" applyBorder="1" applyAlignment="1">
      <alignment vertical="center"/>
    </xf>
    <xf numFmtId="0" fontId="78" fillId="39" borderId="10" xfId="0" applyFont="1" applyFill="1" applyBorder="1" applyAlignment="1">
      <alignment vertical="center"/>
    </xf>
    <xf numFmtId="0" fontId="20" fillId="69" borderId="10" xfId="0" applyFont="1" applyFill="1" applyBorder="1" applyAlignment="1">
      <alignment horizontal="center"/>
    </xf>
    <xf numFmtId="0" fontId="0" fillId="45" borderId="0" xfId="0" applyFill="1"/>
    <xf numFmtId="0" fontId="24" fillId="33" borderId="10" xfId="0" applyFont="1" applyFill="1" applyBorder="1" applyAlignment="1">
      <alignment horizontal="center" wrapText="1"/>
    </xf>
    <xf numFmtId="0" fontId="16" fillId="35" borderId="10" xfId="0" applyFont="1" applyFill="1" applyBorder="1" applyAlignment="1">
      <alignment horizontal="center" vertical="center"/>
    </xf>
    <xf numFmtId="0" fontId="24" fillId="66" borderId="10" xfId="0" applyFont="1" applyFill="1" applyBorder="1" applyAlignment="1">
      <alignment horizontal="center"/>
    </xf>
    <xf numFmtId="0" fontId="16" fillId="80" borderId="10" xfId="0" applyFont="1" applyFill="1" applyBorder="1" applyAlignment="1">
      <alignment horizontal="center" vertical="center"/>
    </xf>
    <xf numFmtId="0" fontId="24" fillId="66" borderId="10" xfId="0" applyFont="1" applyFill="1" applyBorder="1" applyAlignment="1">
      <alignment horizontal="center" wrapText="1"/>
    </xf>
    <xf numFmtId="0" fontId="16" fillId="39" borderId="10" xfId="0" applyFont="1" applyFill="1" applyBorder="1" applyAlignment="1">
      <alignment horizontal="center" vertical="center"/>
    </xf>
    <xf numFmtId="0" fontId="16" fillId="37" borderId="10" xfId="0" applyFont="1" applyFill="1" applyBorder="1" applyAlignment="1">
      <alignment horizontal="center" vertical="center"/>
    </xf>
    <xf numFmtId="0" fontId="16" fillId="66" borderId="10" xfId="0" applyFont="1" applyFill="1" applyBorder="1" applyAlignment="1">
      <alignment horizontal="center" vertical="center"/>
    </xf>
    <xf numFmtId="0" fontId="16" fillId="46" borderId="10" xfId="0" applyFont="1" applyFill="1" applyBorder="1" applyAlignment="1">
      <alignment horizontal="center" vertical="center"/>
    </xf>
    <xf numFmtId="0" fontId="24" fillId="0" borderId="10" xfId="0" applyFont="1" applyBorder="1" applyAlignment="1">
      <alignment horizontal="center" wrapText="1"/>
    </xf>
    <xf numFmtId="0" fontId="24" fillId="34" borderId="10" xfId="0" applyFont="1" applyFill="1" applyBorder="1" applyAlignment="1">
      <alignment horizontal="center" wrapText="1"/>
    </xf>
    <xf numFmtId="0" fontId="24" fillId="34" borderId="10" xfId="0" applyFont="1" applyFill="1" applyBorder="1" applyAlignment="1">
      <alignment horizontal="center" vertical="center"/>
    </xf>
    <xf numFmtId="0" fontId="24" fillId="33" borderId="10" xfId="0" applyFont="1" applyFill="1" applyBorder="1" applyAlignment="1">
      <alignment horizontal="center" vertical="center"/>
    </xf>
    <xf numFmtId="0" fontId="24" fillId="33" borderId="10" xfId="0" applyFont="1" applyFill="1" applyBorder="1" applyAlignment="1">
      <alignment horizontal="center"/>
    </xf>
    <xf numFmtId="0" fontId="84" fillId="33" borderId="10" xfId="0" applyFont="1" applyFill="1" applyBorder="1" applyAlignment="1">
      <alignment horizontal="center"/>
    </xf>
    <xf numFmtId="0" fontId="84" fillId="0" borderId="10" xfId="0" applyFont="1" applyBorder="1" applyAlignment="1">
      <alignment horizontal="center"/>
    </xf>
    <xf numFmtId="0" fontId="88" fillId="68" borderId="10" xfId="0" applyFont="1" applyFill="1" applyBorder="1" applyAlignment="1">
      <alignment horizontal="center" wrapText="1"/>
    </xf>
    <xf numFmtId="0" fontId="20" fillId="68" borderId="0" xfId="0" applyFont="1" applyFill="1" applyAlignment="1">
      <alignment horizontal="center" vertical="top" wrapText="1"/>
    </xf>
    <xf numFmtId="0" fontId="20" fillId="35" borderId="0" xfId="0" applyFont="1" applyFill="1" applyAlignment="1">
      <alignment horizontal="center" vertical="top" wrapText="1"/>
    </xf>
    <xf numFmtId="0" fontId="106" fillId="81" borderId="10" xfId="0" applyFont="1" applyFill="1" applyBorder="1" applyAlignment="1">
      <alignment horizontal="center" wrapText="1"/>
    </xf>
    <xf numFmtId="0" fontId="87" fillId="34" borderId="10" xfId="0" applyFont="1" applyFill="1" applyBorder="1" applyAlignment="1">
      <alignment horizontal="center"/>
    </xf>
    <xf numFmtId="0" fontId="88" fillId="45" borderId="10" xfId="0" applyFont="1" applyFill="1" applyBorder="1" applyAlignment="1">
      <alignment horizontal="center" wrapText="1"/>
    </xf>
    <xf numFmtId="1" fontId="27" fillId="35" borderId="10" xfId="0" applyNumberFormat="1" applyFont="1" applyFill="1" applyBorder="1" applyAlignment="1">
      <alignment horizontal="center"/>
    </xf>
    <xf numFmtId="1" fontId="99" fillId="35" borderId="10" xfId="0" applyNumberFormat="1" applyFont="1" applyFill="1" applyBorder="1" applyAlignment="1">
      <alignment horizontal="center"/>
    </xf>
    <xf numFmtId="1" fontId="27" fillId="33" borderId="10" xfId="0" applyNumberFormat="1" applyFont="1" applyFill="1" applyBorder="1" applyAlignment="1">
      <alignment horizontal="center" textRotation="90"/>
    </xf>
    <xf numFmtId="1" fontId="27" fillId="34" borderId="10" xfId="0" applyNumberFormat="1" applyFont="1" applyFill="1" applyBorder="1" applyAlignment="1">
      <alignment horizontal="center" textRotation="90"/>
    </xf>
    <xf numFmtId="1" fontId="27" fillId="42" borderId="10" xfId="0" applyNumberFormat="1" applyFont="1" applyFill="1" applyBorder="1" applyAlignment="1">
      <alignment horizontal="center" textRotation="90"/>
    </xf>
    <xf numFmtId="1" fontId="27" fillId="53" borderId="10" xfId="0" applyNumberFormat="1" applyFont="1" applyFill="1" applyBorder="1" applyAlignment="1">
      <alignment horizontal="center" textRotation="90"/>
    </xf>
    <xf numFmtId="1" fontId="99" fillId="55" borderId="10" xfId="0" applyNumberFormat="1" applyFont="1" applyFill="1" applyBorder="1" applyAlignment="1">
      <alignment horizontal="center"/>
    </xf>
    <xf numFmtId="1" fontId="27" fillId="55" borderId="10" xfId="0" applyNumberFormat="1" applyFont="1" applyFill="1" applyBorder="1" applyAlignment="1">
      <alignment horizontal="center"/>
    </xf>
    <xf numFmtId="1" fontId="99" fillId="42" borderId="10" xfId="0" applyNumberFormat="1" applyFont="1" applyFill="1" applyBorder="1" applyAlignment="1">
      <alignment horizontal="center"/>
    </xf>
    <xf numFmtId="1" fontId="27" fillId="33" borderId="10" xfId="0" applyNumberFormat="1" applyFont="1" applyFill="1" applyBorder="1" applyAlignment="1">
      <alignment horizontal="center"/>
    </xf>
    <xf numFmtId="1" fontId="27" fillId="53" borderId="10" xfId="0" applyNumberFormat="1" applyFont="1" applyFill="1" applyBorder="1" applyAlignment="1">
      <alignment horizontal="center"/>
    </xf>
    <xf numFmtId="2" fontId="27" fillId="37" borderId="10" xfId="0" applyNumberFormat="1" applyFont="1" applyFill="1" applyBorder="1" applyAlignment="1">
      <alignment horizontal="center" vertical="center"/>
    </xf>
    <xf numFmtId="0" fontId="20" fillId="63" borderId="10" xfId="0" applyFont="1" applyFill="1" applyBorder="1" applyAlignment="1">
      <alignment horizontal="center"/>
    </xf>
    <xf numFmtId="0" fontId="16" fillId="63" borderId="10" xfId="0" applyFont="1" applyFill="1" applyBorder="1" applyAlignment="1">
      <alignment horizontal="center" vertical="center"/>
    </xf>
    <xf numFmtId="0" fontId="20" fillId="50" borderId="10" xfId="0" applyFont="1" applyFill="1" applyBorder="1" applyAlignment="1" applyProtection="1">
      <alignment horizontal="center"/>
      <protection locked="0"/>
    </xf>
    <xf numFmtId="0" fontId="131" fillId="53" borderId="10" xfId="0" applyFont="1" applyFill="1" applyBorder="1" applyAlignment="1">
      <alignment horizontal="center" wrapText="1"/>
    </xf>
    <xf numFmtId="0" fontId="20" fillId="0" borderId="10" xfId="0" applyFont="1" applyBorder="1" applyAlignment="1">
      <alignment vertical="center"/>
    </xf>
    <xf numFmtId="0" fontId="88" fillId="43" borderId="10" xfId="0" applyFont="1" applyFill="1" applyBorder="1" applyAlignment="1">
      <alignment vertical="center"/>
    </xf>
    <xf numFmtId="0" fontId="65" fillId="0" borderId="10" xfId="0" applyFont="1" applyBorder="1"/>
    <xf numFmtId="0" fontId="88" fillId="0" borderId="10" xfId="0" applyFont="1" applyBorder="1" applyAlignment="1">
      <alignment vertical="center"/>
    </xf>
    <xf numFmtId="0" fontId="65" fillId="43" borderId="10" xfId="0" applyFont="1" applyFill="1" applyBorder="1" applyAlignment="1">
      <alignment vertical="center"/>
    </xf>
    <xf numFmtId="2" fontId="20" fillId="43" borderId="10" xfId="0" applyNumberFormat="1" applyFont="1" applyFill="1" applyBorder="1"/>
    <xf numFmtId="0" fontId="20" fillId="0" borderId="10" xfId="0" applyFont="1" applyBorder="1"/>
    <xf numFmtId="0" fontId="20" fillId="34" borderId="10" xfId="0" applyFont="1" applyFill="1" applyBorder="1"/>
    <xf numFmtId="0" fontId="132" fillId="0" borderId="10" xfId="0" applyFont="1" applyBorder="1"/>
    <xf numFmtId="0" fontId="132" fillId="79" borderId="10" xfId="0" applyFont="1" applyFill="1" applyBorder="1"/>
    <xf numFmtId="0" fontId="88" fillId="86" borderId="10" xfId="0" applyFont="1" applyFill="1" applyBorder="1"/>
    <xf numFmtId="0" fontId="20" fillId="86" borderId="10" xfId="0" applyFont="1" applyFill="1" applyBorder="1"/>
    <xf numFmtId="0" fontId="88" fillId="86" borderId="10" xfId="0" applyFont="1" applyFill="1" applyBorder="1" applyAlignment="1">
      <alignment vertical="center"/>
    </xf>
    <xf numFmtId="0" fontId="20" fillId="43" borderId="10" xfId="0" applyFont="1" applyFill="1" applyBorder="1"/>
    <xf numFmtId="0" fontId="20" fillId="43" borderId="10" xfId="0" applyFont="1" applyFill="1" applyBorder="1" applyAlignment="1">
      <alignment vertical="center"/>
    </xf>
    <xf numFmtId="0" fontId="82" fillId="0" borderId="0" xfId="0" applyFont="1" applyAlignment="1">
      <alignment vertical="center"/>
    </xf>
    <xf numFmtId="0" fontId="133" fillId="0" borderId="0" xfId="0" applyFont="1" applyAlignment="1">
      <alignment vertical="center"/>
    </xf>
    <xf numFmtId="0" fontId="134" fillId="35" borderId="10" xfId="0" applyFont="1" applyFill="1" applyBorder="1" applyAlignment="1">
      <alignment horizontal="center"/>
    </xf>
    <xf numFmtId="0" fontId="20" fillId="68" borderId="10" xfId="0" applyFont="1" applyFill="1" applyBorder="1" applyAlignment="1">
      <alignment horizontal="center" vertical="top" wrapText="1"/>
    </xf>
    <xf numFmtId="0" fontId="20" fillId="44" borderId="10" xfId="0" applyFont="1" applyFill="1" applyBorder="1" applyAlignment="1">
      <alignment horizontal="center" wrapText="1"/>
    </xf>
    <xf numFmtId="0" fontId="88" fillId="42" borderId="10" xfId="0" applyFont="1" applyFill="1" applyBorder="1" applyAlignment="1">
      <alignment horizontal="center" wrapText="1"/>
    </xf>
    <xf numFmtId="0" fontId="108" fillId="64" borderId="10" xfId="0" applyFont="1" applyFill="1" applyBorder="1" applyAlignment="1">
      <alignment horizontal="center" vertical="center" wrapText="1"/>
    </xf>
    <xf numFmtId="0" fontId="20" fillId="77" borderId="10" xfId="0" applyFont="1" applyFill="1" applyBorder="1"/>
    <xf numFmtId="0" fontId="20" fillId="77" borderId="10" xfId="0" applyFont="1" applyFill="1" applyBorder="1" applyAlignment="1">
      <alignment vertical="center"/>
    </xf>
    <xf numFmtId="2" fontId="20" fillId="77" borderId="10" xfId="0" applyNumberFormat="1" applyFont="1" applyFill="1" applyBorder="1" applyAlignment="1">
      <alignment vertical="center"/>
    </xf>
    <xf numFmtId="0" fontId="88" fillId="43" borderId="10" xfId="0" applyFont="1" applyFill="1" applyBorder="1"/>
    <xf numFmtId="0" fontId="132" fillId="43" borderId="10" xfId="0" applyFont="1" applyFill="1" applyBorder="1"/>
    <xf numFmtId="0" fontId="65" fillId="43" borderId="10" xfId="0" applyFont="1" applyFill="1" applyBorder="1"/>
    <xf numFmtId="0" fontId="65" fillId="36" borderId="10" xfId="0" applyFont="1" applyFill="1" applyBorder="1"/>
    <xf numFmtId="0" fontId="65" fillId="36" borderId="10" xfId="0" applyFont="1" applyFill="1" applyBorder="1" applyAlignment="1">
      <alignment vertical="center"/>
    </xf>
    <xf numFmtId="0" fontId="88" fillId="36" borderId="10" xfId="0" applyFont="1" applyFill="1" applyBorder="1"/>
    <xf numFmtId="0" fontId="88" fillId="36" borderId="10" xfId="0" applyFont="1" applyFill="1" applyBorder="1" applyAlignment="1">
      <alignment vertical="center"/>
    </xf>
    <xf numFmtId="0" fontId="14" fillId="0" borderId="0" xfId="0" applyFont="1" applyAlignment="1">
      <alignment horizontal="justify" vertical="center"/>
    </xf>
    <xf numFmtId="0" fontId="1" fillId="0" borderId="0" xfId="0" applyFont="1" applyAlignment="1">
      <alignment horizontal="justify" vertical="center"/>
    </xf>
    <xf numFmtId="0" fontId="139" fillId="0" borderId="0" xfId="0" applyFont="1" applyAlignment="1">
      <alignment horizontal="justify" vertical="center"/>
    </xf>
    <xf numFmtId="0" fontId="142" fillId="0" borderId="0" xfId="0" applyFont="1" applyAlignment="1">
      <alignment horizontal="justify" vertical="center"/>
    </xf>
    <xf numFmtId="0" fontId="16" fillId="33" borderId="0" xfId="0" applyFont="1" applyFill="1" applyAlignment="1">
      <alignment horizontal="justify" vertical="center"/>
    </xf>
    <xf numFmtId="0" fontId="0" fillId="0" borderId="10" xfId="0" applyBorder="1" applyAlignment="1">
      <alignment vertical="center"/>
    </xf>
    <xf numFmtId="0" fontId="24" fillId="72" borderId="10" xfId="0" applyFont="1" applyFill="1" applyBorder="1" applyAlignment="1">
      <alignment vertical="center"/>
    </xf>
    <xf numFmtId="0" fontId="0" fillId="0" borderId="10" xfId="0" applyBorder="1" applyAlignment="1">
      <alignment horizontal="left" vertical="center"/>
    </xf>
    <xf numFmtId="0" fontId="16" fillId="77" borderId="10" xfId="0" applyFont="1" applyFill="1" applyBorder="1" applyAlignment="1">
      <alignment horizontal="center" vertical="center"/>
    </xf>
    <xf numFmtId="0" fontId="0" fillId="46" borderId="10" xfId="0" applyFill="1" applyBorder="1" applyAlignment="1">
      <alignment vertical="center"/>
    </xf>
    <xf numFmtId="0" fontId="24" fillId="34" borderId="10" xfId="0" applyFont="1" applyFill="1" applyBorder="1" applyAlignment="1">
      <alignment vertical="center"/>
    </xf>
    <xf numFmtId="0" fontId="0" fillId="0" borderId="10" xfId="0" quotePrefix="1" applyBorder="1" applyAlignment="1">
      <alignment horizontal="left" vertical="center"/>
    </xf>
    <xf numFmtId="0" fontId="0" fillId="77" borderId="10" xfId="0" applyFill="1" applyBorder="1" applyAlignment="1">
      <alignment vertical="center"/>
    </xf>
    <xf numFmtId="0" fontId="0" fillId="39" borderId="10" xfId="0" applyFill="1" applyBorder="1" applyAlignment="1">
      <alignment vertical="center"/>
    </xf>
    <xf numFmtId="0" fontId="24" fillId="39" borderId="10" xfId="0" applyFont="1" applyFill="1" applyBorder="1" applyAlignment="1">
      <alignment vertical="center"/>
    </xf>
    <xf numFmtId="0" fontId="24" fillId="33" borderId="10" xfId="0" applyFont="1" applyFill="1" applyBorder="1" applyAlignment="1">
      <alignment vertical="center"/>
    </xf>
    <xf numFmtId="0" fontId="24" fillId="87" borderId="10" xfId="0" applyFont="1" applyFill="1" applyBorder="1" applyAlignment="1">
      <alignment vertical="center"/>
    </xf>
    <xf numFmtId="0" fontId="24" fillId="36" borderId="10" xfId="0" applyFont="1" applyFill="1" applyBorder="1" applyAlignment="1">
      <alignment vertical="center"/>
    </xf>
    <xf numFmtId="0" fontId="19" fillId="0" borderId="10" xfId="0" applyFont="1" applyBorder="1" applyAlignment="1">
      <alignment vertical="center"/>
    </xf>
    <xf numFmtId="0" fontId="30" fillId="0" borderId="10" xfId="0" applyFont="1" applyBorder="1" applyAlignment="1">
      <alignment horizontal="center" wrapText="1"/>
    </xf>
    <xf numFmtId="0" fontId="30" fillId="33" borderId="10" xfId="0" applyFont="1" applyFill="1" applyBorder="1" applyAlignment="1">
      <alignment horizontal="center" wrapText="1"/>
    </xf>
    <xf numFmtId="0" fontId="38" fillId="33" borderId="10" xfId="0" applyFont="1" applyFill="1" applyBorder="1" applyAlignment="1">
      <alignment horizontal="center" wrapText="1"/>
    </xf>
    <xf numFmtId="0" fontId="38" fillId="0" borderId="10" xfId="0" applyFont="1" applyBorder="1" applyAlignment="1">
      <alignment horizontal="center" vertical="center"/>
    </xf>
    <xf numFmtId="0" fontId="118" fillId="0" borderId="10" xfId="0" applyFont="1" applyBorder="1"/>
    <xf numFmtId="0" fontId="120" fillId="0" borderId="10" xfId="0" applyFont="1" applyBorder="1" applyAlignment="1">
      <alignment horizontal="center"/>
    </xf>
    <xf numFmtId="0" fontId="30" fillId="0" borderId="10" xfId="0" applyFont="1" applyBorder="1"/>
    <xf numFmtId="0" fontId="30" fillId="0" borderId="10" xfId="0" applyFont="1" applyBorder="1" applyAlignment="1">
      <alignment horizontal="justify" vertical="center" wrapText="1"/>
    </xf>
    <xf numFmtId="0" fontId="88" fillId="0" borderId="10" xfId="0" applyFont="1" applyBorder="1" applyAlignment="1">
      <alignment horizontal="center" vertical="center"/>
    </xf>
    <xf numFmtId="2" fontId="20" fillId="0" borderId="10" xfId="0" applyNumberFormat="1" applyFont="1" applyBorder="1" applyAlignment="1">
      <alignment horizontal="center" vertical="center"/>
    </xf>
    <xf numFmtId="2" fontId="147" fillId="0" borderId="10" xfId="0" applyNumberFormat="1" applyFont="1" applyBorder="1" applyAlignment="1" applyProtection="1">
      <alignment horizontal="center" vertical="center"/>
      <protection locked="0"/>
    </xf>
    <xf numFmtId="2" fontId="147" fillId="43" borderId="10" xfId="0" applyNumberFormat="1" applyFont="1" applyFill="1" applyBorder="1" applyAlignment="1" applyProtection="1">
      <alignment horizontal="center" vertical="center"/>
      <protection locked="0"/>
    </xf>
    <xf numFmtId="2" fontId="148" fillId="0" borderId="10" xfId="0" applyNumberFormat="1" applyFont="1" applyBorder="1" applyAlignment="1">
      <alignment horizontal="center"/>
    </xf>
    <xf numFmtId="2" fontId="20" fillId="41" borderId="10" xfId="0" applyNumberFormat="1" applyFont="1" applyFill="1" applyBorder="1" applyAlignment="1" applyProtection="1">
      <alignment horizontal="center"/>
      <protection locked="0"/>
    </xf>
    <xf numFmtId="2" fontId="65" fillId="0" borderId="10" xfId="0" applyNumberFormat="1" applyFont="1" applyBorder="1" applyAlignment="1">
      <alignment horizontal="center"/>
    </xf>
    <xf numFmtId="2" fontId="65" fillId="46" borderId="10" xfId="0" applyNumberFormat="1" applyFont="1" applyFill="1" applyBorder="1" applyAlignment="1" applyProtection="1">
      <alignment horizontal="center"/>
      <protection locked="0"/>
    </xf>
    <xf numFmtId="2" fontId="20" fillId="0" borderId="10" xfId="0" applyNumberFormat="1" applyFont="1" applyBorder="1" applyAlignment="1" applyProtection="1">
      <alignment horizontal="center"/>
      <protection locked="0"/>
    </xf>
    <xf numFmtId="0" fontId="65" fillId="0" borderId="10" xfId="0" applyFont="1" applyBorder="1" applyAlignment="1">
      <alignment horizontal="center" vertical="center"/>
    </xf>
    <xf numFmtId="2" fontId="65" fillId="0" borderId="10" xfId="0" applyNumberFormat="1" applyFont="1" applyBorder="1" applyAlignment="1" applyProtection="1">
      <alignment horizontal="center" vertical="center"/>
      <protection locked="0"/>
    </xf>
    <xf numFmtId="0" fontId="149" fillId="0" borderId="10" xfId="0" applyFont="1" applyBorder="1"/>
    <xf numFmtId="2" fontId="20" fillId="46" borderId="10" xfId="0" applyNumberFormat="1" applyFont="1" applyFill="1" applyBorder="1" applyAlignment="1" applyProtection="1">
      <alignment horizontal="center"/>
      <protection locked="0"/>
    </xf>
    <xf numFmtId="2" fontId="20" fillId="50" borderId="10" xfId="0" applyNumberFormat="1" applyFont="1" applyFill="1" applyBorder="1" applyAlignment="1" applyProtection="1">
      <alignment horizontal="center"/>
      <protection locked="0"/>
    </xf>
    <xf numFmtId="0" fontId="20" fillId="43" borderId="10" xfId="0" applyFont="1" applyFill="1" applyBorder="1" applyAlignment="1">
      <alignment horizontal="center" vertical="center"/>
    </xf>
    <xf numFmtId="2" fontId="65" fillId="0" borderId="10" xfId="0" applyNumberFormat="1" applyFont="1" applyBorder="1" applyAlignment="1" applyProtection="1">
      <alignment horizontal="center"/>
      <protection locked="0"/>
    </xf>
    <xf numFmtId="0" fontId="20" fillId="41" borderId="10" xfId="0" applyFont="1" applyFill="1" applyBorder="1" applyAlignment="1" applyProtection="1">
      <alignment horizontal="center"/>
      <protection locked="0"/>
    </xf>
    <xf numFmtId="2" fontId="20" fillId="64" borderId="10" xfId="0" applyNumberFormat="1" applyFont="1" applyFill="1" applyBorder="1" applyAlignment="1">
      <alignment horizontal="center"/>
    </xf>
    <xf numFmtId="9" fontId="20" fillId="42" borderId="10" xfId="0" applyNumberFormat="1" applyFont="1" applyFill="1" applyBorder="1" applyAlignment="1" applyProtection="1">
      <alignment horizontal="center"/>
      <protection locked="0"/>
    </xf>
    <xf numFmtId="0" fontId="20" fillId="42" borderId="10" xfId="0" applyFont="1" applyFill="1" applyBorder="1" applyAlignment="1" applyProtection="1">
      <alignment horizontal="center"/>
      <protection locked="0"/>
    </xf>
    <xf numFmtId="0" fontId="65" fillId="62" borderId="10" xfId="0" applyFont="1" applyFill="1" applyBorder="1" applyAlignment="1">
      <alignment horizontal="center"/>
    </xf>
    <xf numFmtId="0" fontId="20" fillId="62" borderId="10" xfId="0" applyFont="1" applyFill="1" applyBorder="1"/>
    <xf numFmtId="2" fontId="65" fillId="43" borderId="10" xfId="0" applyNumberFormat="1" applyFont="1" applyFill="1" applyBorder="1" applyAlignment="1" applyProtection="1">
      <alignment horizontal="center" vertical="center"/>
      <protection locked="0"/>
    </xf>
    <xf numFmtId="2" fontId="20" fillId="48" borderId="10" xfId="0" applyNumberFormat="1" applyFont="1" applyFill="1" applyBorder="1" applyAlignment="1">
      <alignment horizontal="center"/>
    </xf>
    <xf numFmtId="0" fontId="20" fillId="42" borderId="10" xfId="0" applyFont="1" applyFill="1" applyBorder="1" applyAlignment="1">
      <alignment horizontal="center"/>
    </xf>
    <xf numFmtId="2" fontId="20" fillId="34" borderId="10" xfId="0" applyNumberFormat="1" applyFont="1" applyFill="1" applyBorder="1" applyAlignment="1">
      <alignment horizontal="center"/>
    </xf>
    <xf numFmtId="2" fontId="150" fillId="0" borderId="10" xfId="0" applyNumberFormat="1" applyFont="1" applyBorder="1" applyAlignment="1">
      <alignment horizontal="center"/>
    </xf>
    <xf numFmtId="0" fontId="65" fillId="48" borderId="10" xfId="0" applyFont="1" applyFill="1" applyBorder="1" applyAlignment="1">
      <alignment horizontal="center"/>
    </xf>
    <xf numFmtId="10" fontId="20" fillId="48" borderId="10" xfId="0" applyNumberFormat="1" applyFont="1" applyFill="1" applyBorder="1" applyAlignment="1">
      <alignment horizontal="center"/>
    </xf>
    <xf numFmtId="0" fontId="88" fillId="48" borderId="10" xfId="0" applyFont="1" applyFill="1" applyBorder="1" applyAlignment="1">
      <alignment horizontal="center"/>
    </xf>
    <xf numFmtId="1" fontId="88" fillId="48" borderId="10" xfId="0" applyNumberFormat="1" applyFont="1" applyFill="1" applyBorder="1" applyAlignment="1">
      <alignment horizontal="center"/>
    </xf>
    <xf numFmtId="0" fontId="20" fillId="48" borderId="10" xfId="0" applyFont="1" applyFill="1" applyBorder="1" applyAlignment="1">
      <alignment horizontal="left"/>
    </xf>
    <xf numFmtId="1" fontId="20" fillId="44" borderId="10" xfId="0" applyNumberFormat="1" applyFont="1" applyFill="1" applyBorder="1" applyAlignment="1">
      <alignment horizontal="center"/>
    </xf>
    <xf numFmtId="0" fontId="87" fillId="34" borderId="10" xfId="0" applyFont="1" applyFill="1" applyBorder="1" applyAlignment="1">
      <alignment horizontal="center" vertical="center"/>
    </xf>
    <xf numFmtId="0" fontId="20" fillId="44" borderId="10" xfId="0" applyFont="1" applyFill="1" applyBorder="1"/>
    <xf numFmtId="167" fontId="20" fillId="0" borderId="10" xfId="0" applyNumberFormat="1" applyFont="1" applyBorder="1" applyAlignment="1">
      <alignment horizontal="center"/>
    </xf>
    <xf numFmtId="2" fontId="20" fillId="44" borderId="10" xfId="0" applyNumberFormat="1" applyFont="1" applyFill="1" applyBorder="1"/>
    <xf numFmtId="2" fontId="20" fillId="52" borderId="10" xfId="0" applyNumberFormat="1" applyFont="1" applyFill="1" applyBorder="1" applyAlignment="1">
      <alignment horizontal="center" vertical="center"/>
    </xf>
    <xf numFmtId="0" fontId="151" fillId="0" borderId="10" xfId="0" applyFont="1" applyBorder="1" applyAlignment="1">
      <alignment horizontal="center"/>
    </xf>
    <xf numFmtId="2" fontId="20" fillId="44" borderId="10" xfId="0" applyNumberFormat="1" applyFont="1" applyFill="1" applyBorder="1" applyAlignment="1">
      <alignment horizontal="center" vertical="center"/>
    </xf>
    <xf numFmtId="0" fontId="151" fillId="0" borderId="10" xfId="0" applyFont="1" applyBorder="1"/>
    <xf numFmtId="0" fontId="152" fillId="0" borderId="10" xfId="0" applyFont="1" applyBorder="1" applyAlignment="1">
      <alignment horizontal="center"/>
    </xf>
    <xf numFmtId="0" fontId="151" fillId="0" borderId="10" xfId="0" applyFont="1" applyBorder="1" applyAlignment="1">
      <alignment horizontal="left" vertical="center" wrapText="1" indent="1"/>
    </xf>
    <xf numFmtId="0" fontId="20" fillId="0" borderId="10" xfId="0" applyFont="1" applyBorder="1" applyAlignment="1">
      <alignment horizontal="center" vertical="center" wrapText="1"/>
    </xf>
    <xf numFmtId="0" fontId="88" fillId="79" borderId="10" xfId="0" applyFont="1" applyFill="1" applyBorder="1" applyAlignment="1">
      <alignment horizontal="center" vertical="center"/>
    </xf>
    <xf numFmtId="2" fontId="20" fillId="79" borderId="10" xfId="0" applyNumberFormat="1" applyFont="1" applyFill="1" applyBorder="1" applyAlignment="1">
      <alignment horizontal="center" vertical="center"/>
    </xf>
    <xf numFmtId="0" fontId="20" fillId="0" borderId="10" xfId="0" applyFont="1" applyBorder="1" applyAlignment="1">
      <alignment vertical="center" wrapText="1"/>
    </xf>
    <xf numFmtId="0" fontId="20" fillId="84" borderId="10" xfId="0" applyFont="1" applyFill="1" applyBorder="1" applyAlignment="1">
      <alignment horizontal="center" vertical="center"/>
    </xf>
    <xf numFmtId="0" fontId="20" fillId="85" borderId="10" xfId="0" applyFont="1" applyFill="1" applyBorder="1" applyAlignment="1">
      <alignment horizontal="center" vertical="center"/>
    </xf>
    <xf numFmtId="0" fontId="153" fillId="0" borderId="0" xfId="0" applyFont="1"/>
    <xf numFmtId="0" fontId="154" fillId="0" borderId="10" xfId="0" applyFont="1" applyBorder="1" applyAlignment="1">
      <alignment horizontal="left" vertical="center" indent="3"/>
    </xf>
    <xf numFmtId="1" fontId="20" fillId="0" borderId="10" xfId="0" applyNumberFormat="1" applyFont="1" applyBorder="1"/>
    <xf numFmtId="0" fontId="97" fillId="0" borderId="10" xfId="0" applyFont="1" applyBorder="1"/>
    <xf numFmtId="0" fontId="155" fillId="0" borderId="10" xfId="0" applyFont="1" applyBorder="1" applyAlignment="1">
      <alignment vertical="center"/>
    </xf>
    <xf numFmtId="0" fontId="156" fillId="0" borderId="10" xfId="0" applyFont="1" applyBorder="1" applyAlignment="1">
      <alignment vertical="center"/>
    </xf>
    <xf numFmtId="0" fontId="87" fillId="0" borderId="10" xfId="0" applyFont="1" applyBorder="1"/>
    <xf numFmtId="0" fontId="20" fillId="33" borderId="10" xfId="0" applyFont="1" applyFill="1" applyBorder="1"/>
    <xf numFmtId="1" fontId="157" fillId="43" borderId="10" xfId="0" applyNumberFormat="1" applyFont="1" applyFill="1" applyBorder="1" applyAlignment="1">
      <alignment horizontal="center"/>
    </xf>
    <xf numFmtId="0" fontId="20" fillId="38" borderId="10" xfId="0" applyFont="1" applyFill="1" applyBorder="1"/>
    <xf numFmtId="1" fontId="65" fillId="43" borderId="10" xfId="0" applyNumberFormat="1" applyFont="1" applyFill="1" applyBorder="1" applyAlignment="1">
      <alignment horizontal="center"/>
    </xf>
    <xf numFmtId="167" fontId="20" fillId="52" borderId="10" xfId="0" applyNumberFormat="1" applyFont="1" applyFill="1" applyBorder="1" applyAlignment="1">
      <alignment horizontal="center" vertical="center"/>
    </xf>
    <xf numFmtId="2" fontId="20" fillId="53" borderId="10" xfId="0" applyNumberFormat="1" applyFont="1" applyFill="1" applyBorder="1" applyAlignment="1">
      <alignment horizontal="center" vertical="center"/>
    </xf>
    <xf numFmtId="2" fontId="20" fillId="38" borderId="10" xfId="0" applyNumberFormat="1" applyFont="1" applyFill="1" applyBorder="1" applyAlignment="1">
      <alignment horizontal="center" vertical="center"/>
    </xf>
    <xf numFmtId="2" fontId="20" fillId="34" borderId="10" xfId="0" applyNumberFormat="1" applyFont="1" applyFill="1" applyBorder="1"/>
    <xf numFmtId="0" fontId="148" fillId="0" borderId="10" xfId="0" applyFont="1" applyBorder="1"/>
    <xf numFmtId="2" fontId="88" fillId="52" borderId="10" xfId="0" applyNumberFormat="1" applyFont="1" applyFill="1" applyBorder="1" applyAlignment="1">
      <alignment horizontal="center" vertical="center"/>
    </xf>
    <xf numFmtId="0" fontId="20" fillId="52" borderId="10" xfId="0" applyFont="1" applyFill="1" applyBorder="1" applyAlignment="1">
      <alignment horizontal="center" vertical="center"/>
    </xf>
    <xf numFmtId="2" fontId="20" fillId="45" borderId="10" xfId="0" applyNumberFormat="1" applyFont="1" applyFill="1" applyBorder="1" applyAlignment="1">
      <alignment horizontal="center" vertical="center"/>
    </xf>
    <xf numFmtId="0" fontId="20" fillId="79" borderId="10" xfId="0" applyFont="1" applyFill="1" applyBorder="1" applyAlignment="1">
      <alignment horizontal="center" vertical="center"/>
    </xf>
    <xf numFmtId="0" fontId="65" fillId="66" borderId="10" xfId="0" applyFont="1" applyFill="1" applyBorder="1"/>
    <xf numFmtId="0" fontId="20" fillId="46" borderId="10" xfId="0" applyFont="1" applyFill="1" applyBorder="1"/>
    <xf numFmtId="0" fontId="16" fillId="88" borderId="10" xfId="0" applyFont="1" applyFill="1" applyBorder="1" applyAlignment="1">
      <alignment horizontal="center" vertical="center"/>
    </xf>
    <xf numFmtId="0" fontId="0" fillId="88" borderId="10" xfId="0" applyFill="1" applyBorder="1" applyAlignment="1">
      <alignment vertical="center"/>
    </xf>
    <xf numFmtId="0" fontId="16" fillId="47" borderId="10" xfId="0" applyFont="1" applyFill="1" applyBorder="1" applyAlignment="1">
      <alignment horizontal="center" vertical="center"/>
    </xf>
    <xf numFmtId="0" fontId="0" fillId="47" borderId="10" xfId="0" applyFill="1" applyBorder="1" applyAlignment="1">
      <alignment vertical="center"/>
    </xf>
    <xf numFmtId="0" fontId="108" fillId="62" borderId="10" xfId="0" applyFont="1" applyFill="1" applyBorder="1" applyAlignment="1">
      <alignment horizontal="center" vertical="center" wrapText="1"/>
    </xf>
    <xf numFmtId="0" fontId="108" fillId="79" borderId="10" xfId="0" applyFont="1" applyFill="1" applyBorder="1" applyAlignment="1">
      <alignment horizontal="center" vertical="center" wrapText="1"/>
    </xf>
    <xf numFmtId="0" fontId="39" fillId="0" borderId="10" xfId="0" applyFont="1" applyBorder="1" applyAlignment="1">
      <alignment vertical="center" wrapText="1"/>
    </xf>
    <xf numFmtId="0" fontId="39" fillId="0" borderId="10" xfId="0" applyFont="1" applyBorder="1" applyAlignment="1">
      <alignment horizontal="center"/>
    </xf>
    <xf numFmtId="0" fontId="90" fillId="33" borderId="10" xfId="0" applyFont="1" applyFill="1" applyBorder="1" applyAlignment="1">
      <alignment horizontal="center" textRotation="90"/>
    </xf>
    <xf numFmtId="0" fontId="16" fillId="43" borderId="10" xfId="0" applyFont="1" applyFill="1" applyBorder="1" applyAlignment="1">
      <alignment horizontal="center" vertical="center"/>
    </xf>
    <xf numFmtId="2" fontId="30" fillId="0" borderId="10" xfId="0" applyNumberFormat="1" applyFont="1" applyBorder="1" applyAlignment="1">
      <alignment horizontal="center" vertical="center" wrapText="1"/>
    </xf>
    <xf numFmtId="2" fontId="39" fillId="0" borderId="10" xfId="0" applyNumberFormat="1" applyFont="1" applyBorder="1" applyAlignment="1">
      <alignment horizontal="center"/>
    </xf>
    <xf numFmtId="2" fontId="16" fillId="88" borderId="10" xfId="0" applyNumberFormat="1" applyFont="1" applyFill="1" applyBorder="1" applyAlignment="1">
      <alignment horizontal="center" vertical="center"/>
    </xf>
    <xf numFmtId="2" fontId="16" fillId="66" borderId="10" xfId="0" applyNumberFormat="1" applyFont="1" applyFill="1" applyBorder="1" applyAlignment="1">
      <alignment horizontal="center" vertical="center"/>
    </xf>
    <xf numFmtId="0" fontId="27" fillId="34" borderId="10" xfId="0" applyFont="1" applyFill="1" applyBorder="1" applyAlignment="1">
      <alignment horizontal="center" textRotation="90" wrapText="1"/>
    </xf>
    <xf numFmtId="0" fontId="90" fillId="34" borderId="10" xfId="0" applyFont="1" applyFill="1" applyBorder="1" applyAlignment="1">
      <alignment horizontal="center" textRotation="90" wrapText="1"/>
    </xf>
    <xf numFmtId="0" fontId="27" fillId="34" borderId="10" xfId="0" applyFont="1" applyFill="1" applyBorder="1" applyAlignment="1">
      <alignment horizontal="center" textRotation="90"/>
    </xf>
    <xf numFmtId="0" fontId="99" fillId="34" borderId="10" xfId="0" applyFont="1" applyFill="1" applyBorder="1" applyAlignment="1">
      <alignment horizontal="center" textRotation="90"/>
    </xf>
    <xf numFmtId="0" fontId="158" fillId="34" borderId="10" xfId="0" applyFont="1" applyFill="1" applyBorder="1" applyAlignment="1">
      <alignment horizontal="center"/>
    </xf>
    <xf numFmtId="0" fontId="90" fillId="34" borderId="10" xfId="0" applyFont="1" applyFill="1" applyBorder="1" applyAlignment="1">
      <alignment horizontal="center" wrapText="1"/>
    </xf>
    <xf numFmtId="0" fontId="106" fillId="78" borderId="10" xfId="0" applyFont="1" applyFill="1" applyBorder="1" applyAlignment="1">
      <alignment horizontal="center" wrapText="1"/>
    </xf>
    <xf numFmtId="0" fontId="36" fillId="0" borderId="10" xfId="42" applyBorder="1" applyAlignment="1" applyProtection="1">
      <alignment horizontal="center"/>
      <protection locked="0"/>
    </xf>
    <xf numFmtId="0" fontId="20" fillId="89" borderId="10" xfId="0" applyFont="1" applyFill="1" applyBorder="1" applyAlignment="1" applyProtection="1">
      <alignment horizontal="center"/>
      <protection locked="0"/>
    </xf>
    <xf numFmtId="0" fontId="20" fillId="54" borderId="10" xfId="0" applyFont="1" applyFill="1" applyBorder="1" applyAlignment="1">
      <alignment horizontal="center" vertical="center" wrapText="1"/>
    </xf>
    <xf numFmtId="0" fontId="88" fillId="44" borderId="10" xfId="0" applyFont="1" applyFill="1" applyBorder="1" applyAlignment="1">
      <alignment horizontal="center" vertical="center" wrapText="1"/>
    </xf>
    <xf numFmtId="0" fontId="106" fillId="0" borderId="10" xfId="0" applyFont="1" applyBorder="1" applyAlignment="1">
      <alignment horizontal="center"/>
    </xf>
    <xf numFmtId="0" fontId="16" fillId="62" borderId="0" xfId="0" applyFont="1" applyFill="1" applyAlignment="1">
      <alignment horizontal="right" vertical="center"/>
    </xf>
    <xf numFmtId="0" fontId="24" fillId="62" borderId="0" xfId="0" applyFont="1" applyFill="1" applyAlignment="1">
      <alignment horizontal="right"/>
    </xf>
    <xf numFmtId="0" fontId="30" fillId="62" borderId="0" xfId="0" applyFont="1" applyFill="1" applyAlignment="1">
      <alignment horizontal="right" vertical="center"/>
    </xf>
    <xf numFmtId="0" fontId="38" fillId="62" borderId="0" xfId="0" applyFont="1" applyFill="1" applyAlignment="1">
      <alignment horizontal="right"/>
    </xf>
    <xf numFmtId="0" fontId="34" fillId="62" borderId="10" xfId="0" applyFont="1" applyFill="1" applyBorder="1" applyAlignment="1">
      <alignment horizontal="right" vertical="center"/>
    </xf>
    <xf numFmtId="2" fontId="20" fillId="43" borderId="10" xfId="0" applyNumberFormat="1" applyFont="1" applyFill="1" applyBorder="1" applyAlignment="1">
      <alignment horizontal="center" vertical="center"/>
    </xf>
    <xf numFmtId="0" fontId="20" fillId="66" borderId="10" xfId="0" applyFont="1" applyFill="1" applyBorder="1" applyAlignment="1" applyProtection="1">
      <alignment horizontal="center" wrapText="1"/>
      <protection locked="0"/>
    </xf>
    <xf numFmtId="14" fontId="20" fillId="0" borderId="10" xfId="0" applyNumberFormat="1" applyFont="1" applyBorder="1" applyAlignment="1" applyProtection="1">
      <alignment horizontal="center"/>
      <protection locked="0"/>
    </xf>
    <xf numFmtId="167" fontId="20" fillId="48" borderId="10" xfId="0" applyNumberFormat="1" applyFont="1" applyFill="1" applyBorder="1" applyAlignment="1">
      <alignment horizontal="center"/>
    </xf>
    <xf numFmtId="10" fontId="38" fillId="0" borderId="10" xfId="0" applyNumberFormat="1" applyFont="1" applyBorder="1" applyAlignment="1">
      <alignment horizontal="center" vertical="center" wrapText="1"/>
    </xf>
    <xf numFmtId="2" fontId="24" fillId="0" borderId="10" xfId="0" applyNumberFormat="1" applyFont="1" applyBorder="1" applyAlignment="1">
      <alignment horizontal="center" vertical="center"/>
    </xf>
    <xf numFmtId="0" fontId="0" fillId="0" borderId="0" xfId="0" applyAlignment="1">
      <alignment horizontal="justify" vertical="center"/>
    </xf>
    <xf numFmtId="0" fontId="0" fillId="34" borderId="0" xfId="0" applyFill="1"/>
    <xf numFmtId="0" fontId="20" fillId="44" borderId="0" xfId="0" applyFont="1" applyFill="1" applyAlignment="1">
      <alignment horizontal="center"/>
    </xf>
    <xf numFmtId="0" fontId="25" fillId="44" borderId="0" xfId="0" applyFont="1" applyFill="1" applyAlignment="1">
      <alignment horizontal="center"/>
    </xf>
    <xf numFmtId="0" fontId="20" fillId="44" borderId="10" xfId="0" applyFont="1" applyFill="1" applyBorder="1" applyAlignment="1">
      <alignment horizontal="center" vertical="center" wrapText="1"/>
    </xf>
    <xf numFmtId="0" fontId="88" fillId="33" borderId="10" xfId="0" applyFont="1" applyFill="1" applyBorder="1" applyAlignment="1">
      <alignment horizontal="center" vertical="center" wrapText="1"/>
    </xf>
    <xf numFmtId="0" fontId="20" fillId="33" borderId="10" xfId="0" applyFont="1" applyFill="1" applyBorder="1" applyAlignment="1">
      <alignment horizontal="center" vertical="center" wrapText="1"/>
    </xf>
    <xf numFmtId="0" fontId="87" fillId="33" borderId="10" xfId="0" applyFont="1" applyFill="1" applyBorder="1" applyAlignment="1">
      <alignment horizontal="center" wrapText="1"/>
    </xf>
    <xf numFmtId="0" fontId="87" fillId="68" borderId="10" xfId="0" applyFont="1" applyFill="1" applyBorder="1" applyAlignment="1">
      <alignment horizontal="center" wrapText="1"/>
    </xf>
    <xf numFmtId="0" fontId="87" fillId="35" borderId="10" xfId="0" applyFont="1" applyFill="1" applyBorder="1" applyAlignment="1">
      <alignment horizontal="center" wrapText="1"/>
    </xf>
    <xf numFmtId="0" fontId="55" fillId="35" borderId="10" xfId="0" applyFont="1" applyFill="1" applyBorder="1" applyAlignment="1">
      <alignment horizontal="center" wrapText="1"/>
    </xf>
    <xf numFmtId="0" fontId="16" fillId="0" borderId="0" xfId="0" applyFont="1"/>
    <xf numFmtId="0" fontId="0" fillId="0" borderId="0" xfId="0" applyAlignment="1">
      <alignment wrapText="1"/>
    </xf>
    <xf numFmtId="0" fontId="88" fillId="83" borderId="10" xfId="0" applyFont="1" applyFill="1" applyBorder="1" applyAlignment="1">
      <alignment horizontal="center" wrapText="1"/>
    </xf>
    <xf numFmtId="0" fontId="20" fillId="66" borderId="10" xfId="0" applyFont="1" applyFill="1" applyBorder="1" applyAlignment="1">
      <alignment horizontal="center" vertical="center" wrapText="1"/>
    </xf>
    <xf numFmtId="0" fontId="88" fillId="34" borderId="10" xfId="0" applyFont="1" applyFill="1" applyBorder="1" applyAlignment="1">
      <alignment horizontal="center" vertical="center" wrapText="1"/>
    </xf>
    <xf numFmtId="0" fontId="87" fillId="0" borderId="10" xfId="0" applyFont="1" applyBorder="1" applyAlignment="1">
      <alignment horizontal="center" wrapText="1"/>
    </xf>
    <xf numFmtId="0" fontId="87" fillId="79" borderId="10" xfId="0" applyFont="1" applyFill="1" applyBorder="1" applyAlignment="1">
      <alignment horizontal="center" wrapText="1"/>
    </xf>
    <xf numFmtId="0" fontId="87" fillId="34" borderId="10" xfId="0" applyFont="1" applyFill="1" applyBorder="1" applyAlignment="1">
      <alignment horizontal="center" wrapText="1"/>
    </xf>
    <xf numFmtId="0" fontId="130" fillId="0" borderId="0" xfId="0" applyFont="1" applyAlignment="1">
      <alignment horizontal="center" wrapText="1"/>
    </xf>
    <xf numFmtId="0" fontId="16" fillId="38" borderId="10" xfId="0" applyFont="1" applyFill="1" applyBorder="1" applyAlignment="1">
      <alignment wrapText="1"/>
    </xf>
    <xf numFmtId="2" fontId="0" fillId="38" borderId="0" xfId="0" applyNumberFormat="1" applyFill="1" applyAlignment="1">
      <alignment horizontal="center"/>
    </xf>
    <xf numFmtId="0" fontId="0" fillId="38" borderId="0" xfId="0" applyFill="1" applyAlignment="1">
      <alignment horizontal="center"/>
    </xf>
    <xf numFmtId="0" fontId="13" fillId="63" borderId="10" xfId="0" applyFont="1" applyFill="1" applyBorder="1" applyAlignment="1">
      <alignment horizontal="center" vertical="center"/>
    </xf>
    <xf numFmtId="0" fontId="13" fillId="63" borderId="10" xfId="0" applyFont="1" applyFill="1" applyBorder="1" applyAlignment="1">
      <alignment wrapText="1"/>
    </xf>
    <xf numFmtId="2" fontId="13" fillId="63" borderId="10" xfId="0" applyNumberFormat="1" applyFont="1" applyFill="1" applyBorder="1" applyAlignment="1">
      <alignment horizontal="center"/>
    </xf>
    <xf numFmtId="1" fontId="16" fillId="38" borderId="10" xfId="0" applyNumberFormat="1" applyFont="1" applyFill="1" applyBorder="1" applyAlignment="1">
      <alignment wrapText="1"/>
    </xf>
    <xf numFmtId="9" fontId="18" fillId="0" borderId="10" xfId="0" applyNumberFormat="1" applyFont="1" applyBorder="1" applyAlignment="1">
      <alignment horizontal="center" vertical="center"/>
    </xf>
    <xf numFmtId="0" fontId="16" fillId="66" borderId="10" xfId="0" applyFont="1" applyFill="1" applyBorder="1" applyAlignment="1">
      <alignment wrapText="1"/>
    </xf>
    <xf numFmtId="2" fontId="0" fillId="66" borderId="0" xfId="0" applyNumberFormat="1" applyFill="1" applyAlignment="1">
      <alignment horizontal="center"/>
    </xf>
    <xf numFmtId="0" fontId="0" fillId="66" borderId="0" xfId="0" applyFill="1" applyAlignment="1">
      <alignment horizontal="center"/>
    </xf>
    <xf numFmtId="0" fontId="0" fillId="66" borderId="0" xfId="0" applyFill="1"/>
    <xf numFmtId="0" fontId="88" fillId="49" borderId="10" xfId="0" applyFont="1" applyFill="1" applyBorder="1" applyAlignment="1">
      <alignment horizontal="center" wrapText="1"/>
    </xf>
    <xf numFmtId="0" fontId="88" fillId="34" borderId="10" xfId="0" applyFont="1" applyFill="1" applyBorder="1" applyAlignment="1">
      <alignment horizontal="center"/>
    </xf>
    <xf numFmtId="0" fontId="84" fillId="0" borderId="10" xfId="0" applyFont="1" applyBorder="1"/>
    <xf numFmtId="0" fontId="110" fillId="0" borderId="0" xfId="0" applyFont="1" applyAlignment="1">
      <alignment wrapText="1"/>
    </xf>
    <xf numFmtId="0" fontId="20" fillId="0" borderId="0" xfId="0" applyFont="1" applyAlignment="1">
      <alignment horizontal="center"/>
    </xf>
    <xf numFmtId="0" fontId="160" fillId="0" borderId="0" xfId="0" applyFont="1"/>
    <xf numFmtId="0" fontId="161" fillId="0" borderId="0" xfId="0" applyFont="1"/>
    <xf numFmtId="0" fontId="16" fillId="0" borderId="10" xfId="0" applyFont="1" applyBorder="1"/>
    <xf numFmtId="0" fontId="162" fillId="0" borderId="10" xfId="0" applyFont="1" applyBorder="1" applyAlignment="1">
      <alignment vertical="center" wrapText="1"/>
    </xf>
    <xf numFmtId="0" fontId="88" fillId="42" borderId="10" xfId="0" applyFont="1" applyFill="1" applyBorder="1" applyAlignment="1">
      <alignment horizontal="center"/>
    </xf>
    <xf numFmtId="2" fontId="88" fillId="42" borderId="10" xfId="0" applyNumberFormat="1" applyFont="1" applyFill="1" applyBorder="1" applyAlignment="1">
      <alignment horizontal="center"/>
    </xf>
    <xf numFmtId="1" fontId="16" fillId="68" borderId="10" xfId="0" applyNumberFormat="1" applyFont="1" applyFill="1" applyBorder="1" applyAlignment="1">
      <alignment wrapText="1"/>
    </xf>
    <xf numFmtId="0" fontId="16" fillId="68" borderId="10" xfId="0" applyFont="1" applyFill="1" applyBorder="1" applyAlignment="1">
      <alignment wrapText="1"/>
    </xf>
    <xf numFmtId="0" fontId="0" fillId="72" borderId="0" xfId="0" applyFill="1"/>
    <xf numFmtId="0" fontId="0" fillId="87" borderId="0" xfId="0" applyFill="1"/>
    <xf numFmtId="0" fontId="0" fillId="33" borderId="0" xfId="0" applyFill="1"/>
    <xf numFmtId="0" fontId="0" fillId="36" borderId="0" xfId="0" applyFill="1"/>
    <xf numFmtId="0" fontId="0" fillId="90" borderId="0" xfId="0" applyFill="1"/>
    <xf numFmtId="0" fontId="0" fillId="50" borderId="0" xfId="0" applyFill="1"/>
    <xf numFmtId="0" fontId="0" fillId="68" borderId="0" xfId="0" applyFill="1"/>
    <xf numFmtId="0" fontId="0" fillId="91" borderId="0" xfId="0" applyFill="1"/>
    <xf numFmtId="0" fontId="0" fillId="40" borderId="0" xfId="0" applyFill="1"/>
    <xf numFmtId="2" fontId="0" fillId="92" borderId="0" xfId="0" applyNumberFormat="1" applyFill="1" applyAlignment="1">
      <alignment horizontal="center"/>
    </xf>
    <xf numFmtId="0" fontId="0" fillId="72" borderId="10" xfId="0" applyFill="1" applyBorder="1" applyAlignment="1">
      <alignment horizontal="center"/>
    </xf>
    <xf numFmtId="0" fontId="0" fillId="46" borderId="10" xfId="0" applyFill="1" applyBorder="1" applyAlignment="1">
      <alignment horizontal="center"/>
    </xf>
    <xf numFmtId="0" fontId="0" fillId="34" borderId="10" xfId="0" applyFill="1" applyBorder="1" applyAlignment="1">
      <alignment horizontal="center"/>
    </xf>
    <xf numFmtId="0" fontId="0" fillId="92" borderId="10" xfId="0" applyFill="1" applyBorder="1" applyAlignment="1">
      <alignment horizontal="center"/>
    </xf>
    <xf numFmtId="0" fontId="0" fillId="39" borderId="10" xfId="0" applyFill="1" applyBorder="1" applyAlignment="1">
      <alignment horizontal="center"/>
    </xf>
    <xf numFmtId="0" fontId="0" fillId="93" borderId="10" xfId="0" applyFill="1" applyBorder="1" applyAlignment="1">
      <alignment horizontal="center"/>
    </xf>
    <xf numFmtId="0" fontId="0" fillId="87" borderId="10" xfId="0" applyFill="1" applyBorder="1" applyAlignment="1">
      <alignment horizontal="center"/>
    </xf>
    <xf numFmtId="0" fontId="0" fillId="36" borderId="10" xfId="0" applyFill="1" applyBorder="1" applyAlignment="1">
      <alignment horizontal="center"/>
    </xf>
    <xf numFmtId="0" fontId="24" fillId="72" borderId="10" xfId="0" applyFont="1" applyFill="1" applyBorder="1" applyAlignment="1">
      <alignment horizontal="center" vertical="center"/>
    </xf>
    <xf numFmtId="0" fontId="79" fillId="72" borderId="10" xfId="0" applyFont="1" applyFill="1" applyBorder="1" applyAlignment="1">
      <alignment horizontal="center" vertical="center"/>
    </xf>
    <xf numFmtId="0" fontId="78" fillId="46" borderId="10" xfId="0" applyFont="1" applyFill="1" applyBorder="1" applyAlignment="1">
      <alignment horizontal="center" vertical="center"/>
    </xf>
    <xf numFmtId="0" fontId="78" fillId="90" borderId="10" xfId="0" applyFont="1" applyFill="1" applyBorder="1" applyAlignment="1">
      <alignment horizontal="center" vertical="center"/>
    </xf>
    <xf numFmtId="0" fontId="79" fillId="90" borderId="10" xfId="0" applyFont="1" applyFill="1" applyBorder="1" applyAlignment="1">
      <alignment horizontal="center" vertical="center"/>
    </xf>
    <xf numFmtId="0" fontId="79" fillId="46" borderId="10" xfId="0" applyFont="1" applyFill="1" applyBorder="1" applyAlignment="1">
      <alignment horizontal="center" vertical="center"/>
    </xf>
    <xf numFmtId="0" fontId="79" fillId="34" borderId="10" xfId="0" applyFont="1" applyFill="1" applyBorder="1" applyAlignment="1">
      <alignment horizontal="center" vertical="center"/>
    </xf>
    <xf numFmtId="0" fontId="79" fillId="92" borderId="10" xfId="0" applyFont="1" applyFill="1" applyBorder="1" applyAlignment="1">
      <alignment horizontal="center" vertical="center"/>
    </xf>
    <xf numFmtId="0" fontId="78" fillId="39" borderId="10" xfId="0" applyFont="1" applyFill="1" applyBorder="1" applyAlignment="1">
      <alignment horizontal="center" vertical="center"/>
    </xf>
    <xf numFmtId="0" fontId="24" fillId="39" borderId="10" xfId="0" applyFont="1" applyFill="1" applyBorder="1" applyAlignment="1">
      <alignment horizontal="center" vertical="center"/>
    </xf>
    <xf numFmtId="0" fontId="79" fillId="39" borderId="10" xfId="0" applyFont="1" applyFill="1" applyBorder="1" applyAlignment="1">
      <alignment horizontal="center" vertical="center"/>
    </xf>
    <xf numFmtId="0" fontId="79" fillId="33" borderId="10" xfId="0" applyFont="1" applyFill="1" applyBorder="1" applyAlignment="1">
      <alignment horizontal="center" vertical="center"/>
    </xf>
    <xf numFmtId="0" fontId="78" fillId="87" borderId="10" xfId="0" applyFont="1" applyFill="1" applyBorder="1" applyAlignment="1">
      <alignment horizontal="center" vertical="center"/>
    </xf>
    <xf numFmtId="0" fontId="24" fillId="87" borderId="10" xfId="0" applyFont="1" applyFill="1" applyBorder="1" applyAlignment="1">
      <alignment horizontal="center" vertical="center"/>
    </xf>
    <xf numFmtId="0" fontId="79" fillId="87" borderId="10" xfId="0" applyFont="1" applyFill="1" applyBorder="1" applyAlignment="1">
      <alignment horizontal="center" vertical="center"/>
    </xf>
    <xf numFmtId="0" fontId="24" fillId="47" borderId="10" xfId="0" applyFont="1" applyFill="1" applyBorder="1" applyAlignment="1">
      <alignment horizontal="center" vertical="center"/>
    </xf>
    <xf numFmtId="0" fontId="78" fillId="47" borderId="10" xfId="0" applyFont="1" applyFill="1" applyBorder="1" applyAlignment="1">
      <alignment horizontal="center" vertical="center"/>
    </xf>
    <xf numFmtId="0" fontId="79" fillId="36" borderId="10" xfId="0" applyFont="1" applyFill="1" applyBorder="1" applyAlignment="1">
      <alignment horizontal="center" vertical="center"/>
    </xf>
    <xf numFmtId="0" fontId="24" fillId="36" borderId="10" xfId="0" applyFont="1" applyFill="1" applyBorder="1" applyAlignment="1">
      <alignment horizontal="center" vertical="center"/>
    </xf>
    <xf numFmtId="0" fontId="79" fillId="47" borderId="10" xfId="0" applyFont="1" applyFill="1" applyBorder="1" applyAlignment="1">
      <alignment horizontal="center" vertical="center"/>
    </xf>
    <xf numFmtId="0" fontId="25" fillId="0" borderId="0" xfId="0" applyFont="1"/>
    <xf numFmtId="0" fontId="25" fillId="0" borderId="0" xfId="0" applyFont="1" applyAlignment="1">
      <alignment horizontal="center"/>
    </xf>
    <xf numFmtId="0" fontId="27" fillId="68" borderId="10" xfId="0" applyFont="1" applyFill="1" applyBorder="1" applyAlignment="1">
      <alignment horizontal="center"/>
    </xf>
    <xf numFmtId="0" fontId="16" fillId="68" borderId="10" xfId="0" applyFont="1" applyFill="1" applyBorder="1" applyAlignment="1">
      <alignment horizontal="center" vertical="center"/>
    </xf>
    <xf numFmtId="2" fontId="27" fillId="68" borderId="10" xfId="0" applyNumberFormat="1" applyFont="1" applyFill="1" applyBorder="1" applyAlignment="1">
      <alignment horizontal="center"/>
    </xf>
    <xf numFmtId="0" fontId="99" fillId="68" borderId="10" xfId="0" applyFont="1" applyFill="1" applyBorder="1" applyAlignment="1">
      <alignment horizontal="center"/>
    </xf>
    <xf numFmtId="1" fontId="27" fillId="68" borderId="10" xfId="0" applyNumberFormat="1" applyFont="1" applyFill="1" applyBorder="1" applyAlignment="1">
      <alignment horizontal="center"/>
    </xf>
    <xf numFmtId="1" fontId="99" fillId="68" borderId="10" xfId="0" applyNumberFormat="1" applyFont="1" applyFill="1" applyBorder="1" applyAlignment="1">
      <alignment horizontal="center"/>
    </xf>
    <xf numFmtId="0" fontId="79" fillId="68" borderId="10" xfId="0" applyFont="1" applyFill="1" applyBorder="1" applyAlignment="1">
      <alignment vertical="center"/>
    </xf>
    <xf numFmtId="0" fontId="99" fillId="63" borderId="10" xfId="0" applyFont="1" applyFill="1" applyBorder="1" applyAlignment="1">
      <alignment horizontal="center"/>
    </xf>
    <xf numFmtId="1" fontId="27" fillId="63" borderId="10" xfId="0" applyNumberFormat="1" applyFont="1" applyFill="1" applyBorder="1" applyAlignment="1">
      <alignment horizontal="center"/>
    </xf>
    <xf numFmtId="1" fontId="99" fillId="63" borderId="10" xfId="0" applyNumberFormat="1" applyFont="1" applyFill="1" applyBorder="1" applyAlignment="1">
      <alignment horizontal="center"/>
    </xf>
    <xf numFmtId="0" fontId="19" fillId="63" borderId="10" xfId="0" applyFont="1" applyFill="1" applyBorder="1" applyAlignment="1">
      <alignment vertical="center"/>
    </xf>
    <xf numFmtId="0" fontId="24" fillId="72" borderId="10" xfId="0" applyFont="1" applyFill="1" applyBorder="1" applyAlignment="1">
      <alignment horizontal="center" textRotation="90"/>
    </xf>
    <xf numFmtId="2" fontId="27" fillId="63" borderId="10" xfId="0" applyNumberFormat="1" applyFont="1" applyFill="1" applyBorder="1" applyAlignment="1">
      <alignment horizontal="center"/>
    </xf>
    <xf numFmtId="0" fontId="24" fillId="94" borderId="10" xfId="0" applyFont="1" applyFill="1" applyBorder="1" applyAlignment="1">
      <alignment horizontal="center" wrapText="1"/>
    </xf>
    <xf numFmtId="2" fontId="27" fillId="46" borderId="10" xfId="0" applyNumberFormat="1" applyFont="1" applyFill="1" applyBorder="1" applyAlignment="1">
      <alignment horizontal="center"/>
    </xf>
    <xf numFmtId="0" fontId="16" fillId="91" borderId="10" xfId="0" applyFont="1" applyFill="1" applyBorder="1" applyAlignment="1">
      <alignment horizontal="center" vertical="center"/>
    </xf>
    <xf numFmtId="0" fontId="16" fillId="55" borderId="10" xfId="0" applyFont="1" applyFill="1" applyBorder="1" applyAlignment="1">
      <alignment horizontal="center" vertical="center"/>
    </xf>
    <xf numFmtId="2" fontId="27" fillId="43" borderId="10" xfId="0" applyNumberFormat="1" applyFont="1" applyFill="1" applyBorder="1" applyAlignment="1">
      <alignment horizontal="center"/>
    </xf>
    <xf numFmtId="1" fontId="27" fillId="88" borderId="10" xfId="0" applyNumberFormat="1" applyFont="1" applyFill="1" applyBorder="1" applyAlignment="1">
      <alignment horizontal="center" textRotation="90"/>
    </xf>
    <xf numFmtId="1" fontId="99" fillId="43" borderId="10" xfId="0" applyNumberFormat="1" applyFont="1" applyFill="1" applyBorder="1" applyAlignment="1">
      <alignment horizontal="center"/>
    </xf>
    <xf numFmtId="1" fontId="27" fillId="43" borderId="10" xfId="0" applyNumberFormat="1" applyFont="1" applyFill="1" applyBorder="1" applyAlignment="1">
      <alignment horizontal="center" textRotation="90"/>
    </xf>
    <xf numFmtId="1" fontId="27" fillId="43" borderId="10" xfId="0" applyNumberFormat="1" applyFont="1" applyFill="1" applyBorder="1" applyAlignment="1">
      <alignment horizontal="center"/>
    </xf>
    <xf numFmtId="1" fontId="100" fillId="43" borderId="10" xfId="0" applyNumberFormat="1" applyFont="1" applyFill="1" applyBorder="1" applyAlignment="1">
      <alignment horizontal="center"/>
    </xf>
    <xf numFmtId="0" fontId="99" fillId="46" borderId="10" xfId="0" applyFont="1" applyFill="1" applyBorder="1" applyAlignment="1">
      <alignment horizontal="center"/>
    </xf>
    <xf numFmtId="2" fontId="20" fillId="43" borderId="10" xfId="0" applyNumberFormat="1" applyFont="1" applyFill="1" applyBorder="1" applyAlignment="1">
      <alignment horizontal="center"/>
    </xf>
    <xf numFmtId="0" fontId="0" fillId="0" borderId="10" xfId="0" applyBorder="1" applyAlignment="1">
      <alignment wrapText="1"/>
    </xf>
    <xf numFmtId="2" fontId="0" fillId="0" borderId="10" xfId="0" applyNumberFormat="1" applyBorder="1" applyAlignment="1">
      <alignment horizontal="center"/>
    </xf>
    <xf numFmtId="9" fontId="0" fillId="0" borderId="10" xfId="0" applyNumberFormat="1" applyBorder="1" applyAlignment="1">
      <alignment horizontal="center" vertical="center"/>
    </xf>
    <xf numFmtId="2" fontId="0" fillId="0" borderId="10" xfId="0" applyNumberFormat="1" applyBorder="1"/>
    <xf numFmtId="0" fontId="163" fillId="0" borderId="10" xfId="0" applyFont="1" applyBorder="1"/>
    <xf numFmtId="0" fontId="17" fillId="95" borderId="0" xfId="0" applyFont="1" applyFill="1"/>
    <xf numFmtId="2" fontId="0" fillId="0" borderId="10" xfId="0" applyNumberFormat="1" applyBorder="1" applyAlignment="1">
      <alignment horizontal="left"/>
    </xf>
    <xf numFmtId="0" fontId="13" fillId="95" borderId="0" xfId="0" applyFont="1" applyFill="1"/>
    <xf numFmtId="0" fontId="164" fillId="0" borderId="10" xfId="0" applyFont="1" applyBorder="1"/>
    <xf numFmtId="2" fontId="16" fillId="0" borderId="10" xfId="0" applyNumberFormat="1" applyFont="1" applyBorder="1" applyAlignment="1">
      <alignment horizontal="left"/>
    </xf>
    <xf numFmtId="0" fontId="165" fillId="0" borderId="0" xfId="0" applyFont="1"/>
    <xf numFmtId="0" fontId="16" fillId="0" borderId="19" xfId="0" applyFont="1" applyBorder="1"/>
    <xf numFmtId="0" fontId="0" fillId="0" borderId="19" xfId="0" applyBorder="1"/>
    <xf numFmtId="0" fontId="13" fillId="95" borderId="10" xfId="0" applyFont="1" applyFill="1" applyBorder="1"/>
    <xf numFmtId="0" fontId="17" fillId="95" borderId="10" xfId="0" applyFont="1" applyFill="1" applyBorder="1"/>
    <xf numFmtId="0" fontId="166" fillId="0" borderId="0" xfId="0" applyFont="1"/>
    <xf numFmtId="0" fontId="0" fillId="0" borderId="0" xfId="0" applyAlignment="1">
      <alignment horizontal="center" wrapText="1"/>
    </xf>
    <xf numFmtId="0" fontId="0" fillId="0" borderId="0" xfId="0" applyAlignment="1">
      <alignment horizontal="left" wrapText="1"/>
    </xf>
    <xf numFmtId="0" fontId="166" fillId="0" borderId="0" xfId="0" applyFont="1" applyAlignment="1">
      <alignment vertical="center"/>
    </xf>
    <xf numFmtId="0" fontId="166" fillId="33" borderId="10" xfId="0" applyFont="1" applyFill="1" applyBorder="1"/>
    <xf numFmtId="0" fontId="0" fillId="33" borderId="10" xfId="0" applyFill="1" applyBorder="1"/>
    <xf numFmtId="0" fontId="166" fillId="33" borderId="10" xfId="0" applyFont="1" applyFill="1" applyBorder="1" applyAlignment="1">
      <alignment vertical="center"/>
    </xf>
    <xf numFmtId="0" fontId="0" fillId="40" borderId="10" xfId="0" applyFill="1" applyBorder="1" applyAlignment="1">
      <alignment wrapText="1"/>
    </xf>
    <xf numFmtId="2" fontId="166" fillId="33" borderId="10" xfId="0" applyNumberFormat="1" applyFont="1" applyFill="1" applyBorder="1" applyAlignment="1">
      <alignment horizontal="center" wrapText="1"/>
    </xf>
    <xf numFmtId="0" fontId="0" fillId="43" borderId="10" xfId="0" applyFill="1" applyBorder="1"/>
    <xf numFmtId="0" fontId="164" fillId="0" borderId="10" xfId="0" applyFont="1" applyBorder="1" applyAlignment="1">
      <alignment wrapText="1"/>
    </xf>
    <xf numFmtId="0" fontId="13" fillId="95" borderId="20" xfId="0" applyFont="1" applyFill="1" applyBorder="1"/>
    <xf numFmtId="0" fontId="0" fillId="0" borderId="10" xfId="0" applyBorder="1" applyAlignment="1">
      <alignment horizontal="left" vertical="top" wrapText="1"/>
    </xf>
    <xf numFmtId="0" fontId="110" fillId="43" borderId="10" xfId="0" applyFont="1" applyFill="1" applyBorder="1" applyAlignment="1">
      <alignment horizontal="center" vertical="center" wrapText="1"/>
    </xf>
    <xf numFmtId="0" fontId="30" fillId="43" borderId="10" xfId="0" applyFont="1" applyFill="1" applyBorder="1" applyAlignment="1">
      <alignment horizontal="center" vertical="center" wrapText="1"/>
    </xf>
    <xf numFmtId="0" fontId="38" fillId="43" borderId="10" xfId="0" applyFont="1" applyFill="1" applyBorder="1" applyAlignment="1">
      <alignment horizontal="center" vertical="center" wrapText="1"/>
    </xf>
    <xf numFmtId="0" fontId="116" fillId="43" borderId="10" xfId="0" applyFont="1" applyFill="1" applyBorder="1" applyAlignment="1">
      <alignment horizontal="center" vertical="center"/>
    </xf>
    <xf numFmtId="17" fontId="38" fillId="43" borderId="10" xfId="0" applyNumberFormat="1" applyFont="1" applyFill="1" applyBorder="1" applyAlignment="1">
      <alignment horizontal="center" vertical="center" wrapText="1"/>
    </xf>
    <xf numFmtId="0" fontId="14" fillId="0" borderId="0" xfId="0" applyFont="1"/>
    <xf numFmtId="0" fontId="20" fillId="41" borderId="10" xfId="0" applyFont="1" applyFill="1" applyBorder="1" applyAlignment="1">
      <alignment vertical="center"/>
    </xf>
    <xf numFmtId="0" fontId="38" fillId="41" borderId="10" xfId="0" applyFont="1" applyFill="1" applyBorder="1" applyAlignment="1">
      <alignment vertical="center" wrapText="1"/>
    </xf>
    <xf numFmtId="0" fontId="38" fillId="41" borderId="10" xfId="0" applyFont="1" applyFill="1" applyBorder="1" applyAlignment="1">
      <alignment horizontal="center" vertical="center" wrapText="1"/>
    </xf>
    <xf numFmtId="1" fontId="38" fillId="41" borderId="10" xfId="0" applyNumberFormat="1" applyFont="1" applyFill="1" applyBorder="1" applyAlignment="1">
      <alignment horizontal="center" vertical="center" wrapText="1"/>
    </xf>
    <xf numFmtId="0" fontId="108" fillId="41" borderId="10" xfId="0" applyFont="1" applyFill="1" applyBorder="1" applyAlignment="1">
      <alignment horizontal="center" vertical="center" wrapText="1"/>
    </xf>
    <xf numFmtId="2" fontId="38" fillId="41" borderId="10" xfId="0" applyNumberFormat="1" applyFont="1" applyFill="1" applyBorder="1" applyAlignment="1">
      <alignment horizontal="center" vertical="center" wrapText="1"/>
    </xf>
    <xf numFmtId="0" fontId="167" fillId="43" borderId="0" xfId="0" applyFont="1" applyFill="1" applyAlignment="1">
      <alignment horizontal="center" vertical="center"/>
    </xf>
    <xf numFmtId="0" fontId="0" fillId="43" borderId="0" xfId="0" applyFill="1" applyAlignment="1">
      <alignment horizontal="center"/>
    </xf>
    <xf numFmtId="0" fontId="166" fillId="33" borderId="10" xfId="0" applyFont="1" applyFill="1" applyBorder="1" applyAlignment="1">
      <alignment horizontal="center"/>
    </xf>
    <xf numFmtId="14" fontId="166" fillId="33" borderId="10" xfId="0" applyNumberFormat="1" applyFont="1" applyFill="1" applyBorder="1" applyAlignment="1">
      <alignment horizontal="center"/>
    </xf>
    <xf numFmtId="1" fontId="166" fillId="33" borderId="10" xfId="0" applyNumberFormat="1" applyFont="1" applyFill="1" applyBorder="1" applyAlignment="1">
      <alignment horizontal="center"/>
    </xf>
    <xf numFmtId="0" fontId="166" fillId="40" borderId="10" xfId="0" applyFont="1" applyFill="1" applyBorder="1" applyAlignment="1">
      <alignment horizontal="center" wrapText="1"/>
    </xf>
    <xf numFmtId="0" fontId="166" fillId="0" borderId="10" xfId="0" applyFont="1" applyBorder="1" applyAlignment="1">
      <alignment horizontal="center" wrapText="1"/>
    </xf>
    <xf numFmtId="0" fontId="166" fillId="0" borderId="0" xfId="0" applyFont="1" applyAlignment="1">
      <alignment horizontal="center" wrapText="1"/>
    </xf>
    <xf numFmtId="1" fontId="166" fillId="33" borderId="10" xfId="0" applyNumberFormat="1" applyFont="1" applyFill="1" applyBorder="1" applyAlignment="1">
      <alignment horizontal="center" wrapText="1"/>
    </xf>
    <xf numFmtId="1" fontId="19" fillId="33" borderId="10" xfId="0" applyNumberFormat="1" applyFont="1" applyFill="1" applyBorder="1" applyAlignment="1">
      <alignment horizontal="center" wrapText="1"/>
    </xf>
    <xf numFmtId="0" fontId="166" fillId="33" borderId="10" xfId="0" applyFont="1" applyFill="1" applyBorder="1" applyAlignment="1">
      <alignment horizontal="center" wrapText="1"/>
    </xf>
    <xf numFmtId="1" fontId="166" fillId="33" borderId="10" xfId="0" quotePrefix="1" applyNumberFormat="1" applyFont="1" applyFill="1" applyBorder="1" applyAlignment="1">
      <alignment horizontal="center" wrapText="1"/>
    </xf>
    <xf numFmtId="1" fontId="166" fillId="0" borderId="0" xfId="0" quotePrefix="1" applyNumberFormat="1" applyFont="1" applyAlignment="1">
      <alignment horizontal="center" wrapText="1"/>
    </xf>
    <xf numFmtId="0" fontId="165" fillId="0" borderId="0" xfId="0" applyFont="1" applyAlignment="1">
      <alignment horizontal="center"/>
    </xf>
    <xf numFmtId="168" fontId="166" fillId="33" borderId="10" xfId="0" applyNumberFormat="1" applyFont="1" applyFill="1" applyBorder="1" applyAlignment="1">
      <alignment horizontal="center"/>
    </xf>
    <xf numFmtId="168" fontId="166" fillId="33" borderId="10" xfId="0" quotePrefix="1" applyNumberFormat="1" applyFont="1" applyFill="1" applyBorder="1" applyAlignment="1">
      <alignment horizontal="center"/>
    </xf>
    <xf numFmtId="2" fontId="166" fillId="33" borderId="10" xfId="0" applyNumberFormat="1" applyFont="1" applyFill="1" applyBorder="1" applyAlignment="1">
      <alignment horizontal="center"/>
    </xf>
    <xf numFmtId="2" fontId="166" fillId="0" borderId="0" xfId="0" applyNumberFormat="1" applyFont="1" applyAlignment="1">
      <alignment horizontal="center"/>
    </xf>
    <xf numFmtId="1" fontId="166" fillId="0" borderId="0" xfId="0" applyNumberFormat="1" applyFont="1" applyAlignment="1">
      <alignment horizontal="center"/>
    </xf>
    <xf numFmtId="1" fontId="166" fillId="0" borderId="0" xfId="0" quotePrefix="1" applyNumberFormat="1" applyFont="1" applyAlignment="1">
      <alignment horizontal="center"/>
    </xf>
    <xf numFmtId="0" fontId="19" fillId="0" borderId="0" xfId="0" applyFont="1" applyAlignment="1">
      <alignment horizontal="center"/>
    </xf>
    <xf numFmtId="0" fontId="166" fillId="0" borderId="0" xfId="0" applyFont="1" applyAlignment="1">
      <alignment horizontal="center"/>
    </xf>
    <xf numFmtId="0" fontId="39" fillId="0" borderId="0" xfId="0" applyFont="1"/>
    <xf numFmtId="0" fontId="38" fillId="0" borderId="10" xfId="0" applyFont="1" applyBorder="1" applyAlignment="1">
      <alignment horizontal="center" wrapText="1"/>
    </xf>
    <xf numFmtId="0" fontId="30" fillId="44" borderId="10" xfId="0" applyFont="1" applyFill="1" applyBorder="1" applyAlignment="1">
      <alignment horizontal="center"/>
    </xf>
    <xf numFmtId="0" fontId="168" fillId="0" borderId="0" xfId="0" applyFont="1"/>
    <xf numFmtId="0" fontId="88" fillId="41" borderId="10" xfId="0" applyFont="1" applyFill="1" applyBorder="1" applyAlignment="1">
      <alignment vertical="center"/>
    </xf>
    <xf numFmtId="0" fontId="132" fillId="41" borderId="10" xfId="0" applyFont="1" applyFill="1" applyBorder="1"/>
    <xf numFmtId="0" fontId="0" fillId="41" borderId="10" xfId="0" applyFill="1" applyBorder="1" applyAlignment="1">
      <alignment horizontal="center" vertical="center" wrapText="1"/>
    </xf>
    <xf numFmtId="0" fontId="166" fillId="38" borderId="10" xfId="0" applyFont="1" applyFill="1" applyBorder="1" applyAlignment="1">
      <alignment horizontal="center" wrapText="1"/>
    </xf>
    <xf numFmtId="0" fontId="0" fillId="38" borderId="10" xfId="0" applyFill="1" applyBorder="1" applyAlignment="1">
      <alignment horizontal="center"/>
    </xf>
    <xf numFmtId="2" fontId="166" fillId="38" borderId="10" xfId="0" applyNumberFormat="1" applyFont="1" applyFill="1" applyBorder="1" applyAlignment="1">
      <alignment horizontal="center"/>
    </xf>
    <xf numFmtId="0" fontId="20" fillId="0" borderId="0" xfId="0" applyFont="1" applyAlignment="1">
      <alignment horizontal="center" vertical="center" wrapText="1"/>
    </xf>
    <xf numFmtId="0" fontId="20" fillId="0" borderId="0" xfId="0" applyFont="1" applyAlignment="1">
      <alignment horizontal="right" vertical="center" wrapText="1"/>
    </xf>
    <xf numFmtId="0" fontId="25" fillId="0" borderId="0" xfId="0" applyFont="1" applyAlignment="1">
      <alignment vertical="center" wrapText="1"/>
    </xf>
    <xf numFmtId="17" fontId="38" fillId="41" borderId="10" xfId="0" applyNumberFormat="1" applyFont="1" applyFill="1" applyBorder="1" applyAlignment="1">
      <alignment horizontal="center" vertical="center" wrapText="1"/>
    </xf>
    <xf numFmtId="0" fontId="25" fillId="0" borderId="0" xfId="0" applyFont="1" applyAlignment="1">
      <alignment horizontal="center" vertical="center" wrapText="1"/>
    </xf>
    <xf numFmtId="9" fontId="25" fillId="0" borderId="0" xfId="0" applyNumberFormat="1" applyFont="1" applyAlignment="1">
      <alignment horizontal="center" vertical="center" wrapText="1"/>
    </xf>
    <xf numFmtId="10" fontId="25" fillId="0" borderId="0" xfId="0" applyNumberFormat="1" applyFont="1" applyAlignment="1">
      <alignment horizontal="center" vertical="center" wrapText="1"/>
    </xf>
    <xf numFmtId="2" fontId="0" fillId="0" borderId="0" xfId="0" applyNumberFormat="1"/>
    <xf numFmtId="2" fontId="19" fillId="0" borderId="10" xfId="0" applyNumberFormat="1" applyFont="1" applyBorder="1" applyAlignment="1">
      <alignment horizontal="center" vertical="center"/>
    </xf>
    <xf numFmtId="0" fontId="79" fillId="77" borderId="10" xfId="0" applyFont="1" applyFill="1" applyBorder="1" applyAlignment="1">
      <alignment horizontal="center" vertical="center"/>
    </xf>
    <xf numFmtId="0" fontId="16" fillId="33" borderId="0" xfId="0" applyFont="1" applyFill="1" applyAlignment="1">
      <alignment horizontal="center" vertical="center"/>
    </xf>
    <xf numFmtId="0" fontId="78" fillId="36" borderId="10" xfId="0" applyFont="1" applyFill="1" applyBorder="1" applyAlignment="1">
      <alignment horizontal="center" vertical="center"/>
    </xf>
    <xf numFmtId="0" fontId="16" fillId="36" borderId="10" xfId="0" applyFont="1" applyFill="1" applyBorder="1" applyAlignment="1">
      <alignment horizontal="center" vertical="center"/>
    </xf>
    <xf numFmtId="0" fontId="19" fillId="0" borderId="10" xfId="0" applyFont="1" applyBorder="1" applyAlignment="1">
      <alignment horizontal="center" vertical="center"/>
    </xf>
    <xf numFmtId="0" fontId="24" fillId="0" borderId="10" xfId="0" applyFont="1" applyBorder="1" applyAlignment="1">
      <alignment horizontal="center" vertical="center"/>
    </xf>
    <xf numFmtId="0" fontId="169" fillId="48" borderId="10" xfId="0" applyFont="1" applyFill="1" applyBorder="1" applyAlignment="1">
      <alignment horizontal="center"/>
    </xf>
    <xf numFmtId="0" fontId="133" fillId="0" borderId="0" xfId="0" applyFont="1" applyAlignment="1">
      <alignment horizontal="center" vertical="center"/>
    </xf>
    <xf numFmtId="0" fontId="0" fillId="0" borderId="16" xfId="0" applyBorder="1" applyAlignment="1">
      <alignment horizontal="left" vertical="top" wrapText="1"/>
    </xf>
    <xf numFmtId="0" fontId="0" fillId="0" borderId="18" xfId="0" applyBorder="1" applyAlignment="1">
      <alignment horizontal="left" vertical="top" wrapText="1"/>
    </xf>
    <xf numFmtId="0" fontId="0" fillId="0" borderId="17" xfId="0" applyBorder="1" applyAlignment="1">
      <alignment horizontal="left" vertical="top" wrapText="1"/>
    </xf>
    <xf numFmtId="0" fontId="95" fillId="67" borderId="13" xfId="0" applyFont="1" applyFill="1" applyBorder="1" applyAlignment="1">
      <alignment vertical="top" wrapText="1"/>
    </xf>
    <xf numFmtId="0" fontId="95" fillId="67" borderId="14" xfId="0" applyFont="1" applyFill="1" applyBorder="1" applyAlignment="1">
      <alignment vertical="top" wrapText="1"/>
    </xf>
    <xf numFmtId="0" fontId="94" fillId="67" borderId="0" xfId="0" applyFont="1" applyFill="1" applyAlignment="1">
      <alignment vertical="top" wrapText="1"/>
    </xf>
    <xf numFmtId="0" fontId="94" fillId="67" borderId="15" xfId="0" applyFont="1" applyFill="1" applyBorder="1" applyAlignment="1">
      <alignment vertical="top" wrapText="1"/>
    </xf>
  </cellXfs>
  <cellStyles count="43">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88">
    <dxf>
      <font>
        <color rgb="FF9C0006"/>
      </font>
      <fill>
        <patternFill>
          <bgColor rgb="FFFFC7CE"/>
        </patternFill>
      </fill>
    </dxf>
    <dxf>
      <fill>
        <patternFill>
          <bgColor theme="5" tint="0.79998168889431442"/>
        </patternFill>
      </fill>
    </dxf>
    <dxf>
      <fill>
        <patternFill>
          <bgColor theme="8" tint="0.79998168889431442"/>
        </patternFill>
      </fill>
    </dxf>
    <dxf>
      <fill>
        <patternFill>
          <bgColor theme="9" tint="0.79998168889431442"/>
        </patternFill>
      </fill>
    </dxf>
    <dxf>
      <fill>
        <patternFill>
          <bgColor theme="4" tint="0.79998168889431442"/>
        </patternFill>
      </fill>
    </dxf>
    <dxf>
      <fill>
        <patternFill>
          <bgColor rgb="FF00FF00"/>
        </patternFill>
      </fill>
    </dxf>
    <dxf>
      <fill>
        <patternFill>
          <bgColor rgb="FFCC99FF"/>
        </patternFill>
      </fill>
    </dxf>
    <dxf>
      <fill>
        <patternFill>
          <bgColor rgb="FFFFC000"/>
        </patternFill>
      </fill>
    </dxf>
    <dxf>
      <fill>
        <patternFill>
          <bgColor theme="7" tint="0.79998168889431442"/>
        </patternFill>
      </fill>
    </dxf>
    <dxf>
      <fill>
        <patternFill>
          <bgColor theme="7" tint="0.39994506668294322"/>
        </patternFill>
      </fill>
    </dxf>
    <dxf>
      <fill>
        <patternFill>
          <bgColor rgb="FFFF66FF"/>
        </patternFill>
      </fill>
    </dxf>
    <dxf>
      <fill>
        <patternFill>
          <bgColor theme="2" tint="-9.9948118533890809E-2"/>
        </patternFill>
      </fill>
    </dxf>
    <dxf>
      <fill>
        <patternFill>
          <bgColor rgb="FF92D050"/>
        </patternFill>
      </fill>
    </dxf>
    <dxf>
      <fill>
        <patternFill>
          <bgColor rgb="FFFFC000"/>
        </patternFill>
      </fill>
    </dxf>
    <dxf>
      <fill>
        <patternFill>
          <bgColor rgb="FFFF0000"/>
        </patternFill>
      </fill>
    </dxf>
    <dxf>
      <font>
        <color rgb="FF9C0006"/>
      </font>
      <fill>
        <patternFill>
          <bgColor rgb="FFFFC7CE"/>
        </patternFill>
      </fill>
    </dxf>
    <dxf>
      <fill>
        <patternFill>
          <bgColor rgb="FFFFC000"/>
        </patternFill>
      </fill>
    </dxf>
    <dxf>
      <fill>
        <patternFill>
          <bgColor theme="1" tint="4.9989318521683403E-2"/>
        </patternFill>
      </fill>
    </dxf>
    <dxf>
      <fill>
        <patternFill>
          <bgColor rgb="FFFFC000"/>
        </patternFill>
      </fill>
    </dxf>
    <dxf>
      <fill>
        <patternFill>
          <bgColor rgb="FFFF0000"/>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1" tint="4.9989318521683403E-2"/>
        </patternFill>
      </fill>
    </dxf>
    <dxf>
      <fill>
        <patternFill>
          <bgColor theme="1" tint="4.9989318521683403E-2"/>
        </patternFill>
      </fill>
    </dxf>
    <dxf>
      <fill>
        <patternFill>
          <bgColor theme="1"/>
        </patternFill>
      </fill>
    </dxf>
    <dxf>
      <fill>
        <patternFill>
          <bgColor rgb="FFFF0000"/>
        </patternFill>
      </fill>
    </dxf>
    <dxf>
      <fill>
        <patternFill>
          <bgColor theme="1" tint="4.9989318521683403E-2"/>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theme="1" tint="4.9989318521683403E-2"/>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theme="5"/>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00B050"/>
        </patternFill>
      </fill>
    </dxf>
    <dxf>
      <fill>
        <patternFill>
          <bgColor theme="1"/>
        </patternFill>
      </fill>
    </dxf>
    <dxf>
      <fill>
        <patternFill>
          <bgColor rgb="FF00B050"/>
        </patternFill>
      </fill>
    </dxf>
    <dxf>
      <fill>
        <patternFill>
          <bgColor rgb="FF00B050"/>
        </patternFill>
      </fill>
    </dxf>
    <dxf>
      <fill>
        <patternFill>
          <bgColor theme="1" tint="4.9989318521683403E-2"/>
        </patternFill>
      </fill>
    </dxf>
    <dxf>
      <fill>
        <patternFill>
          <bgColor rgb="FF00B050"/>
        </patternFill>
      </fill>
    </dxf>
    <dxf>
      <fill>
        <patternFill>
          <bgColor theme="1" tint="4.9989318521683403E-2"/>
        </patternFill>
      </fill>
    </dxf>
    <dxf>
      <fill>
        <patternFill>
          <bgColor rgb="FF00B050"/>
        </patternFill>
      </fill>
    </dxf>
    <dxf>
      <fill>
        <patternFill>
          <bgColor rgb="FFFFC000"/>
        </patternFill>
      </fill>
    </dxf>
    <dxf>
      <fill>
        <patternFill>
          <bgColor rgb="FFFF0000"/>
        </patternFill>
      </fill>
    </dxf>
    <dxf>
      <fill>
        <patternFill>
          <bgColor rgb="FFFF0000"/>
        </patternFill>
      </fill>
    </dxf>
    <dxf>
      <font>
        <color rgb="FF9C0006"/>
      </font>
      <fill>
        <patternFill>
          <bgColor rgb="FFFFC7CE"/>
        </patternFill>
      </fill>
    </dxf>
    <dxf>
      <fill>
        <patternFill>
          <bgColor theme="5" tint="0.79998168889431442"/>
        </patternFill>
      </fill>
    </dxf>
    <dxf>
      <fill>
        <patternFill>
          <bgColor theme="4" tint="0.59996337778862885"/>
        </patternFill>
      </fill>
    </dxf>
    <dxf>
      <fill>
        <patternFill>
          <bgColor rgb="FFCC66FF"/>
        </patternFill>
      </fill>
    </dxf>
    <dxf>
      <fill>
        <patternFill>
          <bgColor theme="9" tint="0.79998168889431442"/>
        </patternFill>
      </fill>
    </dxf>
    <dxf>
      <font>
        <color rgb="FF9C0006"/>
      </font>
      <fill>
        <patternFill>
          <bgColor rgb="FFFFC7CE"/>
        </patternFill>
      </fill>
    </dxf>
    <dxf>
      <fill>
        <patternFill>
          <bgColor theme="2" tint="-9.9948118533890809E-2"/>
        </patternFill>
      </fill>
    </dxf>
    <dxf>
      <fill>
        <patternFill>
          <bgColor rgb="FFCC99FF"/>
        </patternFill>
      </fill>
    </dxf>
    <dxf>
      <fill>
        <patternFill>
          <bgColor rgb="FFFFC000"/>
        </patternFill>
      </fill>
    </dxf>
    <dxf>
      <fill>
        <patternFill>
          <bgColor theme="7" tint="0.79998168889431442"/>
        </patternFill>
      </fill>
    </dxf>
    <dxf>
      <fill>
        <patternFill>
          <bgColor rgb="FFFF66FF"/>
        </patternFill>
      </fill>
    </dxf>
    <dxf>
      <fill>
        <patternFill>
          <bgColor theme="9" tint="0.39994506668294322"/>
        </patternFill>
      </fill>
    </dxf>
    <dxf>
      <fill>
        <patternFill>
          <bgColor theme="4" tint="0.59996337778862885"/>
        </patternFill>
      </fill>
    </dxf>
    <dxf>
      <fill>
        <patternFill>
          <bgColor theme="7" tint="0.59996337778862885"/>
        </patternFill>
      </fill>
    </dxf>
    <dxf>
      <fill>
        <patternFill>
          <bgColor rgb="FF43E957"/>
        </patternFill>
      </fill>
    </dxf>
  </dxfs>
  <tableStyles count="1" defaultTableStyle="TableStyleMedium2" defaultPivotStyle="PivotStyleLight16">
    <tableStyle name="Invisible" pivot="0" table="0" count="0" xr9:uid="{36ACC6AA-6285-41BA-81CA-4F089CF21105}"/>
  </tableStyles>
  <colors>
    <mruColors>
      <color rgb="FF00FF00"/>
      <color rgb="FFCC99FF"/>
      <color rgb="FF9966FF"/>
      <color rgb="FF00FF99"/>
      <color rgb="FFFF66FF"/>
      <color rgb="FF43E957"/>
      <color rgb="FFCC66FF"/>
      <color rgb="FFFF99FF"/>
      <color rgb="FF66FF33"/>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06/relationships/rdRichValue" Target="richData/rdrichvalue.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microsoft.com/office/2017/06/relationships/rdRichValueTypes" Target="richData/rdRichValueTyp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rgbClr val="FF0000"/>
              </a:solidFill>
              <a:round/>
            </a:ln>
            <a:effectLst/>
          </c:spPr>
          <c:marker>
            <c:symbol val="circle"/>
            <c:size val="5"/>
            <c:spPr>
              <a:solidFill>
                <a:schemeClr val="accent1"/>
              </a:solidFill>
              <a:ln w="9525">
                <a:solidFill>
                  <a:schemeClr val="accent1"/>
                </a:solidFill>
              </a:ln>
              <a:effectLst/>
            </c:spPr>
          </c:marker>
          <c:cat>
            <c:strRef>
              <c:f>RRImmédiat!$A$70:$A$79</c:f>
              <c:strCache>
                <c:ptCount val="10"/>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strCache>
            </c:strRef>
          </c:cat>
          <c:val>
            <c:numRef>
              <c:f>RRImmédiat!$C$70:$C$79</c:f>
              <c:numCache>
                <c:formatCode>General</c:formatCode>
                <c:ptCount val="10"/>
                <c:pt idx="0">
                  <c:v>2.4</c:v>
                </c:pt>
                <c:pt idx="1">
                  <c:v>1.6</c:v>
                </c:pt>
                <c:pt idx="2">
                  <c:v>1.2</c:v>
                </c:pt>
                <c:pt idx="3">
                  <c:v>2</c:v>
                </c:pt>
                <c:pt idx="4">
                  <c:v>3</c:v>
                </c:pt>
                <c:pt idx="5">
                  <c:v>1.2</c:v>
                </c:pt>
                <c:pt idx="6">
                  <c:v>1.2</c:v>
                </c:pt>
                <c:pt idx="7">
                  <c:v>3</c:v>
                </c:pt>
                <c:pt idx="8">
                  <c:v>1.44</c:v>
                </c:pt>
                <c:pt idx="9">
                  <c:v>3</c:v>
                </c:pt>
              </c:numCache>
            </c:numRef>
          </c:val>
          <c:extLst>
            <c:ext xmlns:c16="http://schemas.microsoft.com/office/drawing/2014/chart" uri="{C3380CC4-5D6E-409C-BE32-E72D297353CC}">
              <c16:uniqueId val="{00000000-2178-46D9-8C63-F8F0AFBDF36F}"/>
            </c:ext>
          </c:extLst>
        </c:ser>
        <c:ser>
          <c:idx val="1"/>
          <c:order val="1"/>
          <c:tx>
            <c:strRef>
              <c:f>RRImmédiat!$D$70:$D$79</c:f>
              <c:strCache>
                <c:ptCount val="10"/>
                <c:pt idx="0">
                  <c:v>1</c:v>
                </c:pt>
                <c:pt idx="1">
                  <c:v>1</c:v>
                </c:pt>
                <c:pt idx="2">
                  <c:v>1</c:v>
                </c:pt>
                <c:pt idx="3">
                  <c:v>1</c:v>
                </c:pt>
                <c:pt idx="4">
                  <c:v>1</c:v>
                </c:pt>
                <c:pt idx="5">
                  <c:v>1</c:v>
                </c:pt>
                <c:pt idx="6">
                  <c:v>1</c:v>
                </c:pt>
                <c:pt idx="7">
                  <c:v>1</c:v>
                </c:pt>
                <c:pt idx="8">
                  <c:v>1</c:v>
                </c:pt>
                <c:pt idx="9">
                  <c:v>1</c:v>
                </c:pt>
              </c:strCache>
            </c:strRef>
          </c:tx>
          <c:spPr>
            <a:ln w="28575" cap="rnd">
              <a:solidFill>
                <a:srgbClr val="00B0F0"/>
              </a:solidFill>
              <a:round/>
            </a:ln>
            <a:effectLst/>
          </c:spPr>
          <c:marker>
            <c:symbol val="none"/>
          </c:marker>
          <c:dPt>
            <c:idx val="9"/>
            <c:marker>
              <c:symbol val="none"/>
            </c:marker>
            <c:bubble3D val="0"/>
            <c:spPr>
              <a:ln w="12700" cap="rnd">
                <a:solidFill>
                  <a:srgbClr val="00B0F0"/>
                </a:solidFill>
                <a:round/>
              </a:ln>
              <a:effectLst/>
            </c:spPr>
            <c:extLst>
              <c:ext xmlns:c16="http://schemas.microsoft.com/office/drawing/2014/chart" uri="{C3380CC4-5D6E-409C-BE32-E72D297353CC}">
                <c16:uniqueId val="{00000004-2178-46D9-8C63-F8F0AFBDF36F}"/>
              </c:ext>
            </c:extLst>
          </c:dPt>
          <c:val>
            <c:numRef>
              <c:f>RRImmédiat!$D$70:$D$79</c:f>
              <c:numCache>
                <c:formatCode>General</c:formatCode>
                <c:ptCount val="10"/>
                <c:pt idx="0">
                  <c:v>1</c:v>
                </c:pt>
                <c:pt idx="1">
                  <c:v>1</c:v>
                </c:pt>
                <c:pt idx="2">
                  <c:v>1</c:v>
                </c:pt>
                <c:pt idx="3">
                  <c:v>1</c:v>
                </c:pt>
                <c:pt idx="4">
                  <c:v>1</c:v>
                </c:pt>
                <c:pt idx="5">
                  <c:v>1</c:v>
                </c:pt>
                <c:pt idx="6">
                  <c:v>1</c:v>
                </c:pt>
                <c:pt idx="7">
                  <c:v>1</c:v>
                </c:pt>
                <c:pt idx="8">
                  <c:v>1</c:v>
                </c:pt>
                <c:pt idx="9">
                  <c:v>1</c:v>
                </c:pt>
              </c:numCache>
            </c:numRef>
          </c:val>
          <c:extLst>
            <c:ext xmlns:c16="http://schemas.microsoft.com/office/drawing/2014/chart" uri="{C3380CC4-5D6E-409C-BE32-E72D297353CC}">
              <c16:uniqueId val="{00000001-2178-46D9-8C63-F8F0AFBDF36F}"/>
            </c:ext>
          </c:extLst>
        </c:ser>
        <c:ser>
          <c:idx val="2"/>
          <c:order val="2"/>
          <c:spPr>
            <a:ln w="12700" cap="rnd">
              <a:solidFill>
                <a:srgbClr val="FF66FF"/>
              </a:solidFill>
              <a:round/>
            </a:ln>
            <a:effectLst/>
          </c:spPr>
          <c:marker>
            <c:symbol val="none"/>
          </c:marker>
          <c:val>
            <c:numRef>
              <c:f>RRImmédiat!$E$70:$E$79</c:f>
              <c:numCache>
                <c:formatCode>General</c:formatCode>
                <c:ptCount val="10"/>
                <c:pt idx="0">
                  <c:v>2</c:v>
                </c:pt>
                <c:pt idx="1">
                  <c:v>2</c:v>
                </c:pt>
                <c:pt idx="2">
                  <c:v>2</c:v>
                </c:pt>
                <c:pt idx="3">
                  <c:v>2</c:v>
                </c:pt>
                <c:pt idx="4">
                  <c:v>2</c:v>
                </c:pt>
                <c:pt idx="5">
                  <c:v>2</c:v>
                </c:pt>
                <c:pt idx="6">
                  <c:v>2</c:v>
                </c:pt>
                <c:pt idx="7">
                  <c:v>2</c:v>
                </c:pt>
                <c:pt idx="8">
                  <c:v>2</c:v>
                </c:pt>
                <c:pt idx="9">
                  <c:v>2</c:v>
                </c:pt>
              </c:numCache>
            </c:numRef>
          </c:val>
          <c:extLst>
            <c:ext xmlns:c16="http://schemas.microsoft.com/office/drawing/2014/chart" uri="{C3380CC4-5D6E-409C-BE32-E72D297353CC}">
              <c16:uniqueId val="{00000002-2178-46D9-8C63-F8F0AFBDF36F}"/>
            </c:ext>
          </c:extLst>
        </c:ser>
        <c:dLbls>
          <c:showLegendKey val="0"/>
          <c:showVal val="0"/>
          <c:showCatName val="0"/>
          <c:showSerName val="0"/>
          <c:showPercent val="0"/>
          <c:showBubbleSize val="0"/>
        </c:dLbls>
        <c:axId val="895338703"/>
        <c:axId val="896454335"/>
      </c:radarChart>
      <c:catAx>
        <c:axId val="8953387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fr-FR"/>
          </a:p>
        </c:txPr>
        <c:crossAx val="896454335"/>
        <c:crosses val="autoZero"/>
        <c:auto val="1"/>
        <c:lblAlgn val="ctr"/>
        <c:lblOffset val="100"/>
        <c:noMultiLvlLbl val="0"/>
      </c:catAx>
      <c:valAx>
        <c:axId val="8964543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9533870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Axes de vigilance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0"/>
          <c:order val="0"/>
          <c:spPr>
            <a:ln w="28575" cap="rnd">
              <a:solidFill>
                <a:srgbClr val="FF0000"/>
              </a:solidFill>
              <a:round/>
            </a:ln>
            <a:effectLst/>
          </c:spPr>
          <c:marker>
            <c:symbol val="circle"/>
            <c:size val="5"/>
            <c:spPr>
              <a:solidFill>
                <a:srgbClr val="FF0000"/>
              </a:solidFill>
              <a:ln w="63500">
                <a:solidFill>
                  <a:srgbClr val="FF0000"/>
                </a:solidFill>
              </a:ln>
              <a:effectLst/>
            </c:spPr>
          </c:marker>
          <c:dLbls>
            <c:delete val="1"/>
          </c:dLbls>
          <c:cat>
            <c:strRef>
              <c:f>'Analyse Globale Q'!$A$20:$A$31</c:f>
              <c:strCache>
                <c:ptCount val="12"/>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pt idx="11">
                  <c:v>Symptômes te Etat général</c:v>
                </c:pt>
              </c:strCache>
            </c:strRef>
          </c:cat>
          <c:val>
            <c:numRef>
              <c:f>'Analyse Globale Q'!$B$20:$B$31</c:f>
              <c:numCache>
                <c:formatCode>0.00</c:formatCode>
                <c:ptCount val="12"/>
                <c:pt idx="0">
                  <c:v>2.4</c:v>
                </c:pt>
                <c:pt idx="1">
                  <c:v>1.6</c:v>
                </c:pt>
                <c:pt idx="2">
                  <c:v>1.2</c:v>
                </c:pt>
                <c:pt idx="3">
                  <c:v>2</c:v>
                </c:pt>
                <c:pt idx="4">
                  <c:v>3</c:v>
                </c:pt>
                <c:pt idx="5">
                  <c:v>1.2</c:v>
                </c:pt>
                <c:pt idx="6">
                  <c:v>1.2</c:v>
                </c:pt>
                <c:pt idx="7">
                  <c:v>3</c:v>
                </c:pt>
                <c:pt idx="8">
                  <c:v>1.44</c:v>
                </c:pt>
                <c:pt idx="9">
                  <c:v>3</c:v>
                </c:pt>
                <c:pt idx="10">
                  <c:v>2</c:v>
                </c:pt>
                <c:pt idx="11">
                  <c:v>1</c:v>
                </c:pt>
              </c:numCache>
            </c:numRef>
          </c:val>
          <c:extLst>
            <c:ext xmlns:c16="http://schemas.microsoft.com/office/drawing/2014/chart" uri="{C3380CC4-5D6E-409C-BE32-E72D297353CC}">
              <c16:uniqueId val="{00000000-DD1C-4D4D-B7AB-DDB58C7F3029}"/>
            </c:ext>
          </c:extLst>
        </c:ser>
        <c:ser>
          <c:idx val="1"/>
          <c:order val="1"/>
          <c:spPr>
            <a:ln w="28575" cap="rnd">
              <a:solidFill>
                <a:schemeClr val="accent1">
                  <a:lumMod val="40000"/>
                  <a:lumOff val="60000"/>
                </a:schemeClr>
              </a:solidFill>
              <a:round/>
            </a:ln>
            <a:effectLst/>
          </c:spPr>
          <c:marker>
            <c:symbol val="none"/>
          </c:marker>
          <c:dLbls>
            <c:delete val="1"/>
          </c:dLbls>
          <c:cat>
            <c:strRef>
              <c:f>'Analyse Globale Q'!$A$20:$A$31</c:f>
              <c:strCache>
                <c:ptCount val="12"/>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pt idx="11">
                  <c:v>Symptômes te Etat général</c:v>
                </c:pt>
              </c:strCache>
            </c:strRef>
          </c:cat>
          <c:val>
            <c:numRef>
              <c:f>'Analyse Globale Q'!$C$20:$C$31</c:f>
              <c:numCache>
                <c:formatCode>General</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0-D4EF-46A0-A4CB-7706206766C0}"/>
            </c:ext>
          </c:extLst>
        </c:ser>
        <c:ser>
          <c:idx val="2"/>
          <c:order val="2"/>
          <c:spPr>
            <a:ln w="28575" cap="rnd">
              <a:solidFill>
                <a:srgbClr val="0070C0"/>
              </a:solidFill>
              <a:round/>
            </a:ln>
            <a:effectLst/>
          </c:spPr>
          <c:marker>
            <c:symbol val="none"/>
          </c:marker>
          <c:dLbls>
            <c:delete val="1"/>
          </c:dLbls>
          <c:cat>
            <c:strRef>
              <c:f>'Analyse Globale Q'!$A$20:$A$31</c:f>
              <c:strCache>
                <c:ptCount val="12"/>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pt idx="11">
                  <c:v>Symptômes te Etat général</c:v>
                </c:pt>
              </c:strCache>
            </c:strRef>
          </c:cat>
          <c:val>
            <c:numRef>
              <c:f>'Analyse Globale Q'!$D$20:$D$31</c:f>
              <c:numCache>
                <c:formatCode>General</c:formatCode>
                <c:ptCount val="12"/>
                <c:pt idx="0">
                  <c:v>2</c:v>
                </c:pt>
                <c:pt idx="1">
                  <c:v>2</c:v>
                </c:pt>
                <c:pt idx="2">
                  <c:v>2</c:v>
                </c:pt>
                <c:pt idx="3">
                  <c:v>2</c:v>
                </c:pt>
                <c:pt idx="4">
                  <c:v>2</c:v>
                </c:pt>
                <c:pt idx="5">
                  <c:v>2</c:v>
                </c:pt>
                <c:pt idx="6">
                  <c:v>2</c:v>
                </c:pt>
                <c:pt idx="7">
                  <c:v>2</c:v>
                </c:pt>
                <c:pt idx="8">
                  <c:v>2</c:v>
                </c:pt>
                <c:pt idx="9">
                  <c:v>2</c:v>
                </c:pt>
                <c:pt idx="10">
                  <c:v>2</c:v>
                </c:pt>
                <c:pt idx="11">
                  <c:v>2</c:v>
                </c:pt>
              </c:numCache>
            </c:numRef>
          </c:val>
          <c:extLst>
            <c:ext xmlns:c16="http://schemas.microsoft.com/office/drawing/2014/chart" uri="{C3380CC4-5D6E-409C-BE32-E72D297353CC}">
              <c16:uniqueId val="{00000001-D4EF-46A0-A4CB-7706206766C0}"/>
            </c:ext>
          </c:extLst>
        </c:ser>
        <c:ser>
          <c:idx val="3"/>
          <c:order val="3"/>
          <c:spPr>
            <a:ln w="28575" cap="rnd">
              <a:solidFill>
                <a:srgbClr val="7030A0"/>
              </a:solidFill>
              <a:round/>
            </a:ln>
            <a:effectLst/>
          </c:spPr>
          <c:marker>
            <c:symbol val="none"/>
          </c:marker>
          <c:dLbls>
            <c:delete val="1"/>
          </c:dLbls>
          <c:cat>
            <c:strRef>
              <c:f>'Analyse Globale Q'!$A$20:$A$31</c:f>
              <c:strCache>
                <c:ptCount val="12"/>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pt idx="11">
                  <c:v>Symptômes te Etat général</c:v>
                </c:pt>
              </c:strCache>
            </c:strRef>
          </c:cat>
          <c:val>
            <c:numRef>
              <c:f>'Analyse Globale Q'!$E$20:$E$31</c:f>
              <c:numCache>
                <c:formatCode>General</c:formatCode>
                <c:ptCount val="12"/>
                <c:pt idx="0">
                  <c:v>3</c:v>
                </c:pt>
                <c:pt idx="1">
                  <c:v>3</c:v>
                </c:pt>
                <c:pt idx="2">
                  <c:v>3</c:v>
                </c:pt>
                <c:pt idx="3">
                  <c:v>3</c:v>
                </c:pt>
                <c:pt idx="4">
                  <c:v>3</c:v>
                </c:pt>
                <c:pt idx="5">
                  <c:v>3</c:v>
                </c:pt>
                <c:pt idx="6">
                  <c:v>3</c:v>
                </c:pt>
                <c:pt idx="7">
                  <c:v>3</c:v>
                </c:pt>
                <c:pt idx="8">
                  <c:v>3</c:v>
                </c:pt>
                <c:pt idx="9">
                  <c:v>3</c:v>
                </c:pt>
                <c:pt idx="10">
                  <c:v>3</c:v>
                </c:pt>
                <c:pt idx="11">
                  <c:v>3</c:v>
                </c:pt>
              </c:numCache>
            </c:numRef>
          </c:val>
          <c:extLst>
            <c:ext xmlns:c16="http://schemas.microsoft.com/office/drawing/2014/chart" uri="{C3380CC4-5D6E-409C-BE32-E72D297353CC}">
              <c16:uniqueId val="{00000002-D4EF-46A0-A4CB-7706206766C0}"/>
            </c:ext>
          </c:extLst>
        </c:ser>
        <c:dLbls>
          <c:showLegendKey val="0"/>
          <c:showVal val="1"/>
          <c:showCatName val="0"/>
          <c:showSerName val="0"/>
          <c:showPercent val="0"/>
          <c:showBubbleSize val="0"/>
        </c:dLbls>
        <c:axId val="1068242943"/>
        <c:axId val="1068253503"/>
      </c:radarChart>
      <c:catAx>
        <c:axId val="1068242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fr-FR"/>
          </a:p>
        </c:txPr>
        <c:crossAx val="1068253503"/>
        <c:crosses val="autoZero"/>
        <c:auto val="1"/>
        <c:lblAlgn val="ctr"/>
        <c:lblOffset val="100"/>
        <c:noMultiLvlLbl val="0"/>
      </c:catAx>
      <c:valAx>
        <c:axId val="1068253503"/>
        <c:scaling>
          <c:orientation val="minMax"/>
        </c:scaling>
        <c:delete val="1"/>
        <c:axPos val="l"/>
        <c:majorGridlines>
          <c:spPr>
            <a:ln w="9525" cap="flat" cmpd="sng" algn="ctr">
              <a:noFill/>
              <a:round/>
            </a:ln>
            <a:effectLst/>
          </c:spPr>
        </c:majorGridlines>
        <c:numFmt formatCode="0.00" sourceLinked="1"/>
        <c:majorTickMark val="none"/>
        <c:minorTickMark val="none"/>
        <c:tickLblPos val="nextTo"/>
        <c:crossAx val="1068242943"/>
        <c:crosses val="autoZero"/>
        <c:crossBetween val="between"/>
        <c:majorUnit val="0.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noFill/>
              <a:round/>
            </a:ln>
            <a:effectLst/>
          </c:spPr>
          <c:marker>
            <c:symbol val="circle"/>
            <c:size val="5"/>
            <c:spPr>
              <a:solidFill>
                <a:srgbClr val="FF0000"/>
              </a:solidFill>
              <a:ln w="82550">
                <a:solidFill>
                  <a:srgbClr val="FF0000"/>
                </a:solidFill>
              </a:ln>
              <a:effectLst/>
            </c:spPr>
          </c:marker>
          <c:cat>
            <c:strRef>
              <c:f>'Analyse Globale Q'!$A$2:$A$15</c:f>
              <c:strCache>
                <c:ptCount val="14"/>
                <c:pt idx="0">
                  <c:v> Symptomes (100% aucun symptome)</c:v>
                </c:pt>
                <c:pt idx="1">
                  <c:v> Qualité de vie 100% aucun trouble)</c:v>
                </c:pt>
                <c:pt idx="2">
                  <c:v> Qualité du sommeil, Fatigue (100% aucun trouble)</c:v>
                </c:pt>
                <c:pt idx="3">
                  <c:v> Pollution aerienne(100% aucune pollution)</c:v>
                </c:pt>
                <c:pt idx="4">
                  <c:v> Qualité Nutrition 100% bonne</c:v>
                </c:pt>
                <c:pt idx="5">
                  <c:v> Activité (100% bonne)</c:v>
                </c:pt>
                <c:pt idx="6">
                  <c:v> Medications (100% pas de polymédication)</c:v>
                </c:pt>
                <c:pt idx="7">
                  <c:v>Charge sociale et mentale (100% aucune charge sociale)</c:v>
                </c:pt>
                <c:pt idx="8">
                  <c:v>Addiction (aucune 100%)</c:v>
                </c:pt>
                <c:pt idx="9">
                  <c:v>Exposition IST (100% aucune)</c:v>
                </c:pt>
                <c:pt idx="10">
                  <c:v>Sensibilité cutanée UV(100% faible sensibilité)</c:v>
                </c:pt>
                <c:pt idx="11">
                  <c:v>Santé mentale et vieillissement cérébral</c:v>
                </c:pt>
                <c:pt idx="12">
                  <c:v>Couverture vaccinale</c:v>
                </c:pt>
                <c:pt idx="13">
                  <c:v>Couverture dépistage</c:v>
                </c:pt>
              </c:strCache>
            </c:strRef>
          </c:cat>
          <c:val>
            <c:numRef>
              <c:f>'Analyse Globale Q'!$B$2:$B$15</c:f>
              <c:numCache>
                <c:formatCode>0.00</c:formatCode>
                <c:ptCount val="14"/>
                <c:pt idx="0">
                  <c:v>0.32142857142857129</c:v>
                </c:pt>
                <c:pt idx="1">
                  <c:v>0.82352941176470584</c:v>
                </c:pt>
                <c:pt idx="2">
                  <c:v>0.5</c:v>
                </c:pt>
                <c:pt idx="3">
                  <c:v>0.9</c:v>
                </c:pt>
                <c:pt idx="4">
                  <c:v>0.42105263157894735</c:v>
                </c:pt>
                <c:pt idx="5">
                  <c:v>0</c:v>
                </c:pt>
                <c:pt idx="6">
                  <c:v>0.7</c:v>
                </c:pt>
                <c:pt idx="7">
                  <c:v>0</c:v>
                </c:pt>
                <c:pt idx="8">
                  <c:v>0.8</c:v>
                </c:pt>
                <c:pt idx="9">
                  <c:v>1</c:v>
                </c:pt>
                <c:pt idx="10">
                  <c:v>1</c:v>
                </c:pt>
                <c:pt idx="11">
                  <c:v>0.75</c:v>
                </c:pt>
                <c:pt idx="12">
                  <c:v>0.55555555555555558</c:v>
                </c:pt>
                <c:pt idx="13">
                  <c:v>0.2</c:v>
                </c:pt>
              </c:numCache>
            </c:numRef>
          </c:val>
          <c:extLst>
            <c:ext xmlns:c16="http://schemas.microsoft.com/office/drawing/2014/chart" uri="{C3380CC4-5D6E-409C-BE32-E72D297353CC}">
              <c16:uniqueId val="{00000000-4960-4832-8BEA-A592BB72821E}"/>
            </c:ext>
          </c:extLst>
        </c:ser>
        <c:ser>
          <c:idx val="1"/>
          <c:order val="1"/>
          <c:spPr>
            <a:ln w="28575" cap="rnd">
              <a:solidFill>
                <a:schemeClr val="accent2"/>
              </a:solidFill>
              <a:round/>
            </a:ln>
            <a:effectLst/>
          </c:spPr>
          <c:marker>
            <c:symbol val="none"/>
          </c:marker>
          <c:cat>
            <c:strRef>
              <c:f>'Analyse Globale Q'!$A$2:$A$15</c:f>
              <c:strCache>
                <c:ptCount val="14"/>
                <c:pt idx="0">
                  <c:v> Symptomes (100% aucun symptome)</c:v>
                </c:pt>
                <c:pt idx="1">
                  <c:v> Qualité de vie 100% aucun trouble)</c:v>
                </c:pt>
                <c:pt idx="2">
                  <c:v> Qualité du sommeil, Fatigue (100% aucun trouble)</c:v>
                </c:pt>
                <c:pt idx="3">
                  <c:v> Pollution aerienne(100% aucune pollution)</c:v>
                </c:pt>
                <c:pt idx="4">
                  <c:v> Qualité Nutrition 100% bonne</c:v>
                </c:pt>
                <c:pt idx="5">
                  <c:v> Activité (100% bonne)</c:v>
                </c:pt>
                <c:pt idx="6">
                  <c:v> Medications (100% pas de polymédication)</c:v>
                </c:pt>
                <c:pt idx="7">
                  <c:v>Charge sociale et mentale (100% aucune charge sociale)</c:v>
                </c:pt>
                <c:pt idx="8">
                  <c:v>Addiction (aucune 100%)</c:v>
                </c:pt>
                <c:pt idx="9">
                  <c:v>Exposition IST (100% aucune)</c:v>
                </c:pt>
                <c:pt idx="10">
                  <c:v>Sensibilité cutanée UV(100% faible sensibilité)</c:v>
                </c:pt>
                <c:pt idx="11">
                  <c:v>Santé mentale et vieillissement cérébral</c:v>
                </c:pt>
                <c:pt idx="12">
                  <c:v>Couverture vaccinale</c:v>
                </c:pt>
                <c:pt idx="13">
                  <c:v>Couverture dépistage</c:v>
                </c:pt>
              </c:strCache>
            </c:strRef>
          </c:cat>
          <c:val>
            <c:numRef>
              <c:f>'Analyse Globale Q'!$C$2:$C$15</c:f>
              <c:numCache>
                <c:formatCode>General</c:formatCode>
                <c:ptCount val="14"/>
                <c:pt idx="0">
                  <c:v>1</c:v>
                </c:pt>
                <c:pt idx="1">
                  <c:v>1</c:v>
                </c:pt>
                <c:pt idx="2">
                  <c:v>1</c:v>
                </c:pt>
                <c:pt idx="3">
                  <c:v>1</c:v>
                </c:pt>
                <c:pt idx="4">
                  <c:v>1</c:v>
                </c:pt>
                <c:pt idx="5">
                  <c:v>1</c:v>
                </c:pt>
                <c:pt idx="6">
                  <c:v>1</c:v>
                </c:pt>
                <c:pt idx="7">
                  <c:v>1</c:v>
                </c:pt>
                <c:pt idx="8">
                  <c:v>1</c:v>
                </c:pt>
                <c:pt idx="9">
                  <c:v>1</c:v>
                </c:pt>
                <c:pt idx="10">
                  <c:v>1</c:v>
                </c:pt>
                <c:pt idx="11">
                  <c:v>1</c:v>
                </c:pt>
                <c:pt idx="12">
                  <c:v>1</c:v>
                </c:pt>
                <c:pt idx="13">
                  <c:v>1</c:v>
                </c:pt>
              </c:numCache>
            </c:numRef>
          </c:val>
          <c:extLst>
            <c:ext xmlns:c16="http://schemas.microsoft.com/office/drawing/2014/chart" uri="{C3380CC4-5D6E-409C-BE32-E72D297353CC}">
              <c16:uniqueId val="{00000001-4960-4832-8BEA-A592BB72821E}"/>
            </c:ext>
          </c:extLst>
        </c:ser>
        <c:dLbls>
          <c:showLegendKey val="0"/>
          <c:showVal val="0"/>
          <c:showCatName val="0"/>
          <c:showSerName val="0"/>
          <c:showPercent val="0"/>
          <c:showBubbleSize val="0"/>
        </c:dLbls>
        <c:axId val="1825661072"/>
        <c:axId val="1825662512"/>
      </c:radarChart>
      <c:catAx>
        <c:axId val="1825661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1825662512"/>
        <c:crosses val="autoZero"/>
        <c:auto val="1"/>
        <c:lblAlgn val="ctr"/>
        <c:lblOffset val="100"/>
        <c:noMultiLvlLbl val="0"/>
      </c:catAx>
      <c:valAx>
        <c:axId val="1825662512"/>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1825661072"/>
        <c:crosses val="autoZero"/>
        <c:crossBetween val="between"/>
      </c:valAx>
      <c:spPr>
        <a:noFill/>
        <a:ln w="9525">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chemeClr val="tx1">
                    <a:lumMod val="65000"/>
                    <a:lumOff val="35000"/>
                  </a:schemeClr>
                </a:solidFill>
                <a:latin typeface="+mn-lt"/>
                <a:ea typeface="+mn-ea"/>
                <a:cs typeface="+mn-cs"/>
              </a:defRPr>
            </a:pPr>
            <a:r>
              <a:rPr lang="fr-FR"/>
              <a:t>Environnement</a:t>
            </a:r>
            <a:r>
              <a:rPr lang="fr-FR" baseline="0"/>
              <a:t>  et habitudes de vie</a:t>
            </a:r>
            <a:endParaRPr lang="fr-FR"/>
          </a:p>
        </c:rich>
      </c:tx>
      <c:overlay val="0"/>
      <c:spPr>
        <a:noFill/>
        <a:ln>
          <a:noFill/>
        </a:ln>
        <a:effectLst/>
      </c:spPr>
      <c:txPr>
        <a:bodyPr rot="0" spcFirstLastPara="1" vertOverflow="ellipsis" vert="horz" wrap="square" anchor="ctr" anchorCtr="1"/>
        <a:lstStyle/>
        <a:p>
          <a:pPr>
            <a:defRPr sz="144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0"/>
          <c:order val="0"/>
          <c:spPr>
            <a:ln w="28575" cap="rnd">
              <a:noFill/>
              <a:round/>
            </a:ln>
            <a:effectLst/>
          </c:spPr>
          <c:marker>
            <c:symbol val="circle"/>
            <c:size val="12"/>
            <c:spPr>
              <a:solidFill>
                <a:srgbClr val="FF0000"/>
              </a:solidFill>
              <a:ln w="9525">
                <a:noFill/>
              </a:ln>
              <a:effectLst/>
            </c:spPr>
          </c:marker>
          <c:cat>
            <c:strRef>
              <c:f>'Analyse Globale Q'!$A$36:$A$46</c:f>
              <c:strCache>
                <c:ptCount val="11"/>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pt idx="10">
                  <c:v>Dépendance Autonomie</c:v>
                </c:pt>
              </c:strCache>
            </c:strRef>
          </c:cat>
          <c:val>
            <c:numRef>
              <c:f>'Analyse Globale Q'!$B$36:$B$46</c:f>
              <c:numCache>
                <c:formatCode>0.00</c:formatCode>
                <c:ptCount val="11"/>
                <c:pt idx="0">
                  <c:v>0.5</c:v>
                </c:pt>
                <c:pt idx="1">
                  <c:v>9.9999999999999978E-2</c:v>
                </c:pt>
                <c:pt idx="2">
                  <c:v>0.57894736842105265</c:v>
                </c:pt>
                <c:pt idx="3">
                  <c:v>1</c:v>
                </c:pt>
                <c:pt idx="4">
                  <c:v>0.30000000000000004</c:v>
                </c:pt>
                <c:pt idx="5">
                  <c:v>1</c:v>
                </c:pt>
                <c:pt idx="6">
                  <c:v>0.19999999999999996</c:v>
                </c:pt>
                <c:pt idx="7">
                  <c:v>0</c:v>
                </c:pt>
                <c:pt idx="8">
                  <c:v>0</c:v>
                </c:pt>
                <c:pt idx="9">
                  <c:v>0.8</c:v>
                </c:pt>
                <c:pt idx="10">
                  <c:v>0.8</c:v>
                </c:pt>
              </c:numCache>
            </c:numRef>
          </c:val>
          <c:extLst>
            <c:ext xmlns:c16="http://schemas.microsoft.com/office/drawing/2014/chart" uri="{C3380CC4-5D6E-409C-BE32-E72D297353CC}">
              <c16:uniqueId val="{00000000-585B-4227-9603-D5CC94EEF4C7}"/>
            </c:ext>
          </c:extLst>
        </c:ser>
        <c:ser>
          <c:idx val="1"/>
          <c:order val="1"/>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'Analyse Globale Q'!$A$36:$A$46</c:f>
              <c:strCache>
                <c:ptCount val="11"/>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pt idx="10">
                  <c:v>Dépendance Autonomie</c:v>
                </c:pt>
              </c:strCache>
            </c:strRef>
          </c:cat>
          <c:val>
            <c:numRef>
              <c:f>'Analyse Globale Q'!$C$36:$C$46</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585B-4227-9603-D5CC94EEF4C7}"/>
            </c:ext>
          </c:extLst>
        </c:ser>
        <c:ser>
          <c:idx val="2"/>
          <c:order val="2"/>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'Analyse Globale Q'!$A$36:$A$46</c:f>
              <c:strCache>
                <c:ptCount val="11"/>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pt idx="10">
                  <c:v>Dépendance Autonomie</c:v>
                </c:pt>
              </c:strCache>
            </c:strRef>
          </c:cat>
          <c:val>
            <c:numRef>
              <c:f>'Analyse Globale Q'!$D$36:$D$46</c:f>
              <c:numCache>
                <c:formatCode>General</c:formatCode>
                <c:ptCount val="11"/>
                <c:pt idx="0">
                  <c:v>0.5</c:v>
                </c:pt>
                <c:pt idx="1">
                  <c:v>0.5</c:v>
                </c:pt>
                <c:pt idx="2">
                  <c:v>0.5</c:v>
                </c:pt>
                <c:pt idx="3">
                  <c:v>0.5</c:v>
                </c:pt>
                <c:pt idx="4">
                  <c:v>0.5</c:v>
                </c:pt>
                <c:pt idx="5">
                  <c:v>0.5</c:v>
                </c:pt>
                <c:pt idx="6">
                  <c:v>0.5</c:v>
                </c:pt>
                <c:pt idx="7">
                  <c:v>0.5</c:v>
                </c:pt>
                <c:pt idx="8">
                  <c:v>0.5</c:v>
                </c:pt>
                <c:pt idx="9">
                  <c:v>0.5</c:v>
                </c:pt>
                <c:pt idx="10">
                  <c:v>0.5</c:v>
                </c:pt>
              </c:numCache>
            </c:numRef>
          </c:val>
          <c:extLst>
            <c:ext xmlns:c16="http://schemas.microsoft.com/office/drawing/2014/chart" uri="{C3380CC4-5D6E-409C-BE32-E72D297353CC}">
              <c16:uniqueId val="{00000002-585B-4227-9603-D5CC94EEF4C7}"/>
            </c:ext>
          </c:extLst>
        </c:ser>
        <c:ser>
          <c:idx val="3"/>
          <c:order val="3"/>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'Analyse Globale Q'!$A$36:$A$46</c:f>
              <c:strCache>
                <c:ptCount val="11"/>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pt idx="10">
                  <c:v>Dépendance Autonomie</c:v>
                </c:pt>
              </c:strCache>
            </c:strRef>
          </c:cat>
          <c:val>
            <c:numRef>
              <c:f>'Analyse Globale Q'!$E$36:$E$46</c:f>
              <c:numCache>
                <c:formatCode>General</c:formatCode>
                <c:ptCount val="11"/>
                <c:pt idx="0">
                  <c:v>1</c:v>
                </c:pt>
                <c:pt idx="1">
                  <c:v>1</c:v>
                </c:pt>
                <c:pt idx="2">
                  <c:v>1</c:v>
                </c:pt>
                <c:pt idx="3">
                  <c:v>1</c:v>
                </c:pt>
                <c:pt idx="4">
                  <c:v>1</c:v>
                </c:pt>
                <c:pt idx="5">
                  <c:v>1</c:v>
                </c:pt>
                <c:pt idx="6">
                  <c:v>1</c:v>
                </c:pt>
                <c:pt idx="7">
                  <c:v>1</c:v>
                </c:pt>
                <c:pt idx="8">
                  <c:v>1</c:v>
                </c:pt>
                <c:pt idx="9">
                  <c:v>1</c:v>
                </c:pt>
                <c:pt idx="10">
                  <c:v>1</c:v>
                </c:pt>
              </c:numCache>
            </c:numRef>
          </c:val>
          <c:extLst>
            <c:ext xmlns:c16="http://schemas.microsoft.com/office/drawing/2014/chart" uri="{C3380CC4-5D6E-409C-BE32-E72D297353CC}">
              <c16:uniqueId val="{00000003-585B-4227-9603-D5CC94EEF4C7}"/>
            </c:ext>
          </c:extLst>
        </c:ser>
        <c:dLbls>
          <c:showLegendKey val="0"/>
          <c:showVal val="0"/>
          <c:showCatName val="0"/>
          <c:showSerName val="0"/>
          <c:showPercent val="0"/>
          <c:showBubbleSize val="0"/>
        </c:dLbls>
        <c:axId val="554625584"/>
        <c:axId val="554626064"/>
      </c:radarChart>
      <c:catAx>
        <c:axId val="554625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fr-FR"/>
          </a:p>
        </c:txPr>
        <c:crossAx val="554626064"/>
        <c:crosses val="autoZero"/>
        <c:auto val="1"/>
        <c:lblAlgn val="ctr"/>
        <c:lblOffset val="100"/>
        <c:noMultiLvlLbl val="0"/>
      </c:catAx>
      <c:valAx>
        <c:axId val="554626064"/>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5546255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200" b="1"/>
      </a:pPr>
      <a:endParaRPr lang="fr-F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fr-FR" b="1"/>
              <a:t>Biométrie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1"/>
          <c:order val="1"/>
          <c:spPr>
            <a:ln w="28575" cap="rnd">
              <a:solidFill>
                <a:srgbClr val="00B0F0"/>
              </a:solidFill>
              <a:round/>
            </a:ln>
            <a:effectLst/>
          </c:spPr>
          <c:marker>
            <c:symbol val="none"/>
          </c:marker>
          <c:cat>
            <c:strRef>
              <c:f>'Analyse Globale Q'!$A$48:$A$59</c:f>
              <c:strCache>
                <c:ptCount val="11"/>
                <c:pt idx="0">
                  <c:v>BMI</c:v>
                </c:pt>
                <c:pt idx="1">
                  <c:v>Presion artérielle systolique repos</c:v>
                </c:pt>
                <c:pt idx="2">
                  <c:v>Presion artérielle diastolique repos</c:v>
                </c:pt>
                <c:pt idx="3">
                  <c:v>Fréquence cardiaque repos</c:v>
                </c:pt>
                <c:pt idx="4">
                  <c:v>Delta FC assis-debout</c:v>
                </c:pt>
                <c:pt idx="5">
                  <c:v>Delta PA systolique  assis-debout</c:v>
                </c:pt>
                <c:pt idx="6">
                  <c:v>SP02</c:v>
                </c:pt>
                <c:pt idx="7">
                  <c:v>Acuité visuele</c:v>
                </c:pt>
                <c:pt idx="8">
                  <c:v>Test DMLA  (AMSLER)</c:v>
                </c:pt>
                <c:pt idx="9">
                  <c:v>Acuité auditive</c:v>
                </c:pt>
                <c:pt idx="10">
                  <c:v>Test appui unipodal</c:v>
                </c:pt>
              </c:strCache>
            </c:strRef>
          </c:cat>
          <c:val>
            <c:numRef>
              <c:f>'Analyse Globale Q'!$C$48:$C$59</c:f>
              <c:numCache>
                <c:formatCode>General</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1-37B6-4505-BEA7-06FF74FF2175}"/>
            </c:ext>
          </c:extLst>
        </c:ser>
        <c:ser>
          <c:idx val="2"/>
          <c:order val="2"/>
          <c:spPr>
            <a:ln w="28575" cap="rnd">
              <a:solidFill>
                <a:srgbClr val="9966FF"/>
              </a:solidFill>
              <a:round/>
            </a:ln>
            <a:effectLst/>
          </c:spPr>
          <c:marker>
            <c:symbol val="none"/>
          </c:marker>
          <c:cat>
            <c:strRef>
              <c:f>'Analyse Globale Q'!$A$48:$A$59</c:f>
              <c:strCache>
                <c:ptCount val="11"/>
                <c:pt idx="0">
                  <c:v>BMI</c:v>
                </c:pt>
                <c:pt idx="1">
                  <c:v>Presion artérielle systolique repos</c:v>
                </c:pt>
                <c:pt idx="2">
                  <c:v>Presion artérielle diastolique repos</c:v>
                </c:pt>
                <c:pt idx="3">
                  <c:v>Fréquence cardiaque repos</c:v>
                </c:pt>
                <c:pt idx="4">
                  <c:v>Delta FC assis-debout</c:v>
                </c:pt>
                <c:pt idx="5">
                  <c:v>Delta PA systolique  assis-debout</c:v>
                </c:pt>
                <c:pt idx="6">
                  <c:v>SP02</c:v>
                </c:pt>
                <c:pt idx="7">
                  <c:v>Acuité visuele</c:v>
                </c:pt>
                <c:pt idx="8">
                  <c:v>Test DMLA  (AMSLER)</c:v>
                </c:pt>
                <c:pt idx="9">
                  <c:v>Acuité auditive</c:v>
                </c:pt>
                <c:pt idx="10">
                  <c:v>Test appui unipodal</c:v>
                </c:pt>
              </c:strCache>
            </c:strRef>
          </c:cat>
          <c:val>
            <c:numRef>
              <c:f>'Analyse Globale Q'!$D$48:$D$59</c:f>
              <c:numCache>
                <c:formatCode>General</c:formatCode>
                <c:ptCount val="12"/>
                <c:pt idx="0">
                  <c:v>2</c:v>
                </c:pt>
                <c:pt idx="1">
                  <c:v>2</c:v>
                </c:pt>
                <c:pt idx="2">
                  <c:v>2</c:v>
                </c:pt>
                <c:pt idx="3">
                  <c:v>2</c:v>
                </c:pt>
                <c:pt idx="4">
                  <c:v>2</c:v>
                </c:pt>
                <c:pt idx="5">
                  <c:v>2</c:v>
                </c:pt>
                <c:pt idx="6">
                  <c:v>2</c:v>
                </c:pt>
                <c:pt idx="7">
                  <c:v>2</c:v>
                </c:pt>
                <c:pt idx="8">
                  <c:v>2</c:v>
                </c:pt>
                <c:pt idx="9">
                  <c:v>2</c:v>
                </c:pt>
                <c:pt idx="10">
                  <c:v>2</c:v>
                </c:pt>
                <c:pt idx="11">
                  <c:v>2</c:v>
                </c:pt>
              </c:numCache>
            </c:numRef>
          </c:val>
          <c:extLst>
            <c:ext xmlns:c16="http://schemas.microsoft.com/office/drawing/2014/chart" uri="{C3380CC4-5D6E-409C-BE32-E72D297353CC}">
              <c16:uniqueId val="{00000002-37B6-4505-BEA7-06FF74FF2175}"/>
            </c:ext>
          </c:extLst>
        </c:ser>
        <c:ser>
          <c:idx val="3"/>
          <c:order val="3"/>
          <c:spPr>
            <a:ln w="28575" cap="rnd">
              <a:solidFill>
                <a:srgbClr val="FF66FF"/>
              </a:solidFill>
              <a:round/>
            </a:ln>
            <a:effectLst/>
          </c:spPr>
          <c:marker>
            <c:symbol val="circle"/>
            <c:size val="5"/>
            <c:spPr>
              <a:solidFill>
                <a:schemeClr val="accent4"/>
              </a:solidFill>
              <a:ln w="9525">
                <a:solidFill>
                  <a:schemeClr val="accent4"/>
                </a:solidFill>
              </a:ln>
              <a:effectLst/>
            </c:spPr>
          </c:marker>
          <c:cat>
            <c:strRef>
              <c:f>'Analyse Globale Q'!$A$48:$A$59</c:f>
              <c:strCache>
                <c:ptCount val="11"/>
                <c:pt idx="0">
                  <c:v>BMI</c:v>
                </c:pt>
                <c:pt idx="1">
                  <c:v>Presion artérielle systolique repos</c:v>
                </c:pt>
                <c:pt idx="2">
                  <c:v>Presion artérielle diastolique repos</c:v>
                </c:pt>
                <c:pt idx="3">
                  <c:v>Fréquence cardiaque repos</c:v>
                </c:pt>
                <c:pt idx="4">
                  <c:v>Delta FC assis-debout</c:v>
                </c:pt>
                <c:pt idx="5">
                  <c:v>Delta PA systolique  assis-debout</c:v>
                </c:pt>
                <c:pt idx="6">
                  <c:v>SP02</c:v>
                </c:pt>
                <c:pt idx="7">
                  <c:v>Acuité visuele</c:v>
                </c:pt>
                <c:pt idx="8">
                  <c:v>Test DMLA  (AMSLER)</c:v>
                </c:pt>
                <c:pt idx="9">
                  <c:v>Acuité auditive</c:v>
                </c:pt>
                <c:pt idx="10">
                  <c:v>Test appui unipodal</c:v>
                </c:pt>
              </c:strCache>
            </c:strRef>
          </c:cat>
          <c:val>
            <c:numRef>
              <c:f>'Analyse Globale Q'!$E$48:$E$59</c:f>
              <c:numCache>
                <c:formatCode>General</c:formatCode>
                <c:ptCount val="12"/>
                <c:pt idx="0">
                  <c:v>3</c:v>
                </c:pt>
                <c:pt idx="1">
                  <c:v>3</c:v>
                </c:pt>
                <c:pt idx="2">
                  <c:v>3</c:v>
                </c:pt>
                <c:pt idx="3">
                  <c:v>3</c:v>
                </c:pt>
                <c:pt idx="4">
                  <c:v>3</c:v>
                </c:pt>
                <c:pt idx="5">
                  <c:v>3</c:v>
                </c:pt>
                <c:pt idx="6">
                  <c:v>3</c:v>
                </c:pt>
                <c:pt idx="7">
                  <c:v>3</c:v>
                </c:pt>
                <c:pt idx="8">
                  <c:v>3</c:v>
                </c:pt>
                <c:pt idx="9">
                  <c:v>3</c:v>
                </c:pt>
                <c:pt idx="10">
                  <c:v>3</c:v>
                </c:pt>
                <c:pt idx="11">
                  <c:v>3</c:v>
                </c:pt>
              </c:numCache>
            </c:numRef>
          </c:val>
          <c:extLst>
            <c:ext xmlns:c16="http://schemas.microsoft.com/office/drawing/2014/chart" uri="{C3380CC4-5D6E-409C-BE32-E72D297353CC}">
              <c16:uniqueId val="{00000003-37B6-4505-BEA7-06FF74FF2175}"/>
            </c:ext>
          </c:extLst>
        </c:ser>
        <c:dLbls>
          <c:showLegendKey val="0"/>
          <c:showVal val="0"/>
          <c:showCatName val="0"/>
          <c:showSerName val="0"/>
          <c:showPercent val="0"/>
          <c:showBubbleSize val="0"/>
        </c:dLbls>
        <c:axId val="1735534832"/>
        <c:axId val="1735532912"/>
      </c:radarChart>
      <c:radarChart>
        <c:radarStyle val="marker"/>
        <c:varyColors val="0"/>
        <c:ser>
          <c:idx val="0"/>
          <c:order val="0"/>
          <c:spPr>
            <a:ln w="28575" cap="rnd">
              <a:noFill/>
              <a:round/>
            </a:ln>
            <a:effectLst/>
          </c:spPr>
          <c:marker>
            <c:symbol val="circle"/>
            <c:size val="5"/>
            <c:spPr>
              <a:solidFill>
                <a:srgbClr val="FF0000"/>
              </a:solidFill>
              <a:ln w="66675">
                <a:solidFill>
                  <a:srgbClr val="FF0000"/>
                </a:solidFill>
              </a:ln>
              <a:effectLst/>
            </c:spPr>
          </c:marker>
          <c:cat>
            <c:strRef>
              <c:f>'Analyse Globale Q'!$A$48:$A$59</c:f>
              <c:strCache>
                <c:ptCount val="11"/>
                <c:pt idx="0">
                  <c:v>BMI</c:v>
                </c:pt>
                <c:pt idx="1">
                  <c:v>Presion artérielle systolique repos</c:v>
                </c:pt>
                <c:pt idx="2">
                  <c:v>Presion artérielle diastolique repos</c:v>
                </c:pt>
                <c:pt idx="3">
                  <c:v>Fréquence cardiaque repos</c:v>
                </c:pt>
                <c:pt idx="4">
                  <c:v>Delta FC assis-debout</c:v>
                </c:pt>
                <c:pt idx="5">
                  <c:v>Delta PA systolique  assis-debout</c:v>
                </c:pt>
                <c:pt idx="6">
                  <c:v>SP02</c:v>
                </c:pt>
                <c:pt idx="7">
                  <c:v>Acuité visuele</c:v>
                </c:pt>
                <c:pt idx="8">
                  <c:v>Test DMLA  (AMSLER)</c:v>
                </c:pt>
                <c:pt idx="9">
                  <c:v>Acuité auditive</c:v>
                </c:pt>
                <c:pt idx="10">
                  <c:v>Test appui unipodal</c:v>
                </c:pt>
              </c:strCache>
            </c:strRef>
          </c:cat>
          <c:val>
            <c:numRef>
              <c:f>'Analyse Globale Q'!$B$48:$B$59</c:f>
              <c:numCache>
                <c:formatCode>0.00</c:formatCode>
                <c:ptCount val="12"/>
                <c:pt idx="0">
                  <c:v>1.4814814814814814</c:v>
                </c:pt>
                <c:pt idx="1">
                  <c:v>0</c:v>
                </c:pt>
                <c:pt idx="2">
                  <c:v>0</c:v>
                </c:pt>
                <c:pt idx="3">
                  <c:v>0.875</c:v>
                </c:pt>
                <c:pt idx="4">
                  <c:v>0.33333333333333331</c:v>
                </c:pt>
                <c:pt idx="5">
                  <c:v>-3.5</c:v>
                </c:pt>
                <c:pt idx="6">
                  <c:v>0</c:v>
                </c:pt>
                <c:pt idx="7">
                  <c:v>0.1</c:v>
                </c:pt>
                <c:pt idx="8">
                  <c:v>1</c:v>
                </c:pt>
                <c:pt idx="9">
                  <c:v>0</c:v>
                </c:pt>
                <c:pt idx="10">
                  <c:v>2.5</c:v>
                </c:pt>
              </c:numCache>
            </c:numRef>
          </c:val>
          <c:extLst>
            <c:ext xmlns:c16="http://schemas.microsoft.com/office/drawing/2014/chart" uri="{C3380CC4-5D6E-409C-BE32-E72D297353CC}">
              <c16:uniqueId val="{00000000-37B6-4505-BEA7-06FF74FF2175}"/>
            </c:ext>
          </c:extLst>
        </c:ser>
        <c:dLbls>
          <c:showLegendKey val="0"/>
          <c:showVal val="0"/>
          <c:showCatName val="0"/>
          <c:showSerName val="0"/>
          <c:showPercent val="0"/>
          <c:showBubbleSize val="0"/>
        </c:dLbls>
        <c:axId val="1718023984"/>
        <c:axId val="1718030224"/>
      </c:radarChart>
      <c:catAx>
        <c:axId val="1735534832"/>
        <c:scaling>
          <c:orientation val="minMax"/>
        </c:scaling>
        <c:delete val="1"/>
        <c:axPos val="b"/>
        <c:numFmt formatCode="General" sourceLinked="1"/>
        <c:majorTickMark val="none"/>
        <c:minorTickMark val="none"/>
        <c:tickLblPos val="nextTo"/>
        <c:crossAx val="1735532912"/>
        <c:crosses val="autoZero"/>
        <c:auto val="1"/>
        <c:lblAlgn val="ctr"/>
        <c:lblOffset val="100"/>
        <c:noMultiLvlLbl val="0"/>
      </c:catAx>
      <c:valAx>
        <c:axId val="1735532912"/>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735534832"/>
        <c:crosses val="autoZero"/>
        <c:crossBetween val="between"/>
      </c:valAx>
      <c:valAx>
        <c:axId val="1718030224"/>
        <c:scaling>
          <c:orientation val="minMax"/>
        </c:scaling>
        <c:delete val="1"/>
        <c:axPos val="l"/>
        <c:numFmt formatCode="0.00" sourceLinked="1"/>
        <c:majorTickMark val="out"/>
        <c:minorTickMark val="none"/>
        <c:tickLblPos val="nextTo"/>
        <c:crossAx val="1718023984"/>
        <c:crosses val="max"/>
        <c:crossBetween val="between"/>
      </c:valAx>
      <c:catAx>
        <c:axId val="17180239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fr-FR"/>
          </a:p>
        </c:txPr>
        <c:crossAx val="1718030224"/>
        <c:crosses val="max"/>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RRImmédiat!$B$86</c:f>
              <c:strCache>
                <c:ptCount val="1"/>
                <c:pt idx="0">
                  <c:v>feuille Résultats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RRImmédiat!$A$87:$A$108</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RRImmédiat!$B$87:$B$108</c:f>
              <c:numCache>
                <c:formatCode>0.00</c:formatCode>
                <c:ptCount val="22"/>
                <c:pt idx="0">
                  <c:v>1.4359304347825996</c:v>
                </c:pt>
                <c:pt idx="1">
                  <c:v>1.2</c:v>
                </c:pt>
                <c:pt idx="2">
                  <c:v>1.2</c:v>
                </c:pt>
                <c:pt idx="3">
                  <c:v>2.16</c:v>
                </c:pt>
                <c:pt idx="4">
                  <c:v>0.96000000000000008</c:v>
                </c:pt>
                <c:pt idx="5">
                  <c:v>1.296</c:v>
                </c:pt>
                <c:pt idx="6">
                  <c:v>1.4799459449588015</c:v>
                </c:pt>
                <c:pt idx="7">
                  <c:v>1</c:v>
                </c:pt>
                <c:pt idx="8">
                  <c:v>4</c:v>
                </c:pt>
                <c:pt idx="9">
                  <c:v>1.08</c:v>
                </c:pt>
                <c:pt idx="10">
                  <c:v>2</c:v>
                </c:pt>
                <c:pt idx="11">
                  <c:v>0.90000000000000013</c:v>
                </c:pt>
                <c:pt idx="12">
                  <c:v>1.08</c:v>
                </c:pt>
                <c:pt idx="13">
                  <c:v>0.75574873293706268</c:v>
                </c:pt>
                <c:pt idx="14">
                  <c:v>1.1608500144404341</c:v>
                </c:pt>
                <c:pt idx="15">
                  <c:v>0.01</c:v>
                </c:pt>
                <c:pt idx="16">
                  <c:v>0.05</c:v>
                </c:pt>
                <c:pt idx="17">
                  <c:v>0.9</c:v>
                </c:pt>
                <c:pt idx="18">
                  <c:v>0.89999999999999991</c:v>
                </c:pt>
                <c:pt idx="19">
                  <c:v>0.01</c:v>
                </c:pt>
                <c:pt idx="20">
                  <c:v>0.09</c:v>
                </c:pt>
              </c:numCache>
            </c:numRef>
          </c:val>
          <c:extLst>
            <c:ext xmlns:c16="http://schemas.microsoft.com/office/drawing/2014/chart" uri="{C3380CC4-5D6E-409C-BE32-E72D297353CC}">
              <c16:uniqueId val="{00000000-D124-4A91-B5FC-916D0B507D61}"/>
            </c:ext>
          </c:extLst>
        </c:ser>
        <c:ser>
          <c:idx val="1"/>
          <c:order val="1"/>
          <c:tx>
            <c:strRef>
              <c:f>RRImmédiat!$C$86</c:f>
              <c:strCache>
                <c:ptCount val="1"/>
                <c:pt idx="0">
                  <c:v>RR immédiat</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RRImmédiat!$A$87:$A$108</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RRImmédiat!$C$87:$C$108</c:f>
              <c:numCache>
                <c:formatCode>0.00</c:formatCode>
                <c:ptCount val="22"/>
                <c:pt idx="0">
                  <c:v>2.4</c:v>
                </c:pt>
                <c:pt idx="1">
                  <c:v>0.8</c:v>
                </c:pt>
                <c:pt idx="2">
                  <c:v>1.6</c:v>
                </c:pt>
                <c:pt idx="3">
                  <c:v>1.5</c:v>
                </c:pt>
                <c:pt idx="4">
                  <c:v>1.44</c:v>
                </c:pt>
                <c:pt idx="5">
                  <c:v>1.2</c:v>
                </c:pt>
                <c:pt idx="6">
                  <c:v>0.96</c:v>
                </c:pt>
                <c:pt idx="7">
                  <c:v>1.1000000000000001</c:v>
                </c:pt>
                <c:pt idx="8">
                  <c:v>3</c:v>
                </c:pt>
                <c:pt idx="9">
                  <c:v>1.2</c:v>
                </c:pt>
                <c:pt idx="10">
                  <c:v>2.4</c:v>
                </c:pt>
                <c:pt idx="11">
                  <c:v>0.8</c:v>
                </c:pt>
                <c:pt idx="12">
                  <c:v>0.8</c:v>
                </c:pt>
                <c:pt idx="13">
                  <c:v>1.7999999999999998</c:v>
                </c:pt>
                <c:pt idx="14">
                  <c:v>0.96</c:v>
                </c:pt>
                <c:pt idx="15">
                  <c:v>1.2</c:v>
                </c:pt>
                <c:pt idx="16">
                  <c:v>0.52500000000000002</c:v>
                </c:pt>
                <c:pt idx="17">
                  <c:v>1.2</c:v>
                </c:pt>
                <c:pt idx="18">
                  <c:v>0.9</c:v>
                </c:pt>
                <c:pt idx="19">
                  <c:v>1.2E-2</c:v>
                </c:pt>
                <c:pt idx="20">
                  <c:v>0.9</c:v>
                </c:pt>
              </c:numCache>
            </c:numRef>
          </c:val>
          <c:extLst>
            <c:ext xmlns:c16="http://schemas.microsoft.com/office/drawing/2014/chart" uri="{C3380CC4-5D6E-409C-BE32-E72D297353CC}">
              <c16:uniqueId val="{00000001-D124-4A91-B5FC-916D0B507D61}"/>
            </c:ext>
          </c:extLst>
        </c:ser>
        <c:dLbls>
          <c:showLegendKey val="0"/>
          <c:showVal val="0"/>
          <c:showCatName val="0"/>
          <c:showSerName val="0"/>
          <c:showPercent val="0"/>
          <c:showBubbleSize val="0"/>
        </c:dLbls>
        <c:axId val="1243816704"/>
        <c:axId val="1243820064"/>
      </c:radarChart>
      <c:catAx>
        <c:axId val="124381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43820064"/>
        <c:crosses val="autoZero"/>
        <c:auto val="1"/>
        <c:lblAlgn val="ctr"/>
        <c:lblOffset val="100"/>
        <c:noMultiLvlLbl val="0"/>
      </c:catAx>
      <c:valAx>
        <c:axId val="1243820064"/>
        <c:scaling>
          <c:orientation val="minMax"/>
          <c:max val="3"/>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4381670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noFill/>
              <a:round/>
            </a:ln>
            <a:effectLst/>
          </c:spPr>
          <c:marker>
            <c:symbol val="circle"/>
            <c:size val="12"/>
            <c:spPr>
              <a:solidFill>
                <a:srgbClr val="FF0000"/>
              </a:solidFill>
              <a:ln w="9525">
                <a:noFill/>
              </a:ln>
              <a:effectLst/>
            </c:spPr>
          </c:marker>
          <c:cat>
            <c:strRef>
              <c:f>Integratome_AugmentV2!$A$68:$A$78</c:f>
              <c:strCache>
                <c:ptCount val="11"/>
                <c:pt idx="0">
                  <c:v>Système cardiovasculaire</c:v>
                </c:pt>
                <c:pt idx="1">
                  <c:v>Systéme endocrinien et métabolique</c:v>
                </c:pt>
                <c:pt idx="2">
                  <c:v>Systéme digestif</c:v>
                </c:pt>
                <c:pt idx="3">
                  <c:v>Systéme du foie et des voies biliaires</c:v>
                </c:pt>
                <c:pt idx="4">
                  <c:v>Système génital</c:v>
                </c:pt>
                <c:pt idx="5">
                  <c:v>Systéme locomoteur</c:v>
                </c:pt>
                <c:pt idx="6">
                  <c:v>Système nerveux et mental</c:v>
                </c:pt>
                <c:pt idx="7">
                  <c:v>Systéme respiratoire</c:v>
                </c:pt>
                <c:pt idx="8">
                  <c:v>Systéme sensoriel</c:v>
                </c:pt>
                <c:pt idx="9">
                  <c:v>Système urinaire</c:v>
                </c:pt>
                <c:pt idx="10">
                  <c:v>Cancérologie</c:v>
                </c:pt>
              </c:strCache>
            </c:strRef>
          </c:cat>
          <c:val>
            <c:numRef>
              <c:f>Integratome_AugmentV2!$B$68:$B$78</c:f>
              <c:numCache>
                <c:formatCode>0.00</c:formatCode>
                <c:ptCount val="11"/>
                <c:pt idx="0">
                  <c:v>3</c:v>
                </c:pt>
                <c:pt idx="1">
                  <c:v>3</c:v>
                </c:pt>
                <c:pt idx="2">
                  <c:v>1.2</c:v>
                </c:pt>
                <c:pt idx="3">
                  <c:v>3</c:v>
                </c:pt>
                <c:pt idx="4">
                  <c:v>1.2</c:v>
                </c:pt>
                <c:pt idx="5">
                  <c:v>1.44</c:v>
                </c:pt>
                <c:pt idx="6">
                  <c:v>2</c:v>
                </c:pt>
                <c:pt idx="7">
                  <c:v>1.2</c:v>
                </c:pt>
                <c:pt idx="8">
                  <c:v>2</c:v>
                </c:pt>
                <c:pt idx="9">
                  <c:v>1.6</c:v>
                </c:pt>
                <c:pt idx="10">
                  <c:v>2.4</c:v>
                </c:pt>
              </c:numCache>
            </c:numRef>
          </c:val>
          <c:extLst>
            <c:ext xmlns:c16="http://schemas.microsoft.com/office/drawing/2014/chart" uri="{C3380CC4-5D6E-409C-BE32-E72D297353CC}">
              <c16:uniqueId val="{00000000-7408-4E46-AC3E-D573F6881703}"/>
            </c:ext>
          </c:extLst>
        </c:ser>
        <c:ser>
          <c:idx val="1"/>
          <c:order val="1"/>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Integratome_AugmentV2!$A$68:$A$78</c:f>
              <c:strCache>
                <c:ptCount val="11"/>
                <c:pt idx="0">
                  <c:v>Système cardiovasculaire</c:v>
                </c:pt>
                <c:pt idx="1">
                  <c:v>Systéme endocrinien et métabolique</c:v>
                </c:pt>
                <c:pt idx="2">
                  <c:v>Systéme digestif</c:v>
                </c:pt>
                <c:pt idx="3">
                  <c:v>Systéme du foie et des voies biliaires</c:v>
                </c:pt>
                <c:pt idx="4">
                  <c:v>Système génital</c:v>
                </c:pt>
                <c:pt idx="5">
                  <c:v>Systéme locomoteur</c:v>
                </c:pt>
                <c:pt idx="6">
                  <c:v>Système nerveux et mental</c:v>
                </c:pt>
                <c:pt idx="7">
                  <c:v>Systéme respiratoire</c:v>
                </c:pt>
                <c:pt idx="8">
                  <c:v>Systéme sensoriel</c:v>
                </c:pt>
                <c:pt idx="9">
                  <c:v>Système urinaire</c:v>
                </c:pt>
                <c:pt idx="10">
                  <c:v>Cancérologie</c:v>
                </c:pt>
              </c:strCache>
            </c:strRef>
          </c:cat>
          <c:val>
            <c:numRef>
              <c:f>Integratome_AugmentV2!$C$68:$C$78</c:f>
              <c:numCache>
                <c:formatCode>General</c:formatCode>
                <c:ptCount val="11"/>
                <c:pt idx="0">
                  <c:v>1</c:v>
                </c:pt>
                <c:pt idx="1">
                  <c:v>1</c:v>
                </c:pt>
                <c:pt idx="2">
                  <c:v>1</c:v>
                </c:pt>
                <c:pt idx="3">
                  <c:v>1</c:v>
                </c:pt>
                <c:pt idx="4">
                  <c:v>1</c:v>
                </c:pt>
                <c:pt idx="5">
                  <c:v>1</c:v>
                </c:pt>
                <c:pt idx="6">
                  <c:v>1</c:v>
                </c:pt>
                <c:pt idx="7">
                  <c:v>1</c:v>
                </c:pt>
                <c:pt idx="8">
                  <c:v>1</c:v>
                </c:pt>
                <c:pt idx="9">
                  <c:v>1</c:v>
                </c:pt>
                <c:pt idx="10">
                  <c:v>1</c:v>
                </c:pt>
              </c:numCache>
            </c:numRef>
          </c:val>
          <c:extLst>
            <c:ext xmlns:c16="http://schemas.microsoft.com/office/drawing/2014/chart" uri="{C3380CC4-5D6E-409C-BE32-E72D297353CC}">
              <c16:uniqueId val="{00000001-7408-4E46-AC3E-D573F6881703}"/>
            </c:ext>
          </c:extLst>
        </c:ser>
        <c:ser>
          <c:idx val="2"/>
          <c:order val="2"/>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Integratome_AugmentV2!$A$68:$A$78</c:f>
              <c:strCache>
                <c:ptCount val="11"/>
                <c:pt idx="0">
                  <c:v>Système cardiovasculaire</c:v>
                </c:pt>
                <c:pt idx="1">
                  <c:v>Systéme endocrinien et métabolique</c:v>
                </c:pt>
                <c:pt idx="2">
                  <c:v>Systéme digestif</c:v>
                </c:pt>
                <c:pt idx="3">
                  <c:v>Systéme du foie et des voies biliaires</c:v>
                </c:pt>
                <c:pt idx="4">
                  <c:v>Système génital</c:v>
                </c:pt>
                <c:pt idx="5">
                  <c:v>Systéme locomoteur</c:v>
                </c:pt>
                <c:pt idx="6">
                  <c:v>Système nerveux et mental</c:v>
                </c:pt>
                <c:pt idx="7">
                  <c:v>Systéme respiratoire</c:v>
                </c:pt>
                <c:pt idx="8">
                  <c:v>Systéme sensoriel</c:v>
                </c:pt>
                <c:pt idx="9">
                  <c:v>Système urinaire</c:v>
                </c:pt>
                <c:pt idx="10">
                  <c:v>Cancérologie</c:v>
                </c:pt>
              </c:strCache>
            </c:strRef>
          </c:cat>
          <c:val>
            <c:numRef>
              <c:f>Integratome_AugmentV2!$D$68:$D$78</c:f>
              <c:numCache>
                <c:formatCode>General</c:formatCode>
                <c:ptCount val="11"/>
                <c:pt idx="0">
                  <c:v>2</c:v>
                </c:pt>
                <c:pt idx="1">
                  <c:v>2</c:v>
                </c:pt>
                <c:pt idx="2">
                  <c:v>2</c:v>
                </c:pt>
                <c:pt idx="3">
                  <c:v>2</c:v>
                </c:pt>
                <c:pt idx="4">
                  <c:v>2</c:v>
                </c:pt>
                <c:pt idx="5">
                  <c:v>2</c:v>
                </c:pt>
                <c:pt idx="6">
                  <c:v>2</c:v>
                </c:pt>
                <c:pt idx="7">
                  <c:v>2</c:v>
                </c:pt>
                <c:pt idx="8">
                  <c:v>2</c:v>
                </c:pt>
                <c:pt idx="9">
                  <c:v>2</c:v>
                </c:pt>
                <c:pt idx="10">
                  <c:v>2</c:v>
                </c:pt>
              </c:numCache>
            </c:numRef>
          </c:val>
          <c:extLst>
            <c:ext xmlns:c16="http://schemas.microsoft.com/office/drawing/2014/chart" uri="{C3380CC4-5D6E-409C-BE32-E72D297353CC}">
              <c16:uniqueId val="{00000002-7408-4E46-AC3E-D573F6881703}"/>
            </c:ext>
          </c:extLst>
        </c:ser>
        <c:ser>
          <c:idx val="3"/>
          <c:order val="3"/>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Integratome_AugmentV2!$A$68:$A$78</c:f>
              <c:strCache>
                <c:ptCount val="11"/>
                <c:pt idx="0">
                  <c:v>Système cardiovasculaire</c:v>
                </c:pt>
                <c:pt idx="1">
                  <c:v>Systéme endocrinien et métabolique</c:v>
                </c:pt>
                <c:pt idx="2">
                  <c:v>Systéme digestif</c:v>
                </c:pt>
                <c:pt idx="3">
                  <c:v>Systéme du foie et des voies biliaires</c:v>
                </c:pt>
                <c:pt idx="4">
                  <c:v>Système génital</c:v>
                </c:pt>
                <c:pt idx="5">
                  <c:v>Systéme locomoteur</c:v>
                </c:pt>
                <c:pt idx="6">
                  <c:v>Système nerveux et mental</c:v>
                </c:pt>
                <c:pt idx="7">
                  <c:v>Systéme respiratoire</c:v>
                </c:pt>
                <c:pt idx="8">
                  <c:v>Systéme sensoriel</c:v>
                </c:pt>
                <c:pt idx="9">
                  <c:v>Système urinaire</c:v>
                </c:pt>
                <c:pt idx="10">
                  <c:v>Cancérologie</c:v>
                </c:pt>
              </c:strCache>
            </c:strRef>
          </c:cat>
          <c:val>
            <c:numRef>
              <c:f>Integratome_AugmentV2!$E$68:$E$78</c:f>
              <c:numCache>
                <c:formatCode>General</c:formatCode>
                <c:ptCount val="11"/>
                <c:pt idx="0">
                  <c:v>3</c:v>
                </c:pt>
                <c:pt idx="1">
                  <c:v>3</c:v>
                </c:pt>
                <c:pt idx="2">
                  <c:v>3</c:v>
                </c:pt>
                <c:pt idx="3">
                  <c:v>3</c:v>
                </c:pt>
                <c:pt idx="4">
                  <c:v>3</c:v>
                </c:pt>
                <c:pt idx="5">
                  <c:v>3</c:v>
                </c:pt>
                <c:pt idx="6">
                  <c:v>3</c:v>
                </c:pt>
                <c:pt idx="7">
                  <c:v>3</c:v>
                </c:pt>
                <c:pt idx="8">
                  <c:v>3</c:v>
                </c:pt>
                <c:pt idx="9">
                  <c:v>3</c:v>
                </c:pt>
                <c:pt idx="10">
                  <c:v>3</c:v>
                </c:pt>
              </c:numCache>
            </c:numRef>
          </c:val>
          <c:extLst>
            <c:ext xmlns:c16="http://schemas.microsoft.com/office/drawing/2014/chart" uri="{C3380CC4-5D6E-409C-BE32-E72D297353CC}">
              <c16:uniqueId val="{00000003-7408-4E46-AC3E-D573F6881703}"/>
            </c:ext>
          </c:extLst>
        </c:ser>
        <c:dLbls>
          <c:showLegendKey val="0"/>
          <c:showVal val="0"/>
          <c:showCatName val="0"/>
          <c:showSerName val="0"/>
          <c:showPercent val="0"/>
          <c:showBubbleSize val="0"/>
        </c:dLbls>
        <c:axId val="554625584"/>
        <c:axId val="554626064"/>
      </c:radarChart>
      <c:catAx>
        <c:axId val="554625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554626064"/>
        <c:crosses val="autoZero"/>
        <c:auto val="1"/>
        <c:lblAlgn val="ctr"/>
        <c:lblOffset val="100"/>
        <c:noMultiLvlLbl val="0"/>
      </c:catAx>
      <c:valAx>
        <c:axId val="554626064"/>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5546255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000" b="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Integratome_AugmentV2!$B$90</c:f>
              <c:strCache>
                <c:ptCount val="1"/>
                <c:pt idx="0">
                  <c:v>Résultats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Integratome_AugmentV2!$A$91:$A$98</c:f>
              <c:strCache>
                <c:ptCount val="8"/>
                <c:pt idx="0">
                  <c:v>Appareil urinaire</c:v>
                </c:pt>
                <c:pt idx="1">
                  <c:v>Sexualité</c:v>
                </c:pt>
                <c:pt idx="2">
                  <c:v>Digestion</c:v>
                </c:pt>
                <c:pt idx="3">
                  <c:v>Muscles et articulation</c:v>
                </c:pt>
                <c:pt idx="4">
                  <c:v>Santé mentale</c:v>
                </c:pt>
                <c:pt idx="5">
                  <c:v>Sommeil</c:v>
                </c:pt>
                <c:pt idx="6">
                  <c:v>Vision</c:v>
                </c:pt>
                <c:pt idx="7">
                  <c:v>Audition</c:v>
                </c:pt>
              </c:strCache>
            </c:strRef>
          </c:cat>
          <c:val>
            <c:numRef>
              <c:f>Integratome_AugmentV2!$B$91:$B$98</c:f>
              <c:numCache>
                <c:formatCode>0%</c:formatCode>
                <c:ptCount val="8"/>
                <c:pt idx="0">
                  <c:v>0.88888888888888884</c:v>
                </c:pt>
                <c:pt idx="1">
                  <c:v>1</c:v>
                </c:pt>
                <c:pt idx="2">
                  <c:v>0.93333333333333335</c:v>
                </c:pt>
                <c:pt idx="3">
                  <c:v>1</c:v>
                </c:pt>
                <c:pt idx="4">
                  <c:v>0.875</c:v>
                </c:pt>
                <c:pt idx="5">
                  <c:v>0.5</c:v>
                </c:pt>
                <c:pt idx="6">
                  <c:v>1</c:v>
                </c:pt>
                <c:pt idx="7">
                  <c:v>1</c:v>
                </c:pt>
              </c:numCache>
            </c:numRef>
          </c:val>
          <c:extLst>
            <c:ext xmlns:c16="http://schemas.microsoft.com/office/drawing/2014/chart" uri="{C3380CC4-5D6E-409C-BE32-E72D297353CC}">
              <c16:uniqueId val="{00000000-F463-410C-907E-46AC5864D427}"/>
            </c:ext>
          </c:extLst>
        </c:ser>
        <c:dLbls>
          <c:dLblPos val="outEnd"/>
          <c:showLegendKey val="0"/>
          <c:showVal val="1"/>
          <c:showCatName val="0"/>
          <c:showSerName val="0"/>
          <c:showPercent val="0"/>
          <c:showBubbleSize val="0"/>
        </c:dLbls>
        <c:gapWidth val="182"/>
        <c:axId val="1219173615"/>
        <c:axId val="1219159695"/>
      </c:barChart>
      <c:catAx>
        <c:axId val="121917361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159695"/>
        <c:crosses val="autoZero"/>
        <c:auto val="1"/>
        <c:lblAlgn val="ctr"/>
        <c:lblOffset val="100"/>
        <c:noMultiLvlLbl val="0"/>
      </c:catAx>
      <c:valAx>
        <c:axId val="1219159695"/>
        <c:scaling>
          <c:orientation val="minMax"/>
        </c:scaling>
        <c:delete val="1"/>
        <c:axPos val="b"/>
        <c:numFmt formatCode="0%" sourceLinked="1"/>
        <c:majorTickMark val="none"/>
        <c:minorTickMark val="none"/>
        <c:tickLblPos val="nextTo"/>
        <c:crossAx val="12191736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noFill/>
              <a:round/>
            </a:ln>
            <a:effectLst/>
          </c:spPr>
          <c:marker>
            <c:symbol val="circle"/>
            <c:size val="12"/>
            <c:spPr>
              <a:solidFill>
                <a:srgbClr val="FF0000"/>
              </a:solidFill>
              <a:ln w="9525">
                <a:noFill/>
              </a:ln>
              <a:effectLst/>
            </c:spPr>
          </c:marker>
          <c:cat>
            <c:strRef>
              <c:f>Integratome_AugmentV2!$A$136:$A$146</c:f>
              <c:strCache>
                <c:ptCount val="11"/>
                <c:pt idx="0">
                  <c:v>Activité physique</c:v>
                </c:pt>
                <c:pt idx="1">
                  <c:v>Addictions &amp; consommations</c:v>
                </c:pt>
                <c:pt idx="2">
                  <c:v>Vaccination &amp; dépistages</c:v>
                </c:pt>
                <c:pt idx="3">
                  <c:v>Dépendance et autonomie</c:v>
                </c:pt>
                <c:pt idx="4">
                  <c:v>Exposition IST</c:v>
                </c:pt>
                <c:pt idx="5">
                  <c:v>Médications</c:v>
                </c:pt>
                <c:pt idx="6">
                  <c:v>Nutrition</c:v>
                </c:pt>
                <c:pt idx="7">
                  <c:v>Pollution aérienne</c:v>
                </c:pt>
                <c:pt idx="8">
                  <c:v>Santé et charge mentale</c:v>
                </c:pt>
                <c:pt idx="9">
                  <c:v>Sensibilité cutanée (UV)</c:v>
                </c:pt>
                <c:pt idx="10">
                  <c:v>Troubles du sommeil</c:v>
                </c:pt>
              </c:strCache>
            </c:strRef>
          </c:cat>
          <c:val>
            <c:numRef>
              <c:f>Integratome_AugmentV2!$B$136:$B$146</c:f>
              <c:numCache>
                <c:formatCode>0.00</c:formatCode>
                <c:ptCount val="11"/>
                <c:pt idx="0">
                  <c:v>1</c:v>
                </c:pt>
                <c:pt idx="1">
                  <c:v>0.19999999999999996</c:v>
                </c:pt>
                <c:pt idx="2">
                  <c:v>0.8</c:v>
                </c:pt>
                <c:pt idx="3">
                  <c:v>0.8</c:v>
                </c:pt>
                <c:pt idx="4">
                  <c:v>0</c:v>
                </c:pt>
                <c:pt idx="5">
                  <c:v>0.30000000000000004</c:v>
                </c:pt>
                <c:pt idx="6">
                  <c:v>0.57894736842105265</c:v>
                </c:pt>
                <c:pt idx="7">
                  <c:v>9.9999999999999978E-2</c:v>
                </c:pt>
                <c:pt idx="8">
                  <c:v>1</c:v>
                </c:pt>
                <c:pt idx="9">
                  <c:v>0</c:v>
                </c:pt>
                <c:pt idx="10">
                  <c:v>0.5</c:v>
                </c:pt>
              </c:numCache>
            </c:numRef>
          </c:val>
          <c:extLst>
            <c:ext xmlns:c16="http://schemas.microsoft.com/office/drawing/2014/chart" uri="{C3380CC4-5D6E-409C-BE32-E72D297353CC}">
              <c16:uniqueId val="{00000000-A5D3-4C85-A850-9869B9C13A0D}"/>
            </c:ext>
          </c:extLst>
        </c:ser>
        <c:dLbls>
          <c:showLegendKey val="0"/>
          <c:showVal val="0"/>
          <c:showCatName val="0"/>
          <c:showSerName val="0"/>
          <c:showPercent val="0"/>
          <c:showBubbleSize val="0"/>
        </c:dLbls>
        <c:axId val="554625584"/>
        <c:axId val="554626064"/>
      </c:radarChart>
      <c:catAx>
        <c:axId val="554625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554626064"/>
        <c:crosses val="autoZero"/>
        <c:auto val="1"/>
        <c:lblAlgn val="ctr"/>
        <c:lblOffset val="100"/>
        <c:noMultiLvlLbl val="0"/>
      </c:catAx>
      <c:valAx>
        <c:axId val="554626064"/>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5546255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000" b="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tx>
            <c:strRef>
              <c:f>SIMULATEUR!$I$2</c:f>
              <c:strCache>
                <c:ptCount val="1"/>
                <c:pt idx="0">
                  <c:v>A 5 ans</c:v>
                </c:pt>
              </c:strCache>
            </c:strRef>
          </c:tx>
          <c:spPr>
            <a:solidFill>
              <a:schemeClr val="accent1"/>
            </a:solidFill>
            <a:ln>
              <a:noFill/>
            </a:ln>
            <a:effectLst/>
          </c:spPr>
          <c:invertIfNegative val="0"/>
          <c:cat>
            <c:strRef>
              <c:extLst>
                <c:ext xmlns:c15="http://schemas.microsoft.com/office/drawing/2012/chart" uri="{02D57815-91ED-43cb-92C2-25804820EDAC}">
                  <c15:fullRef>
                    <c15:sqref>SIMULATEUR!$G$3:$G$23</c15:sqref>
                  </c15:fullRef>
                </c:ext>
              </c:extLst>
              <c:f>(SIMULATEUR!$G$3,SIMULATEUR!$G$5:$G$23)</c:f>
              <c:strCache>
                <c:ptCount val="20"/>
                <c:pt idx="0">
                  <c:v>Cancer de la prostate</c:v>
                </c:pt>
                <c:pt idx="1">
                  <c:v>Insuffisance rénale</c:v>
                </c:pt>
                <c:pt idx="2">
                  <c:v>Lithiase urinaire</c:v>
                </c:pt>
                <c:pt idx="3">
                  <c:v>Ostéopénie</c:v>
                </c:pt>
                <c:pt idx="4">
                  <c:v>Cancer du colon</c:v>
                </c:pt>
                <c:pt idx="5">
                  <c:v>Maladie du Foie et lithiase biliaire</c:v>
                </c:pt>
                <c:pt idx="6">
                  <c:v>Insuffisance thyroidienne</c:v>
                </c:pt>
                <c:pt idx="7">
                  <c:v>Dyslipidémie</c:v>
                </c:pt>
                <c:pt idx="8">
                  <c:v>Diabéte</c:v>
                </c:pt>
                <c:pt idx="9">
                  <c:v>Syndrome métabolique</c:v>
                </c:pt>
                <c:pt idx="10">
                  <c:v>Thrombophlébite</c:v>
                </c:pt>
                <c:pt idx="11">
                  <c:v>Anévrysme et artériopathie</c:v>
                </c:pt>
                <c:pt idx="12">
                  <c:v>Accident vasculaire cérébral</c:v>
                </c:pt>
                <c:pt idx="13">
                  <c:v>Cardiopathie ischémique</c:v>
                </c:pt>
                <c:pt idx="14">
                  <c:v>Cancer du poumon</c:v>
                </c:pt>
                <c:pt idx="15">
                  <c:v>Cancer ORL</c:v>
                </c:pt>
                <c:pt idx="16">
                  <c:v>Asthme et BPCO</c:v>
                </c:pt>
                <c:pt idx="17">
                  <c:v>Mélanome</c:v>
                </c:pt>
                <c:pt idx="18">
                  <c:v>Cancers du sein</c:v>
                </c:pt>
                <c:pt idx="19">
                  <c:v>Tumeur de vessie</c:v>
                </c:pt>
              </c:strCache>
            </c:strRef>
          </c:cat>
          <c:val>
            <c:numRef>
              <c:extLst>
                <c:ext xmlns:c15="http://schemas.microsoft.com/office/drawing/2012/chart" uri="{02D57815-91ED-43cb-92C2-25804820EDAC}">
                  <c15:fullRef>
                    <c15:sqref>SIMULATEUR!$I$3:$I$23</c15:sqref>
                  </c15:fullRef>
                </c:ext>
              </c:extLst>
              <c:f>(SIMULATEUR!$I$3,SIMULATEUR!$I$5:$I$23)</c:f>
              <c:numCache>
                <c:formatCode>0.00%</c:formatCode>
                <c:ptCount val="20"/>
                <c:pt idx="0">
                  <c:v>8.7418079999999995E-2</c:v>
                </c:pt>
                <c:pt idx="1">
                  <c:v>6.9822857142856937E-2</c:v>
                </c:pt>
                <c:pt idx="2">
                  <c:v>0.19116000000000402</c:v>
                </c:pt>
                <c:pt idx="3">
                  <c:v>2.1701485714285696E-2</c:v>
                </c:pt>
                <c:pt idx="4">
                  <c:v>2.3119641610264294E-2</c:v>
                </c:pt>
                <c:pt idx="5">
                  <c:v>0.20127264851439713</c:v>
                </c:pt>
                <c:pt idx="6">
                  <c:v>8.0000000000000016E-2</c:v>
                </c:pt>
                <c:pt idx="7">
                  <c:v>1</c:v>
                </c:pt>
                <c:pt idx="8">
                  <c:v>3.1165714285714321E-2</c:v>
                </c:pt>
                <c:pt idx="9">
                  <c:v>0.36857142857142866</c:v>
                </c:pt>
                <c:pt idx="10">
                  <c:v>1.8000000000000002E-2</c:v>
                </c:pt>
                <c:pt idx="11">
                  <c:v>4.3200000000000002E-2</c:v>
                </c:pt>
                <c:pt idx="12">
                  <c:v>5.6255523333333335E-2</c:v>
                </c:pt>
                <c:pt idx="13">
                  <c:v>0.16876657</c:v>
                </c:pt>
                <c:pt idx="14">
                  <c:v>1.3226190598443794E-4</c:v>
                </c:pt>
                <c:pt idx="15">
                  <c:v>1.0553472312298117E-3</c:v>
                </c:pt>
                <c:pt idx="16">
                  <c:v>5.3999999999999999E-2</c:v>
                </c:pt>
                <c:pt idx="17">
                  <c:v>2.7037635371791112E-3</c:v>
                </c:pt>
                <c:pt idx="18">
                  <c:v>6.0154316883117035E-4</c:v>
                </c:pt>
                <c:pt idx="19">
                  <c:v>7.9034947183198264E-4</c:v>
                </c:pt>
              </c:numCache>
            </c:numRef>
          </c:val>
          <c:extLst>
            <c:ext xmlns:c16="http://schemas.microsoft.com/office/drawing/2014/chart" uri="{C3380CC4-5D6E-409C-BE32-E72D297353CC}">
              <c16:uniqueId val="{00000000-922D-4C35-AA1D-A1A32643B0A4}"/>
            </c:ext>
          </c:extLst>
        </c:ser>
        <c:ser>
          <c:idx val="1"/>
          <c:order val="1"/>
          <c:tx>
            <c:v>Corrigé</c:v>
          </c:tx>
          <c:spPr>
            <a:solidFill>
              <a:schemeClr val="accent2"/>
            </a:solidFill>
            <a:ln>
              <a:noFill/>
            </a:ln>
            <a:effectLst/>
          </c:spPr>
          <c:invertIfNegative val="0"/>
          <c:cat>
            <c:strRef>
              <c:extLst>
                <c:ext xmlns:c15="http://schemas.microsoft.com/office/drawing/2012/chart" uri="{02D57815-91ED-43cb-92C2-25804820EDAC}">
                  <c15:fullRef>
                    <c15:sqref>SIMULATEUR!$G$3:$G$23</c15:sqref>
                  </c15:fullRef>
                </c:ext>
              </c:extLst>
              <c:f>(SIMULATEUR!$G$3,SIMULATEUR!$G$5:$G$23)</c:f>
              <c:strCache>
                <c:ptCount val="20"/>
                <c:pt idx="0">
                  <c:v>Cancer de la prostate</c:v>
                </c:pt>
                <c:pt idx="1">
                  <c:v>Insuffisance rénale</c:v>
                </c:pt>
                <c:pt idx="2">
                  <c:v>Lithiase urinaire</c:v>
                </c:pt>
                <c:pt idx="3">
                  <c:v>Ostéopénie</c:v>
                </c:pt>
                <c:pt idx="4">
                  <c:v>Cancer du colon</c:v>
                </c:pt>
                <c:pt idx="5">
                  <c:v>Maladie du Foie et lithiase biliaire</c:v>
                </c:pt>
                <c:pt idx="6">
                  <c:v>Insuffisance thyroidienne</c:v>
                </c:pt>
                <c:pt idx="7">
                  <c:v>Dyslipidémie</c:v>
                </c:pt>
                <c:pt idx="8">
                  <c:v>Diabéte</c:v>
                </c:pt>
                <c:pt idx="9">
                  <c:v>Syndrome métabolique</c:v>
                </c:pt>
                <c:pt idx="10">
                  <c:v>Thrombophlébite</c:v>
                </c:pt>
                <c:pt idx="11">
                  <c:v>Anévrysme et artériopathie</c:v>
                </c:pt>
                <c:pt idx="12">
                  <c:v>Accident vasculaire cérébral</c:v>
                </c:pt>
                <c:pt idx="13">
                  <c:v>Cardiopathie ischémique</c:v>
                </c:pt>
                <c:pt idx="14">
                  <c:v>Cancer du poumon</c:v>
                </c:pt>
                <c:pt idx="15">
                  <c:v>Cancer ORL</c:v>
                </c:pt>
                <c:pt idx="16">
                  <c:v>Asthme et BPCO</c:v>
                </c:pt>
                <c:pt idx="17">
                  <c:v>Mélanome</c:v>
                </c:pt>
                <c:pt idx="18">
                  <c:v>Cancers du sein</c:v>
                </c:pt>
                <c:pt idx="19">
                  <c:v>Tumeur de vessie</c:v>
                </c:pt>
              </c:strCache>
            </c:strRef>
          </c:cat>
          <c:val>
            <c:numRef>
              <c:extLst>
                <c:ext xmlns:c15="http://schemas.microsoft.com/office/drawing/2012/chart" uri="{02D57815-91ED-43cb-92C2-25804820EDAC}">
                  <c15:fullRef>
                    <c15:sqref>SIMULATEUR!$J$3:$J$23</c15:sqref>
                  </c15:fullRef>
                </c:ext>
              </c:extLst>
              <c:f>(SIMULATEUR!$J$3,SIMULATEUR!$J$5:$J$23)</c:f>
              <c:numCache>
                <c:formatCode>0.00%</c:formatCode>
                <c:ptCount val="20"/>
                <c:pt idx="0">
                  <c:v>0.16018404479999995</c:v>
                </c:pt>
                <c:pt idx="1">
                  <c:v>0.10054491428571399</c:v>
                </c:pt>
                <c:pt idx="2">
                  <c:v>0.2752704000000058</c:v>
                </c:pt>
                <c:pt idx="3">
                  <c:v>2.6041782857142835E-2</c:v>
                </c:pt>
                <c:pt idx="4">
                  <c:v>3.3292283918780578E-2</c:v>
                </c:pt>
                <c:pt idx="5">
                  <c:v>0.20127264851439713</c:v>
                </c:pt>
                <c:pt idx="6">
                  <c:v>0.11520000000000002</c:v>
                </c:pt>
                <c:pt idx="7">
                  <c:v>1</c:v>
                </c:pt>
                <c:pt idx="8">
                  <c:v>4.4878628571428623E-2</c:v>
                </c:pt>
                <c:pt idx="9">
                  <c:v>0.36857142857142866</c:v>
                </c:pt>
                <c:pt idx="10">
                  <c:v>2.5920000000000002E-2</c:v>
                </c:pt>
                <c:pt idx="11">
                  <c:v>6.2208000000000006E-2</c:v>
                </c:pt>
                <c:pt idx="12">
                  <c:v>5.6255523333333335E-2</c:v>
                </c:pt>
                <c:pt idx="13">
                  <c:v>0.29162863296000002</c:v>
                </c:pt>
                <c:pt idx="14">
                  <c:v>1.904571446175906E-4</c:v>
                </c:pt>
                <c:pt idx="15">
                  <c:v>1.5197000129709289E-2</c:v>
                </c:pt>
                <c:pt idx="16">
                  <c:v>7.7759999999999996E-2</c:v>
                </c:pt>
                <c:pt idx="17">
                  <c:v>3.8934194935379201E-3</c:v>
                </c:pt>
                <c:pt idx="18">
                  <c:v>8.6622216311688528E-4</c:v>
                </c:pt>
                <c:pt idx="19">
                  <c:v>1.1381032394380548E-3</c:v>
                </c:pt>
              </c:numCache>
            </c:numRef>
          </c:val>
          <c:extLst>
            <c:ext xmlns:c16="http://schemas.microsoft.com/office/drawing/2014/chart" uri="{C3380CC4-5D6E-409C-BE32-E72D297353CC}">
              <c16:uniqueId val="{00000002-922D-4C35-AA1D-A1A32643B0A4}"/>
            </c:ext>
          </c:extLst>
        </c:ser>
        <c:dLbls>
          <c:showLegendKey val="0"/>
          <c:showVal val="0"/>
          <c:showCatName val="0"/>
          <c:showSerName val="0"/>
          <c:showPercent val="0"/>
          <c:showBubbleSize val="0"/>
        </c:dLbls>
        <c:gapWidth val="219"/>
        <c:overlap val="-27"/>
        <c:axId val="727864720"/>
        <c:axId val="727865048"/>
      </c:barChart>
      <c:catAx>
        <c:axId val="727864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fr-FR"/>
          </a:p>
        </c:txPr>
        <c:crossAx val="727865048"/>
        <c:crosses val="autoZero"/>
        <c:auto val="1"/>
        <c:lblAlgn val="ctr"/>
        <c:lblOffset val="100"/>
        <c:noMultiLvlLbl val="0"/>
      </c:catAx>
      <c:valAx>
        <c:axId val="7278650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278647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SIMULATEUR!$E$2</c:f>
              <c:strCache>
                <c:ptCount val="1"/>
                <c:pt idx="0">
                  <c:v>Avec action colonne a utiliser</c:v>
                </c:pt>
              </c:strCache>
            </c:strRef>
          </c:tx>
          <c:spPr>
            <a:solidFill>
              <a:schemeClr val="accent1"/>
            </a:solidFill>
            <a:ln>
              <a:noFill/>
            </a:ln>
            <a:effectLst/>
          </c:spPr>
          <c:invertIfNegative val="0"/>
          <c:cat>
            <c:strRef>
              <c:f>SIMULATEUR!$D$3:$D$23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SIMULATEUR!$E$3:$E$23</c:f>
              <c:numCache>
                <c:formatCode>0.00</c:formatCode>
                <c:ptCount val="21"/>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numCache>
            </c:numRef>
          </c:val>
          <c:extLst>
            <c:ext xmlns:c16="http://schemas.microsoft.com/office/drawing/2014/chart" uri="{C3380CC4-5D6E-409C-BE32-E72D297353CC}">
              <c16:uniqueId val="{00000000-FADE-4E8F-B9A5-493EDC6DBF1B}"/>
            </c:ext>
          </c:extLst>
        </c:ser>
        <c:dLbls>
          <c:showLegendKey val="0"/>
          <c:showVal val="0"/>
          <c:showCatName val="0"/>
          <c:showSerName val="0"/>
          <c:showPercent val="0"/>
          <c:showBubbleSize val="0"/>
        </c:dLbls>
        <c:gapWidth val="219"/>
        <c:overlap val="-27"/>
        <c:axId val="201371135"/>
        <c:axId val="201380255"/>
      </c:barChart>
      <c:catAx>
        <c:axId val="201371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1380255"/>
        <c:crosses val="autoZero"/>
        <c:auto val="1"/>
        <c:lblAlgn val="ctr"/>
        <c:lblOffset val="100"/>
        <c:noMultiLvlLbl val="0"/>
      </c:catAx>
      <c:valAx>
        <c:axId val="2013802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137113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349225235734423"/>
          <c:y val="9.0112850001633632E-2"/>
          <c:w val="0.53194906192281521"/>
          <c:h val="0.59136798771522858"/>
        </c:manualLayout>
      </c:layout>
      <c:radarChart>
        <c:radarStyle val="filled"/>
        <c:varyColors val="0"/>
        <c:ser>
          <c:idx val="1"/>
          <c:order val="0"/>
          <c:spPr>
            <a:solidFill>
              <a:schemeClr val="accent6">
                <a:lumMod val="60000"/>
                <a:lumOff val="40000"/>
                <a:alpha val="52000"/>
              </a:schemeClr>
            </a:solidFill>
            <a:ln>
              <a:solidFill>
                <a:srgbClr val="00B050"/>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RESULTATS!$S$3:$S$23</c:f>
              <c:numCache>
                <c:formatCode>General</c:formatCode>
                <c:ptCount val="21"/>
                <c:pt idx="0">
                  <c:v>1.2</c:v>
                </c:pt>
                <c:pt idx="1">
                  <c:v>1.2</c:v>
                </c:pt>
                <c:pt idx="2">
                  <c:v>1.2</c:v>
                </c:pt>
                <c:pt idx="3">
                  <c:v>1.2</c:v>
                </c:pt>
                <c:pt idx="4">
                  <c:v>1.2</c:v>
                </c:pt>
                <c:pt idx="5">
                  <c:v>1.2</c:v>
                </c:pt>
                <c:pt idx="6">
                  <c:v>1.2</c:v>
                </c:pt>
                <c:pt idx="7">
                  <c:v>1.2</c:v>
                </c:pt>
                <c:pt idx="8">
                  <c:v>1.2</c:v>
                </c:pt>
                <c:pt idx="9">
                  <c:v>1.2</c:v>
                </c:pt>
                <c:pt idx="10">
                  <c:v>1.2</c:v>
                </c:pt>
                <c:pt idx="11">
                  <c:v>1.2</c:v>
                </c:pt>
                <c:pt idx="12">
                  <c:v>1.2</c:v>
                </c:pt>
                <c:pt idx="13">
                  <c:v>1.2</c:v>
                </c:pt>
                <c:pt idx="14">
                  <c:v>1.2</c:v>
                </c:pt>
                <c:pt idx="15">
                  <c:v>1.2</c:v>
                </c:pt>
                <c:pt idx="16">
                  <c:v>1.2</c:v>
                </c:pt>
                <c:pt idx="17">
                  <c:v>1.2</c:v>
                </c:pt>
                <c:pt idx="18">
                  <c:v>1.2</c:v>
                </c:pt>
                <c:pt idx="19">
                  <c:v>1.2</c:v>
                </c:pt>
                <c:pt idx="20">
                  <c:v>1.2</c:v>
                </c:pt>
              </c:numCache>
            </c:numRef>
          </c:val>
          <c:extLst>
            <c:ext xmlns:c16="http://schemas.microsoft.com/office/drawing/2014/chart" uri="{C3380CC4-5D6E-409C-BE32-E72D297353CC}">
              <c16:uniqueId val="{00000001-BDD6-483C-B247-93D887FD4E92}"/>
            </c:ext>
          </c:extLst>
        </c:ser>
        <c:ser>
          <c:idx val="0"/>
          <c:order val="1"/>
          <c:spPr>
            <a:noFill/>
            <a:ln w="57150">
              <a:solidFill>
                <a:srgbClr val="7030A0"/>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RESULTATS!$T$3:$T$23</c:f>
              <c:numCache>
                <c:formatCode>0.00</c:formatCode>
                <c:ptCount val="21"/>
                <c:pt idx="0">
                  <c:v>1.4359304347825996</c:v>
                </c:pt>
                <c:pt idx="1">
                  <c:v>1.2</c:v>
                </c:pt>
                <c:pt idx="2">
                  <c:v>1.2</c:v>
                </c:pt>
                <c:pt idx="3">
                  <c:v>2.16</c:v>
                </c:pt>
                <c:pt idx="4">
                  <c:v>0.96000000000000008</c:v>
                </c:pt>
                <c:pt idx="5">
                  <c:v>1.296</c:v>
                </c:pt>
                <c:pt idx="6">
                  <c:v>1.4799459449588015</c:v>
                </c:pt>
                <c:pt idx="7">
                  <c:v>1</c:v>
                </c:pt>
                <c:pt idx="8">
                  <c:v>3</c:v>
                </c:pt>
                <c:pt idx="9">
                  <c:v>1.08</c:v>
                </c:pt>
                <c:pt idx="10">
                  <c:v>2</c:v>
                </c:pt>
                <c:pt idx="11">
                  <c:v>0.90000000000000013</c:v>
                </c:pt>
                <c:pt idx="12">
                  <c:v>1.08</c:v>
                </c:pt>
                <c:pt idx="13">
                  <c:v>0.75574873293706268</c:v>
                </c:pt>
                <c:pt idx="14">
                  <c:v>1.1608500144404341</c:v>
                </c:pt>
                <c:pt idx="15">
                  <c:v>0.01</c:v>
                </c:pt>
                <c:pt idx="16">
                  <c:v>0.05</c:v>
                </c:pt>
                <c:pt idx="17">
                  <c:v>0.9</c:v>
                </c:pt>
                <c:pt idx="18">
                  <c:v>0.89999999999999991</c:v>
                </c:pt>
                <c:pt idx="19">
                  <c:v>1.08</c:v>
                </c:pt>
                <c:pt idx="20">
                  <c:v>0.09</c:v>
                </c:pt>
              </c:numCache>
            </c:numRef>
          </c:val>
          <c:extLst>
            <c:ext xmlns:c16="http://schemas.microsoft.com/office/drawing/2014/chart" uri="{C3380CC4-5D6E-409C-BE32-E72D297353CC}">
              <c16:uniqueId val="{00000003-BDD6-483C-B247-93D887FD4E92}"/>
            </c:ext>
          </c:extLst>
        </c:ser>
        <c:ser>
          <c:idx val="2"/>
          <c:order val="2"/>
          <c:spPr>
            <a:solidFill>
              <a:schemeClr val="accent2">
                <a:lumMod val="60000"/>
                <a:lumOff val="40000"/>
                <a:alpha val="25000"/>
              </a:schemeClr>
            </a:solidFill>
            <a:ln>
              <a:solidFill>
                <a:schemeClr val="accent2"/>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RESULTATS!$U$3:$U$23</c:f>
              <c:numCache>
                <c:formatCode>0.00</c:formatCode>
                <c:ptCount val="21"/>
                <c:pt idx="0">
                  <c:v>2.2000000000000002</c:v>
                </c:pt>
                <c:pt idx="1">
                  <c:v>2.2000000000000002</c:v>
                </c:pt>
                <c:pt idx="2">
                  <c:v>2.2000000000000002</c:v>
                </c:pt>
                <c:pt idx="3">
                  <c:v>2.2000000000000002</c:v>
                </c:pt>
                <c:pt idx="4">
                  <c:v>2.2000000000000002</c:v>
                </c:pt>
                <c:pt idx="5">
                  <c:v>2.2000000000000002</c:v>
                </c:pt>
                <c:pt idx="6">
                  <c:v>2.2000000000000002</c:v>
                </c:pt>
                <c:pt idx="7">
                  <c:v>2.2000000000000002</c:v>
                </c:pt>
                <c:pt idx="8">
                  <c:v>2.2000000000000002</c:v>
                </c:pt>
                <c:pt idx="9">
                  <c:v>2.2000000000000002</c:v>
                </c:pt>
                <c:pt idx="10">
                  <c:v>2.2000000000000002</c:v>
                </c:pt>
                <c:pt idx="11">
                  <c:v>2.2000000000000002</c:v>
                </c:pt>
                <c:pt idx="12">
                  <c:v>2.2000000000000002</c:v>
                </c:pt>
                <c:pt idx="13">
                  <c:v>2.2000000000000002</c:v>
                </c:pt>
                <c:pt idx="14">
                  <c:v>2.2000000000000002</c:v>
                </c:pt>
                <c:pt idx="15">
                  <c:v>2.2000000000000002</c:v>
                </c:pt>
                <c:pt idx="16">
                  <c:v>2.2000000000000002</c:v>
                </c:pt>
                <c:pt idx="17">
                  <c:v>2.2000000000000002</c:v>
                </c:pt>
                <c:pt idx="18">
                  <c:v>2.2000000000000002</c:v>
                </c:pt>
                <c:pt idx="19">
                  <c:v>2.2000000000000002</c:v>
                </c:pt>
                <c:pt idx="20">
                  <c:v>2.2000000000000002</c:v>
                </c:pt>
              </c:numCache>
            </c:numRef>
          </c:val>
          <c:extLst>
            <c:ext xmlns:c16="http://schemas.microsoft.com/office/drawing/2014/chart" uri="{C3380CC4-5D6E-409C-BE32-E72D297353CC}">
              <c16:uniqueId val="{00000004-BDD6-483C-B247-93D887FD4E92}"/>
            </c:ext>
          </c:extLst>
        </c:ser>
        <c:ser>
          <c:idx val="3"/>
          <c:order val="3"/>
          <c:spPr>
            <a:solidFill>
              <a:srgbClr val="FF0000">
                <a:alpha val="9000"/>
              </a:srgbClr>
            </a:solidFill>
            <a:ln>
              <a:no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RESULTATS!$V$3:$V$23</c:f>
              <c:numCache>
                <c:formatCode>0.00</c:formatCode>
                <c:ptCount val="21"/>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numCache>
            </c:numRef>
          </c:val>
          <c:extLst>
            <c:ext xmlns:c16="http://schemas.microsoft.com/office/drawing/2014/chart" uri="{C3380CC4-5D6E-409C-BE32-E72D297353CC}">
              <c16:uniqueId val="{00000005-BDD6-483C-B247-93D887FD4E92}"/>
            </c:ext>
          </c:extLst>
        </c:ser>
        <c:dLbls>
          <c:showLegendKey val="0"/>
          <c:showVal val="0"/>
          <c:showCatName val="0"/>
          <c:showSerName val="0"/>
          <c:showPercent val="0"/>
          <c:showBubbleSize val="0"/>
        </c:dLbls>
        <c:axId val="547353263"/>
        <c:axId val="547353743"/>
      </c:radarChart>
      <c:catAx>
        <c:axId val="54735326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547353743"/>
        <c:crosses val="autoZero"/>
        <c:auto val="1"/>
        <c:lblAlgn val="ctr"/>
        <c:lblOffset val="100"/>
        <c:noMultiLvlLbl val="0"/>
      </c:catAx>
      <c:valAx>
        <c:axId val="547353743"/>
        <c:scaling>
          <c:orientation val="minMax"/>
          <c:max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7353263"/>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clustered"/>
        <c:varyColors val="0"/>
        <c:ser>
          <c:idx val="0"/>
          <c:order val="0"/>
          <c:tx>
            <c:strRef>
              <c:f>RESULTATS!$E$27</c:f>
              <c:strCache>
                <c:ptCount val="1"/>
                <c:pt idx="0">
                  <c:v>Score Clinique</c:v>
                </c:pt>
              </c:strCache>
            </c:strRef>
          </c:tx>
          <c:spPr>
            <a:solidFill>
              <a:schemeClr val="accent1"/>
            </a:solidFill>
            <a:ln>
              <a:noFill/>
            </a:ln>
            <a:effectLst/>
          </c:spPr>
          <c:invertIfNegative val="0"/>
          <c:cat>
            <c:strRef>
              <c:f>RESULTATS!$D$28:$D$91</c:f>
              <c:strCache>
                <c:ptCount val="64"/>
                <c:pt idx="0">
                  <c:v>Thrombose vasculaire</c:v>
                </c:pt>
                <c:pt idx="1">
                  <c:v>Anévrysme de l'aorte abdominale</c:v>
                </c:pt>
                <c:pt idx="2">
                  <c:v>Artériopathie des membres inférieurs</c:v>
                </c:pt>
                <c:pt idx="3">
                  <c:v>Cardiopathie ischémique</c:v>
                </c:pt>
                <c:pt idx="4">
                  <c:v>Hypertension artérielle</c:v>
                </c:pt>
                <c:pt idx="5">
                  <c:v>Arythmie cardiaque et fibrillation auriculaire</c:v>
                </c:pt>
                <c:pt idx="6">
                  <c:v>Cancer du côlon et du rectum</c:v>
                </c:pt>
                <c:pt idx="7">
                  <c:v>Cancer de l’estomac</c:v>
                </c:pt>
                <c:pt idx="8">
                  <c:v>Cancer du foie</c:v>
                </c:pt>
                <c:pt idx="9">
                  <c:v>Cancer du pancréas</c:v>
                </c:pt>
                <c:pt idx="10">
                  <c:v>Stéatose hépatique et NASH (stéato-hépatite non alcoolique)</c:v>
                </c:pt>
                <c:pt idx="11">
                  <c:v>Cirrhose hépatique</c:v>
                </c:pt>
                <c:pt idx="12">
                  <c:v>Lithiase (calculs) biliaire</c:v>
                </c:pt>
                <c:pt idx="13">
                  <c:v>Ulcère gastroduodénal</c:v>
                </c:pt>
                <c:pt idx="14">
                  <c:v>Reflux gastro-œsophagien (RGO)</c:v>
                </c:pt>
                <c:pt idx="15">
                  <c:v>Colopathie fonctionnelle</c:v>
                </c:pt>
                <c:pt idx="16">
                  <c:v>Intolérances alimentaires (gluten et lactose)</c:v>
                </c:pt>
                <c:pt idx="17">
                  <c:v>Dyslipidémie</c:v>
                </c:pt>
                <c:pt idx="18">
                  <c:v>Diabète</c:v>
                </c:pt>
                <c:pt idx="19">
                  <c:v>Syndrome métabolique</c:v>
                </c:pt>
                <c:pt idx="20">
                  <c:v>Dysfonction thyroïdienne</c:v>
                </c:pt>
                <c:pt idx="21">
                  <c:v>Hyperuricémie</c:v>
                </c:pt>
                <c:pt idx="22">
                  <c:v>Anémie</c:v>
                </c:pt>
                <c:pt idx="23">
                  <c:v>Polyglobulie</c:v>
                </c:pt>
                <c:pt idx="24">
                  <c:v>Thrombocytose</c:v>
                </c:pt>
                <c:pt idx="25">
                  <c:v>Thrombopénie</c:v>
                </c:pt>
                <c:pt idx="26">
                  <c:v>Leucopénie </c:v>
                </c:pt>
                <c:pt idx="27">
                  <c:v>Leucocytose</c:v>
                </c:pt>
                <c:pt idx="28">
                  <c:v>Lymphopénie</c:v>
                </c:pt>
                <c:pt idx="29">
                  <c:v>HyperÉosinophilie</c:v>
                </c:pt>
                <c:pt idx="30">
                  <c:v>Monocytose</c:v>
                </c:pt>
                <c:pt idx="31">
                  <c:v>Risque hémorragique</c:v>
                </c:pt>
                <c:pt idx="32">
                  <c:v>Mélanome et cancers cutanés</c:v>
                </c:pt>
                <c:pt idx="33">
                  <c:v>Ostéopénie</c:v>
                </c:pt>
                <c:pt idx="34">
                  <c:v>Sarcopénie</c:v>
                </c:pt>
                <c:pt idx="35">
                  <c:v>Arthrose dégénérative</c:v>
                </c:pt>
                <c:pt idx="36">
                  <c:v>Rhumatisme inflammatoire et goutte</c:v>
                </c:pt>
                <c:pt idx="37">
                  <c:v>Accident vasculaire cérébral (AVC)</c:v>
                </c:pt>
                <c:pt idx="38">
                  <c:v>Dépression</c:v>
                </c:pt>
                <c:pt idx="39">
                  <c:v>Apnée du sommeil</c:v>
                </c:pt>
                <c:pt idx="40">
                  <c:v>Burn-out</c:v>
                </c:pt>
                <c:pt idx="41">
                  <c:v>Syndrome des jambes sans repos</c:v>
                </c:pt>
                <c:pt idx="42">
                  <c:v>Cancer du poumon et des bronches</c:v>
                </c:pt>
                <c:pt idx="43">
                  <c:v>Cancer de la langue et pharyngo-larynx</c:v>
                </c:pt>
                <c:pt idx="44">
                  <c:v>Asthme</c:v>
                </c:pt>
                <c:pt idx="45">
                  <c:v>BPCO (Bronchopneumopathie chronique obstructive)</c:v>
                </c:pt>
                <c:pt idx="46">
                  <c:v>Pollinose saisonnière (rhume des foins)</c:v>
                </c:pt>
                <c:pt idx="47">
                  <c:v>Intolérance ou allergie</c:v>
                </c:pt>
                <c:pt idx="48">
                  <c:v>Cancers du sein</c:v>
                </c:pt>
                <c:pt idx="49">
                  <c:v>Cancer de l’ovaire</c:v>
                </c:pt>
                <c:pt idx="50">
                  <c:v>Cancer de l’endomètre (utérus)</c:v>
                </c:pt>
                <c:pt idx="51">
                  <c:v>Cancer du col de l’utérus</c:v>
                </c:pt>
                <c:pt idx="52">
                  <c:v>Cancer du rein</c:v>
                </c:pt>
                <c:pt idx="53">
                  <c:v>Tumeur des voies excrétrices urinaires</c:v>
                </c:pt>
                <c:pt idx="54">
                  <c:v>Cancer de la prostate</c:v>
                </c:pt>
                <c:pt idx="55">
                  <c:v>Hypertrophie bénigne de la prostate (adénome de la prostate)</c:v>
                </c:pt>
                <c:pt idx="56">
                  <c:v>Insuffisance rénale chronique</c:v>
                </c:pt>
                <c:pt idx="57">
                  <c:v>Lithiase (calculs) urinaire </c:v>
                </c:pt>
                <c:pt idx="58">
                  <c:v>Incontinence urinaire</c:v>
                </c:pt>
                <c:pt idx="59">
                  <c:v>Dysfonction érectile</c:v>
                </c:pt>
                <c:pt idx="60">
                  <c:v>Endométriose</c:v>
                </c:pt>
                <c:pt idx="61">
                  <c:v>SOPK (Syndrome des ovaires polykystiques)</c:v>
                </c:pt>
                <c:pt idx="62">
                  <c:v>Déficit œstrogénique lié à l'âge</c:v>
                </c:pt>
                <c:pt idx="63">
                  <c:v>Déficit androgénique lié à l'âge</c:v>
                </c:pt>
              </c:strCache>
            </c:strRef>
          </c:cat>
          <c:val>
            <c:numRef>
              <c:f>RESULTATS!$E$28:$E$91</c:f>
              <c:numCache>
                <c:formatCode>General</c:formatCode>
                <c:ptCount val="64"/>
                <c:pt idx="0">
                  <c:v>1</c:v>
                </c:pt>
                <c:pt idx="1">
                  <c:v>0.8</c:v>
                </c:pt>
                <c:pt idx="2">
                  <c:v>1.2</c:v>
                </c:pt>
                <c:pt idx="3">
                  <c:v>1.2</c:v>
                </c:pt>
                <c:pt idx="4">
                  <c:v>1200</c:v>
                </c:pt>
                <c:pt idx="5">
                  <c:v>0.9</c:v>
                </c:pt>
                <c:pt idx="6">
                  <c:v>1.2</c:v>
                </c:pt>
                <c:pt idx="7">
                  <c:v>0.9</c:v>
                </c:pt>
                <c:pt idx="8">
                  <c:v>0.9</c:v>
                </c:pt>
                <c:pt idx="9">
                  <c:v>1.1000000000000001</c:v>
                </c:pt>
                <c:pt idx="10">
                  <c:v>1.2</c:v>
                </c:pt>
                <c:pt idx="11">
                  <c:v>1.2</c:v>
                </c:pt>
                <c:pt idx="12">
                  <c:v>1200</c:v>
                </c:pt>
                <c:pt idx="13">
                  <c:v>0.8</c:v>
                </c:pt>
                <c:pt idx="14">
                  <c:v>1.2</c:v>
                </c:pt>
                <c:pt idx="15">
                  <c:v>0.8</c:v>
                </c:pt>
                <c:pt idx="16">
                  <c:v>1</c:v>
                </c:pt>
                <c:pt idx="17">
                  <c:v>1200</c:v>
                </c:pt>
                <c:pt idx="18">
                  <c:v>1.2</c:v>
                </c:pt>
                <c:pt idx="19">
                  <c:v>1.2</c:v>
                </c:pt>
                <c:pt idx="20">
                  <c:v>1.1000000000000001</c:v>
                </c:pt>
                <c:pt idx="21">
                  <c:v>0.98</c:v>
                </c:pt>
                <c:pt idx="22">
                  <c:v>0.98</c:v>
                </c:pt>
                <c:pt idx="23">
                  <c:v>0.98</c:v>
                </c:pt>
                <c:pt idx="24">
                  <c:v>0.98</c:v>
                </c:pt>
                <c:pt idx="25">
                  <c:v>0.98</c:v>
                </c:pt>
                <c:pt idx="26">
                  <c:v>0.98</c:v>
                </c:pt>
                <c:pt idx="27">
                  <c:v>0.98</c:v>
                </c:pt>
                <c:pt idx="28">
                  <c:v>0.98</c:v>
                </c:pt>
                <c:pt idx="29">
                  <c:v>0.98</c:v>
                </c:pt>
                <c:pt idx="30">
                  <c:v>0.98</c:v>
                </c:pt>
                <c:pt idx="31">
                  <c:v>1.2</c:v>
                </c:pt>
                <c:pt idx="32">
                  <c:v>0.9</c:v>
                </c:pt>
                <c:pt idx="33">
                  <c:v>1.2</c:v>
                </c:pt>
                <c:pt idx="34">
                  <c:v>1.2</c:v>
                </c:pt>
                <c:pt idx="35">
                  <c:v>1.2</c:v>
                </c:pt>
                <c:pt idx="36">
                  <c:v>0.9</c:v>
                </c:pt>
                <c:pt idx="37">
                  <c:v>1.7999999999999998</c:v>
                </c:pt>
                <c:pt idx="38">
                  <c:v>2</c:v>
                </c:pt>
                <c:pt idx="39">
                  <c:v>1.2</c:v>
                </c:pt>
                <c:pt idx="40">
                  <c:v>2</c:v>
                </c:pt>
                <c:pt idx="41">
                  <c:v>0.8</c:v>
                </c:pt>
                <c:pt idx="42">
                  <c:v>1.2</c:v>
                </c:pt>
                <c:pt idx="43">
                  <c:v>0.52500000000000002</c:v>
                </c:pt>
                <c:pt idx="44">
                  <c:v>0.9</c:v>
                </c:pt>
                <c:pt idx="45">
                  <c:v>1.2</c:v>
                </c:pt>
                <c:pt idx="46">
                  <c:v>0.9</c:v>
                </c:pt>
                <c:pt idx="47">
                  <c:v>0.9</c:v>
                </c:pt>
                <c:pt idx="48">
                  <c:v>1.2E-2</c:v>
                </c:pt>
                <c:pt idx="49">
                  <c:v>0</c:v>
                </c:pt>
                <c:pt idx="50">
                  <c:v>0</c:v>
                </c:pt>
                <c:pt idx="51">
                  <c:v>0</c:v>
                </c:pt>
                <c:pt idx="52">
                  <c:v>1.2</c:v>
                </c:pt>
                <c:pt idx="53">
                  <c:v>0.9</c:v>
                </c:pt>
                <c:pt idx="54">
                  <c:v>1.2</c:v>
                </c:pt>
                <c:pt idx="55">
                  <c:v>0.8</c:v>
                </c:pt>
                <c:pt idx="56">
                  <c:v>0.8</c:v>
                </c:pt>
                <c:pt idx="57">
                  <c:v>1.5</c:v>
                </c:pt>
                <c:pt idx="58">
                  <c:v>0.8</c:v>
                </c:pt>
                <c:pt idx="59">
                  <c:v>1.2</c:v>
                </c:pt>
                <c:pt idx="60">
                  <c:v>0</c:v>
                </c:pt>
                <c:pt idx="61">
                  <c:v>0</c:v>
                </c:pt>
                <c:pt idx="62">
                  <c:v>0</c:v>
                </c:pt>
                <c:pt idx="63">
                  <c:v>1</c:v>
                </c:pt>
              </c:numCache>
            </c:numRef>
          </c:val>
          <c:extLst>
            <c:ext xmlns:c16="http://schemas.microsoft.com/office/drawing/2014/chart" uri="{C3380CC4-5D6E-409C-BE32-E72D297353CC}">
              <c16:uniqueId val="{00000000-C10E-4257-8FD1-7EB92FC0AC54}"/>
            </c:ext>
          </c:extLst>
        </c:ser>
        <c:ser>
          <c:idx val="1"/>
          <c:order val="1"/>
          <c:tx>
            <c:strRef>
              <c:f>RESULTATS!$F$27</c:f>
              <c:strCache>
                <c:ptCount val="1"/>
                <c:pt idx="0">
                  <c:v>Score Mixte</c:v>
                </c:pt>
              </c:strCache>
            </c:strRef>
          </c:tx>
          <c:spPr>
            <a:solidFill>
              <a:schemeClr val="accent2"/>
            </a:solidFill>
            <a:ln>
              <a:noFill/>
            </a:ln>
            <a:effectLst/>
          </c:spPr>
          <c:invertIfNegative val="0"/>
          <c:cat>
            <c:strRef>
              <c:f>RESULTATS!$D$28:$D$91</c:f>
              <c:strCache>
                <c:ptCount val="64"/>
                <c:pt idx="0">
                  <c:v>Thrombose vasculaire</c:v>
                </c:pt>
                <c:pt idx="1">
                  <c:v>Anévrysme de l'aorte abdominale</c:v>
                </c:pt>
                <c:pt idx="2">
                  <c:v>Artériopathie des membres inférieurs</c:v>
                </c:pt>
                <c:pt idx="3">
                  <c:v>Cardiopathie ischémique</c:v>
                </c:pt>
                <c:pt idx="4">
                  <c:v>Hypertension artérielle</c:v>
                </c:pt>
                <c:pt idx="5">
                  <c:v>Arythmie cardiaque et fibrillation auriculaire</c:v>
                </c:pt>
                <c:pt idx="6">
                  <c:v>Cancer du côlon et du rectum</c:v>
                </c:pt>
                <c:pt idx="7">
                  <c:v>Cancer de l’estomac</c:v>
                </c:pt>
                <c:pt idx="8">
                  <c:v>Cancer du foie</c:v>
                </c:pt>
                <c:pt idx="9">
                  <c:v>Cancer du pancréas</c:v>
                </c:pt>
                <c:pt idx="10">
                  <c:v>Stéatose hépatique et NASH (stéato-hépatite non alcoolique)</c:v>
                </c:pt>
                <c:pt idx="11">
                  <c:v>Cirrhose hépatique</c:v>
                </c:pt>
                <c:pt idx="12">
                  <c:v>Lithiase (calculs) biliaire</c:v>
                </c:pt>
                <c:pt idx="13">
                  <c:v>Ulcère gastroduodénal</c:v>
                </c:pt>
                <c:pt idx="14">
                  <c:v>Reflux gastro-œsophagien (RGO)</c:v>
                </c:pt>
                <c:pt idx="15">
                  <c:v>Colopathie fonctionnelle</c:v>
                </c:pt>
                <c:pt idx="16">
                  <c:v>Intolérances alimentaires (gluten et lactose)</c:v>
                </c:pt>
                <c:pt idx="17">
                  <c:v>Dyslipidémie</c:v>
                </c:pt>
                <c:pt idx="18">
                  <c:v>Diabète</c:v>
                </c:pt>
                <c:pt idx="19">
                  <c:v>Syndrome métabolique</c:v>
                </c:pt>
                <c:pt idx="20">
                  <c:v>Dysfonction thyroïdienne</c:v>
                </c:pt>
                <c:pt idx="21">
                  <c:v>Hyperuricémie</c:v>
                </c:pt>
                <c:pt idx="22">
                  <c:v>Anémie</c:v>
                </c:pt>
                <c:pt idx="23">
                  <c:v>Polyglobulie</c:v>
                </c:pt>
                <c:pt idx="24">
                  <c:v>Thrombocytose</c:v>
                </c:pt>
                <c:pt idx="25">
                  <c:v>Thrombopénie</c:v>
                </c:pt>
                <c:pt idx="26">
                  <c:v>Leucopénie </c:v>
                </c:pt>
                <c:pt idx="27">
                  <c:v>Leucocytose</c:v>
                </c:pt>
                <c:pt idx="28">
                  <c:v>Lymphopénie</c:v>
                </c:pt>
                <c:pt idx="29">
                  <c:v>HyperÉosinophilie</c:v>
                </c:pt>
                <c:pt idx="30">
                  <c:v>Monocytose</c:v>
                </c:pt>
                <c:pt idx="31">
                  <c:v>Risque hémorragique</c:v>
                </c:pt>
                <c:pt idx="32">
                  <c:v>Mélanome et cancers cutanés</c:v>
                </c:pt>
                <c:pt idx="33">
                  <c:v>Ostéopénie</c:v>
                </c:pt>
                <c:pt idx="34">
                  <c:v>Sarcopénie</c:v>
                </c:pt>
                <c:pt idx="35">
                  <c:v>Arthrose dégénérative</c:v>
                </c:pt>
                <c:pt idx="36">
                  <c:v>Rhumatisme inflammatoire et goutte</c:v>
                </c:pt>
                <c:pt idx="37">
                  <c:v>Accident vasculaire cérébral (AVC)</c:v>
                </c:pt>
                <c:pt idx="38">
                  <c:v>Dépression</c:v>
                </c:pt>
                <c:pt idx="39">
                  <c:v>Apnée du sommeil</c:v>
                </c:pt>
                <c:pt idx="40">
                  <c:v>Burn-out</c:v>
                </c:pt>
                <c:pt idx="41">
                  <c:v>Syndrome des jambes sans repos</c:v>
                </c:pt>
                <c:pt idx="42">
                  <c:v>Cancer du poumon et des bronches</c:v>
                </c:pt>
                <c:pt idx="43">
                  <c:v>Cancer de la langue et pharyngo-larynx</c:v>
                </c:pt>
                <c:pt idx="44">
                  <c:v>Asthme</c:v>
                </c:pt>
                <c:pt idx="45">
                  <c:v>BPCO (Bronchopneumopathie chronique obstructive)</c:v>
                </c:pt>
                <c:pt idx="46">
                  <c:v>Pollinose saisonnière (rhume des foins)</c:v>
                </c:pt>
                <c:pt idx="47">
                  <c:v>Intolérance ou allergie</c:v>
                </c:pt>
                <c:pt idx="48">
                  <c:v>Cancers du sein</c:v>
                </c:pt>
                <c:pt idx="49">
                  <c:v>Cancer de l’ovaire</c:v>
                </c:pt>
                <c:pt idx="50">
                  <c:v>Cancer de l’endomètre (utérus)</c:v>
                </c:pt>
                <c:pt idx="51">
                  <c:v>Cancer du col de l’utérus</c:v>
                </c:pt>
                <c:pt idx="52">
                  <c:v>Cancer du rein</c:v>
                </c:pt>
                <c:pt idx="53">
                  <c:v>Tumeur des voies excrétrices urinaires</c:v>
                </c:pt>
                <c:pt idx="54">
                  <c:v>Cancer de la prostate</c:v>
                </c:pt>
                <c:pt idx="55">
                  <c:v>Hypertrophie bénigne de la prostate (adénome de la prostate)</c:v>
                </c:pt>
                <c:pt idx="56">
                  <c:v>Insuffisance rénale chronique</c:v>
                </c:pt>
                <c:pt idx="57">
                  <c:v>Lithiase (calculs) urinaire </c:v>
                </c:pt>
                <c:pt idx="58">
                  <c:v>Incontinence urinaire</c:v>
                </c:pt>
                <c:pt idx="59">
                  <c:v>Dysfonction érectile</c:v>
                </c:pt>
                <c:pt idx="60">
                  <c:v>Endométriose</c:v>
                </c:pt>
                <c:pt idx="61">
                  <c:v>SOPK (Syndrome des ovaires polykystiques)</c:v>
                </c:pt>
                <c:pt idx="62">
                  <c:v>Déficit œstrogénique lié à l'âge</c:v>
                </c:pt>
                <c:pt idx="63">
                  <c:v>Déficit androgénique lié à l'âge</c:v>
                </c:pt>
              </c:strCache>
            </c:strRef>
          </c:cat>
          <c:val>
            <c:numRef>
              <c:f>RESULTATS!$F$28:$F$91</c:f>
              <c:numCache>
                <c:formatCode>0.00</c:formatCode>
                <c:ptCount val="64"/>
                <c:pt idx="0">
                  <c:v>0.8</c:v>
                </c:pt>
                <c:pt idx="1">
                  <c:v>0.8</c:v>
                </c:pt>
                <c:pt idx="2">
                  <c:v>1.2</c:v>
                </c:pt>
                <c:pt idx="3">
                  <c:v>0.96</c:v>
                </c:pt>
                <c:pt idx="4">
                  <c:v>1200</c:v>
                </c:pt>
                <c:pt idx="5">
                  <c:v>0.9</c:v>
                </c:pt>
                <c:pt idx="6">
                  <c:v>1.2</c:v>
                </c:pt>
                <c:pt idx="7">
                  <c:v>0.9</c:v>
                </c:pt>
                <c:pt idx="8">
                  <c:v>0.9</c:v>
                </c:pt>
                <c:pt idx="9">
                  <c:v>1.1000000000000001</c:v>
                </c:pt>
                <c:pt idx="10">
                  <c:v>0.96</c:v>
                </c:pt>
                <c:pt idx="11">
                  <c:v>0.96</c:v>
                </c:pt>
                <c:pt idx="12">
                  <c:v>1200</c:v>
                </c:pt>
                <c:pt idx="13">
                  <c:v>0.8</c:v>
                </c:pt>
                <c:pt idx="14">
                  <c:v>1.2</c:v>
                </c:pt>
                <c:pt idx="15">
                  <c:v>0.8</c:v>
                </c:pt>
                <c:pt idx="16">
                  <c:v>1</c:v>
                </c:pt>
                <c:pt idx="17">
                  <c:v>1440</c:v>
                </c:pt>
                <c:pt idx="18">
                  <c:v>1.2</c:v>
                </c:pt>
                <c:pt idx="19">
                  <c:v>2.4</c:v>
                </c:pt>
                <c:pt idx="20">
                  <c:v>1.1000000000000001</c:v>
                </c:pt>
                <c:pt idx="21">
                  <c:v>0.98</c:v>
                </c:pt>
                <c:pt idx="22">
                  <c:v>0.98</c:v>
                </c:pt>
                <c:pt idx="23">
                  <c:v>0.98</c:v>
                </c:pt>
                <c:pt idx="24">
                  <c:v>0</c:v>
                </c:pt>
                <c:pt idx="25">
                  <c:v>0</c:v>
                </c:pt>
                <c:pt idx="26">
                  <c:v>0.98</c:v>
                </c:pt>
                <c:pt idx="27">
                  <c:v>0.98</c:v>
                </c:pt>
                <c:pt idx="28">
                  <c:v>0.98</c:v>
                </c:pt>
                <c:pt idx="29">
                  <c:v>0.98</c:v>
                </c:pt>
                <c:pt idx="30">
                  <c:v>0</c:v>
                </c:pt>
                <c:pt idx="31">
                  <c:v>0.96</c:v>
                </c:pt>
                <c:pt idx="32">
                  <c:v>0.9</c:v>
                </c:pt>
                <c:pt idx="33">
                  <c:v>1.44</c:v>
                </c:pt>
                <c:pt idx="34">
                  <c:v>1.2</c:v>
                </c:pt>
                <c:pt idx="35">
                  <c:v>1.2</c:v>
                </c:pt>
                <c:pt idx="36">
                  <c:v>0.72000000000000008</c:v>
                </c:pt>
                <c:pt idx="37">
                  <c:v>1.7999999999999998</c:v>
                </c:pt>
                <c:pt idx="38">
                  <c:v>2</c:v>
                </c:pt>
                <c:pt idx="39">
                  <c:v>1.2</c:v>
                </c:pt>
                <c:pt idx="40">
                  <c:v>2</c:v>
                </c:pt>
                <c:pt idx="41">
                  <c:v>0.8</c:v>
                </c:pt>
                <c:pt idx="42">
                  <c:v>1.2</c:v>
                </c:pt>
                <c:pt idx="43">
                  <c:v>0.52500000000000002</c:v>
                </c:pt>
                <c:pt idx="44">
                  <c:v>0.9</c:v>
                </c:pt>
                <c:pt idx="45">
                  <c:v>1.2</c:v>
                </c:pt>
                <c:pt idx="46">
                  <c:v>0.9</c:v>
                </c:pt>
                <c:pt idx="47">
                  <c:v>0.9</c:v>
                </c:pt>
                <c:pt idx="48">
                  <c:v>1.2E-2</c:v>
                </c:pt>
                <c:pt idx="49">
                  <c:v>0</c:v>
                </c:pt>
                <c:pt idx="50">
                  <c:v>0</c:v>
                </c:pt>
                <c:pt idx="51">
                  <c:v>0</c:v>
                </c:pt>
                <c:pt idx="52">
                  <c:v>1.2</c:v>
                </c:pt>
                <c:pt idx="53">
                  <c:v>0.9</c:v>
                </c:pt>
                <c:pt idx="54">
                  <c:v>2.4</c:v>
                </c:pt>
                <c:pt idx="55">
                  <c:v>0.8</c:v>
                </c:pt>
                <c:pt idx="56">
                  <c:v>1.6</c:v>
                </c:pt>
                <c:pt idx="57">
                  <c:v>1.5</c:v>
                </c:pt>
                <c:pt idx="58">
                  <c:v>0.8</c:v>
                </c:pt>
                <c:pt idx="59">
                  <c:v>1.2</c:v>
                </c:pt>
                <c:pt idx="60">
                  <c:v>0</c:v>
                </c:pt>
                <c:pt idx="61">
                  <c:v>0</c:v>
                </c:pt>
                <c:pt idx="62">
                  <c:v>0</c:v>
                </c:pt>
                <c:pt idx="63">
                  <c:v>0</c:v>
                </c:pt>
              </c:numCache>
            </c:numRef>
          </c:val>
          <c:extLst>
            <c:ext xmlns:c16="http://schemas.microsoft.com/office/drawing/2014/chart" uri="{C3380CC4-5D6E-409C-BE32-E72D297353CC}">
              <c16:uniqueId val="{00000001-C10E-4257-8FD1-7EB92FC0AC54}"/>
            </c:ext>
          </c:extLst>
        </c:ser>
        <c:dLbls>
          <c:showLegendKey val="0"/>
          <c:showVal val="0"/>
          <c:showCatName val="0"/>
          <c:showSerName val="0"/>
          <c:showPercent val="0"/>
          <c:showBubbleSize val="0"/>
        </c:dLbls>
        <c:gapWidth val="182"/>
        <c:axId val="271922911"/>
        <c:axId val="2060108527"/>
      </c:barChart>
      <c:catAx>
        <c:axId val="27192291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60108527"/>
        <c:crosses val="autoZero"/>
        <c:auto val="1"/>
        <c:lblAlgn val="ctr"/>
        <c:lblOffset val="100"/>
        <c:noMultiLvlLbl val="0"/>
      </c:catAx>
      <c:valAx>
        <c:axId val="2060108527"/>
        <c:scaling>
          <c:orientation val="minMax"/>
          <c:max val="3"/>
        </c:scaling>
        <c:delete val="0"/>
        <c:axPos val="b"/>
        <c:majorGridlines>
          <c:spPr>
            <a:ln w="952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719229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4"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10</xdr:col>
      <xdr:colOff>372595</xdr:colOff>
      <xdr:row>81</xdr:row>
      <xdr:rowOff>9523</xdr:rowOff>
    </xdr:from>
    <xdr:to>
      <xdr:col>13</xdr:col>
      <xdr:colOff>1131794</xdr:colOff>
      <xdr:row>106</xdr:row>
      <xdr:rowOff>179293</xdr:rowOff>
    </xdr:to>
    <xdr:graphicFrame macro="">
      <xdr:nvGraphicFramePr>
        <xdr:cNvPr id="4" name="Graphique 3">
          <a:extLst>
            <a:ext uri="{FF2B5EF4-FFF2-40B4-BE49-F238E27FC236}">
              <a16:creationId xmlns:a16="http://schemas.microsoft.com/office/drawing/2014/main" id="{F9641084-BCAB-44C2-BD22-1A8A744F4B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490256</xdr:colOff>
      <xdr:row>81</xdr:row>
      <xdr:rowOff>15126</xdr:rowOff>
    </xdr:from>
    <xdr:to>
      <xdr:col>9</xdr:col>
      <xdr:colOff>658344</xdr:colOff>
      <xdr:row>106</xdr:row>
      <xdr:rowOff>151278</xdr:rowOff>
    </xdr:to>
    <xdr:graphicFrame macro="">
      <xdr:nvGraphicFramePr>
        <xdr:cNvPr id="2" name="Graphique 1">
          <a:extLst>
            <a:ext uri="{FF2B5EF4-FFF2-40B4-BE49-F238E27FC236}">
              <a16:creationId xmlns:a16="http://schemas.microsoft.com/office/drawing/2014/main" id="{E9A4B8B6-6F9C-0C9C-649F-F69A0BA54AC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472440</xdr:colOff>
      <xdr:row>68</xdr:row>
      <xdr:rowOff>552450</xdr:rowOff>
    </xdr:from>
    <xdr:to>
      <xdr:col>16</xdr:col>
      <xdr:colOff>453390</xdr:colOff>
      <xdr:row>74</xdr:row>
      <xdr:rowOff>659130</xdr:rowOff>
    </xdr:to>
    <xdr:graphicFrame macro="">
      <xdr:nvGraphicFramePr>
        <xdr:cNvPr id="2" name="Graphique 6">
          <a:extLst>
            <a:ext uri="{FF2B5EF4-FFF2-40B4-BE49-F238E27FC236}">
              <a16:creationId xmlns:a16="http://schemas.microsoft.com/office/drawing/2014/main" id="{F35BE9F4-CC8F-4D6F-9A1B-A3DA59675B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245745</xdr:colOff>
      <xdr:row>86</xdr:row>
      <xdr:rowOff>74295</xdr:rowOff>
    </xdr:from>
    <xdr:to>
      <xdr:col>16</xdr:col>
      <xdr:colOff>102870</xdr:colOff>
      <xdr:row>103</xdr:row>
      <xdr:rowOff>156210</xdr:rowOff>
    </xdr:to>
    <xdr:graphicFrame macro="">
      <xdr:nvGraphicFramePr>
        <xdr:cNvPr id="3" name="Chart 2">
          <a:extLst>
            <a:ext uri="{FF2B5EF4-FFF2-40B4-BE49-F238E27FC236}">
              <a16:creationId xmlns:a16="http://schemas.microsoft.com/office/drawing/2014/main" id="{8B8F6C62-8C6A-43D6-92D0-B31DB99F89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144780</xdr:colOff>
      <xdr:row>128</xdr:row>
      <xdr:rowOff>76200</xdr:rowOff>
    </xdr:from>
    <xdr:to>
      <xdr:col>18</xdr:col>
      <xdr:colOff>57150</xdr:colOff>
      <xdr:row>152</xdr:row>
      <xdr:rowOff>102870</xdr:rowOff>
    </xdr:to>
    <xdr:graphicFrame macro="">
      <xdr:nvGraphicFramePr>
        <xdr:cNvPr id="4" name="Graphique 6">
          <a:extLst>
            <a:ext uri="{FF2B5EF4-FFF2-40B4-BE49-F238E27FC236}">
              <a16:creationId xmlns:a16="http://schemas.microsoft.com/office/drawing/2014/main" id="{E8F2F9A8-D6E9-4800-A349-75E9B92123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744535</xdr:colOff>
      <xdr:row>23</xdr:row>
      <xdr:rowOff>139699</xdr:rowOff>
    </xdr:from>
    <xdr:to>
      <xdr:col>11</xdr:col>
      <xdr:colOff>645583</xdr:colOff>
      <xdr:row>39</xdr:row>
      <xdr:rowOff>79903</xdr:rowOff>
    </xdr:to>
    <xdr:graphicFrame macro="">
      <xdr:nvGraphicFramePr>
        <xdr:cNvPr id="10" name="Graphique 9">
          <a:extLst>
            <a:ext uri="{FF2B5EF4-FFF2-40B4-BE49-F238E27FC236}">
              <a16:creationId xmlns:a16="http://schemas.microsoft.com/office/drawing/2014/main" id="{DAF11550-3C92-436C-98B0-9178A7F53A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93133</xdr:colOff>
      <xdr:row>0</xdr:row>
      <xdr:rowOff>84667</xdr:rowOff>
    </xdr:from>
    <xdr:to>
      <xdr:col>11</xdr:col>
      <xdr:colOff>685799</xdr:colOff>
      <xdr:row>1</xdr:row>
      <xdr:rowOff>160866</xdr:rowOff>
    </xdr:to>
    <xdr:sp macro="" textlink="">
      <xdr:nvSpPr>
        <xdr:cNvPr id="8" name="Flèche : bas 7">
          <a:extLst>
            <a:ext uri="{FF2B5EF4-FFF2-40B4-BE49-F238E27FC236}">
              <a16:creationId xmlns:a16="http://schemas.microsoft.com/office/drawing/2014/main" id="{6BA2C300-1DAD-42F2-BEC1-23B989BA4AED}"/>
            </a:ext>
          </a:extLst>
        </xdr:cNvPr>
        <xdr:cNvSpPr/>
      </xdr:nvSpPr>
      <xdr:spPr>
        <a:xfrm>
          <a:off x="9550400" y="84667"/>
          <a:ext cx="592666" cy="262466"/>
        </a:xfrm>
        <a:prstGeom prst="down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10</xdr:col>
      <xdr:colOff>1343705</xdr:colOff>
      <xdr:row>18</xdr:row>
      <xdr:rowOff>138792</xdr:rowOff>
    </xdr:from>
    <xdr:to>
      <xdr:col>21</xdr:col>
      <xdr:colOff>408214</xdr:colOff>
      <xdr:row>47</xdr:row>
      <xdr:rowOff>27212</xdr:rowOff>
    </xdr:to>
    <xdr:graphicFrame macro="">
      <xdr:nvGraphicFramePr>
        <xdr:cNvPr id="2" name="Graphique 1">
          <a:extLst>
            <a:ext uri="{FF2B5EF4-FFF2-40B4-BE49-F238E27FC236}">
              <a16:creationId xmlns:a16="http://schemas.microsoft.com/office/drawing/2014/main" id="{E1181D22-9BC5-812B-E29C-B50724E4CF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13</xdr:col>
      <xdr:colOff>711201</xdr:colOff>
      <xdr:row>33</xdr:row>
      <xdr:rowOff>107949</xdr:rowOff>
    </xdr:from>
    <xdr:to>
      <xdr:col>21</xdr:col>
      <xdr:colOff>685800</xdr:colOff>
      <xdr:row>66</xdr:row>
      <xdr:rowOff>31750</xdr:rowOff>
    </xdr:to>
    <xdr:graphicFrame macro="">
      <xdr:nvGraphicFramePr>
        <xdr:cNvPr id="3" name="Graphique 2">
          <a:extLst>
            <a:ext uri="{FF2B5EF4-FFF2-40B4-BE49-F238E27FC236}">
              <a16:creationId xmlns:a16="http://schemas.microsoft.com/office/drawing/2014/main" id="{8580C428-FB15-E38F-D78B-48FB0D7E7C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123824</xdr:colOff>
      <xdr:row>34</xdr:row>
      <xdr:rowOff>177800</xdr:rowOff>
    </xdr:from>
    <xdr:to>
      <xdr:col>13</xdr:col>
      <xdr:colOff>155575</xdr:colOff>
      <xdr:row>91</xdr:row>
      <xdr:rowOff>152399</xdr:rowOff>
    </xdr:to>
    <xdr:graphicFrame macro="">
      <xdr:nvGraphicFramePr>
        <xdr:cNvPr id="6" name="Graphique 5">
          <a:extLst>
            <a:ext uri="{FF2B5EF4-FFF2-40B4-BE49-F238E27FC236}">
              <a16:creationId xmlns:a16="http://schemas.microsoft.com/office/drawing/2014/main" id="{1D16E938-A676-3005-F0C7-1467B1A8C5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101</xdr:row>
      <xdr:rowOff>0</xdr:rowOff>
    </xdr:from>
    <xdr:to>
      <xdr:col>11</xdr:col>
      <xdr:colOff>1866239</xdr:colOff>
      <xdr:row>140</xdr:row>
      <xdr:rowOff>123408</xdr:rowOff>
    </xdr:to>
    <xdr:pic>
      <xdr:nvPicPr>
        <xdr:cNvPr id="2" name="Image 1">
          <a:extLst>
            <a:ext uri="{FF2B5EF4-FFF2-40B4-BE49-F238E27FC236}">
              <a16:creationId xmlns:a16="http://schemas.microsoft.com/office/drawing/2014/main" id="{60E2A66F-2993-4E6D-A755-645956932449}"/>
            </a:ext>
          </a:extLst>
        </xdr:cNvPr>
        <xdr:cNvPicPr>
          <a:picLocks noChangeAspect="1"/>
        </xdr:cNvPicPr>
      </xdr:nvPicPr>
      <xdr:blipFill>
        <a:blip xmlns:r="http://schemas.openxmlformats.org/officeDocument/2006/relationships" r:embed="rId1"/>
        <a:stretch>
          <a:fillRect/>
        </a:stretch>
      </xdr:blipFill>
      <xdr:spPr>
        <a:xfrm>
          <a:off x="7386638" y="20850225"/>
          <a:ext cx="6409664" cy="8267283"/>
        </a:xfrm>
        <a:prstGeom prst="rect">
          <a:avLst/>
        </a:prstGeom>
      </xdr:spPr>
    </xdr:pic>
    <xdr:clientData/>
  </xdr:twoCellAnchor>
  <xdr:twoCellAnchor editAs="oneCell">
    <xdr:from>
      <xdr:col>10</xdr:col>
      <xdr:colOff>0</xdr:colOff>
      <xdr:row>97</xdr:row>
      <xdr:rowOff>0</xdr:rowOff>
    </xdr:from>
    <xdr:to>
      <xdr:col>21</xdr:col>
      <xdr:colOff>749301</xdr:colOff>
      <xdr:row>133</xdr:row>
      <xdr:rowOff>172543</xdr:rowOff>
    </xdr:to>
    <xdr:pic>
      <xdr:nvPicPr>
        <xdr:cNvPr id="3" name="Image 2">
          <a:extLst>
            <a:ext uri="{FF2B5EF4-FFF2-40B4-BE49-F238E27FC236}">
              <a16:creationId xmlns:a16="http://schemas.microsoft.com/office/drawing/2014/main" id="{50C2A065-EC0D-DD02-603A-D9F202A95458}"/>
            </a:ext>
          </a:extLst>
        </xdr:cNvPr>
        <xdr:cNvPicPr>
          <a:picLocks noChangeAspect="1"/>
        </xdr:cNvPicPr>
      </xdr:nvPicPr>
      <xdr:blipFill>
        <a:blip xmlns:r="http://schemas.openxmlformats.org/officeDocument/2006/relationships" r:embed="rId2"/>
        <a:stretch>
          <a:fillRect/>
        </a:stretch>
      </xdr:blipFill>
      <xdr:spPr>
        <a:xfrm>
          <a:off x="11153775" y="19935825"/>
          <a:ext cx="11383964" cy="78306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13</xdr:col>
      <xdr:colOff>335755</xdr:colOff>
      <xdr:row>6</xdr:row>
      <xdr:rowOff>117702</xdr:rowOff>
    </xdr:from>
    <xdr:to>
      <xdr:col>20</xdr:col>
      <xdr:colOff>510268</xdr:colOff>
      <xdr:row>39</xdr:row>
      <xdr:rowOff>95250</xdr:rowOff>
    </xdr:to>
    <xdr:graphicFrame macro="">
      <xdr:nvGraphicFramePr>
        <xdr:cNvPr id="3" name="Graphique 2">
          <a:extLst>
            <a:ext uri="{FF2B5EF4-FFF2-40B4-BE49-F238E27FC236}">
              <a16:creationId xmlns:a16="http://schemas.microsoft.com/office/drawing/2014/main" id="{6CE06539-2AD5-0AD2-5F5C-CE5BA9D07F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112257</xdr:colOff>
      <xdr:row>1</xdr:row>
      <xdr:rowOff>27215</xdr:rowOff>
    </xdr:from>
    <xdr:to>
      <xdr:col>31</xdr:col>
      <xdr:colOff>238123</xdr:colOff>
      <xdr:row>40</xdr:row>
      <xdr:rowOff>129269</xdr:rowOff>
    </xdr:to>
    <xdr:graphicFrame macro="">
      <xdr:nvGraphicFramePr>
        <xdr:cNvPr id="6" name="Graphique 5">
          <a:extLst>
            <a:ext uri="{FF2B5EF4-FFF2-40B4-BE49-F238E27FC236}">
              <a16:creationId xmlns:a16="http://schemas.microsoft.com/office/drawing/2014/main" id="{266E1EF9-2A54-9418-E3E5-E6AB87DC05D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537481</xdr:colOff>
      <xdr:row>6</xdr:row>
      <xdr:rowOff>136071</xdr:rowOff>
    </xdr:from>
    <xdr:to>
      <xdr:col>13</xdr:col>
      <xdr:colOff>102053</xdr:colOff>
      <xdr:row>39</xdr:row>
      <xdr:rowOff>34018</xdr:rowOff>
    </xdr:to>
    <xdr:graphicFrame macro="">
      <xdr:nvGraphicFramePr>
        <xdr:cNvPr id="7" name="Graphique 6">
          <a:extLst>
            <a:ext uri="{FF2B5EF4-FFF2-40B4-BE49-F238E27FC236}">
              <a16:creationId xmlns:a16="http://schemas.microsoft.com/office/drawing/2014/main" id="{910F52E8-328A-299B-9C51-273B23ACB15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561292</xdr:colOff>
      <xdr:row>40</xdr:row>
      <xdr:rowOff>13608</xdr:rowOff>
    </xdr:from>
    <xdr:to>
      <xdr:col>18</xdr:col>
      <xdr:colOff>27214</xdr:colOff>
      <xdr:row>81</xdr:row>
      <xdr:rowOff>129268</xdr:rowOff>
    </xdr:to>
    <xdr:graphicFrame macro="">
      <xdr:nvGraphicFramePr>
        <xdr:cNvPr id="2" name="Graphique 1">
          <a:extLst>
            <a:ext uri="{FF2B5EF4-FFF2-40B4-BE49-F238E27FC236}">
              <a16:creationId xmlns:a16="http://schemas.microsoft.com/office/drawing/2014/main" id="{8FDCF355-8F6E-BAF8-5308-8D9CE74992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XX@XX.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5EF08-F516-4186-A376-C302E1F621A4}">
  <sheetPr codeName="Feuil2">
    <tabColor rgb="FF00B0F0"/>
    <pageSetUpPr fitToPage="1"/>
  </sheetPr>
  <dimension ref="A1:BP658"/>
  <sheetViews>
    <sheetView zoomScale="84" zoomScaleNormal="84" workbookViewId="0">
      <pane xSplit="4" ySplit="1" topLeftCell="BI20" activePane="bottomRight" state="frozen"/>
      <selection pane="topRight" activeCell="E1" sqref="E1"/>
      <selection pane="bottomLeft" activeCell="A2" sqref="A2"/>
      <selection pane="bottomRight" activeCell="BN44" sqref="BN44"/>
    </sheetView>
  </sheetViews>
  <sheetFormatPr baseColWidth="10" defaultColWidth="97.5546875" defaultRowHeight="18"/>
  <cols>
    <col min="1" max="1" width="4.21875" style="322" customWidth="1"/>
    <col min="2" max="2" width="27" style="322" customWidth="1"/>
    <col min="3" max="3" width="17.109375" style="440" customWidth="1"/>
    <col min="4" max="4" width="127.88671875" style="530" customWidth="1"/>
    <col min="5" max="5" width="10.88671875" style="441" customWidth="1"/>
    <col min="6" max="6" width="15.33203125" style="317" customWidth="1"/>
    <col min="7" max="7" width="12.21875" style="322" bestFit="1" customWidth="1"/>
    <col min="8" max="8" width="9.109375" style="322" customWidth="1"/>
    <col min="9" max="9" width="8.88671875" style="322" bestFit="1" customWidth="1"/>
    <col min="10" max="10" width="23.5546875" style="322" customWidth="1"/>
    <col min="11" max="11" width="9.21875" style="322" customWidth="1"/>
    <col min="12" max="12" width="22.88671875" style="322" bestFit="1" customWidth="1"/>
    <col min="13" max="13" width="22.88671875" style="322" customWidth="1"/>
    <col min="14" max="14" width="5.44140625" style="514" bestFit="1" customWidth="1"/>
    <col min="15" max="15" width="6.109375" style="322" customWidth="1"/>
    <col min="16" max="16" width="6.6640625" style="514" bestFit="1" customWidth="1"/>
    <col min="17" max="17" width="8.33203125" style="322" bestFit="1" customWidth="1"/>
    <col min="18" max="18" width="8.5546875" style="514" bestFit="1" customWidth="1"/>
    <col min="19" max="19" width="9" style="322" bestFit="1" customWidth="1"/>
    <col min="20" max="20" width="9.44140625" style="514" bestFit="1" customWidth="1"/>
    <col min="21" max="21" width="6" style="322" bestFit="1" customWidth="1"/>
    <col min="22" max="22" width="6.109375" style="514" bestFit="1" customWidth="1"/>
    <col min="23" max="23" width="9.21875" style="322" bestFit="1" customWidth="1"/>
    <col min="24" max="24" width="8.77734375" style="514" bestFit="1" customWidth="1"/>
    <col min="25" max="25" width="12" style="322" bestFit="1" customWidth="1"/>
    <col min="26" max="26" width="7.44140625" style="514" bestFit="1" customWidth="1"/>
    <col min="27" max="27" width="7.5546875" style="322" customWidth="1"/>
    <col min="28" max="28" width="8.44140625" style="514" bestFit="1" customWidth="1"/>
    <col min="29" max="29" width="11.44140625" style="322" bestFit="1" customWidth="1"/>
    <col min="30" max="30" width="10.109375" style="514" bestFit="1" customWidth="1"/>
    <col min="31" max="31" width="12.6640625" style="322" bestFit="1" customWidth="1"/>
    <col min="32" max="32" width="9.77734375" style="514" bestFit="1" customWidth="1"/>
    <col min="33" max="33" width="5.44140625" style="322" bestFit="1" customWidth="1"/>
    <col min="34" max="34" width="11.77734375" style="514" bestFit="1" customWidth="1"/>
    <col min="35" max="35" width="5.77734375" style="322" bestFit="1" customWidth="1"/>
    <col min="36" max="36" width="11.77734375" style="514" bestFit="1" customWidth="1"/>
    <col min="37" max="37" width="5.44140625" style="322" bestFit="1" customWidth="1"/>
    <col min="38" max="38" width="7" style="514" bestFit="1" customWidth="1"/>
    <col min="39" max="39" width="8.44140625" style="322" bestFit="1" customWidth="1"/>
    <col min="40" max="40" width="9.77734375" style="514" bestFit="1" customWidth="1"/>
    <col min="41" max="41" width="10.77734375" style="322" bestFit="1" customWidth="1"/>
    <col min="42" max="42" width="17.44140625" style="514" bestFit="1" customWidth="1"/>
    <col min="43" max="43" width="8.44140625" style="322" bestFit="1" customWidth="1"/>
    <col min="44" max="44" width="7.33203125" style="514" bestFit="1" customWidth="1"/>
    <col min="45" max="45" width="8.88671875" style="322" bestFit="1" customWidth="1"/>
    <col min="46" max="46" width="6.6640625" style="514" bestFit="1" customWidth="1"/>
    <col min="47" max="47" width="6.88671875" style="322" bestFit="1" customWidth="1"/>
    <col min="48" max="48" width="7.6640625" style="514" bestFit="1" customWidth="1"/>
    <col min="49" max="49" width="8.21875" style="322" bestFit="1" customWidth="1"/>
    <col min="50" max="50" width="6.109375" style="514" bestFit="1" customWidth="1"/>
    <col min="51" max="51" width="9.77734375" style="322" bestFit="1" customWidth="1"/>
    <col min="52" max="52" width="9.77734375" style="324" bestFit="1" customWidth="1"/>
    <col min="53" max="53" width="7.21875" style="322" bestFit="1" customWidth="1"/>
    <col min="54" max="54" width="7.21875" style="324" bestFit="1" customWidth="1"/>
    <col min="55" max="55" width="6.77734375" style="322" bestFit="1" customWidth="1"/>
    <col min="56" max="56" width="7.77734375" style="324" bestFit="1" customWidth="1"/>
    <col min="57" max="57" width="7.109375" style="322" bestFit="1" customWidth="1"/>
    <col min="58" max="58" width="8.88671875" style="324" bestFit="1" customWidth="1"/>
    <col min="59" max="59" width="6.109375" style="322" bestFit="1" customWidth="1"/>
    <col min="60" max="60" width="10.77734375" style="324" bestFit="1" customWidth="1"/>
    <col min="61" max="61" width="9.5546875" style="322" customWidth="1"/>
    <col min="62" max="62" width="8.33203125" style="324" bestFit="1" customWidth="1"/>
    <col min="63" max="63" width="6.109375" style="322" bestFit="1" customWidth="1"/>
    <col min="64" max="64" width="5.44140625" style="324" bestFit="1" customWidth="1"/>
    <col min="65" max="65" width="5.44140625" style="322" customWidth="1"/>
    <col min="66" max="66" width="6.44140625" style="324" bestFit="1" customWidth="1"/>
    <col min="67" max="67" width="9.109375" style="322" bestFit="1" customWidth="1"/>
    <col min="68" max="16384" width="97.5546875" style="322"/>
  </cols>
  <sheetData>
    <row r="1" spans="1:67">
      <c r="A1" s="322" t="s">
        <v>2342</v>
      </c>
      <c r="B1" s="327" t="s">
        <v>1136</v>
      </c>
      <c r="D1" s="328" t="s">
        <v>1137</v>
      </c>
      <c r="E1" s="441" t="s">
        <v>1465</v>
      </c>
      <c r="F1" s="312" t="s">
        <v>85</v>
      </c>
      <c r="G1" s="322" t="s">
        <v>1180</v>
      </c>
      <c r="H1" s="322" t="s">
        <v>1181</v>
      </c>
      <c r="I1" s="322" t="s">
        <v>1614</v>
      </c>
      <c r="J1" s="329" t="s">
        <v>1138</v>
      </c>
      <c r="N1" s="300" t="s">
        <v>1174</v>
      </c>
      <c r="O1" s="296" t="s">
        <v>1165</v>
      </c>
      <c r="P1" s="300" t="s">
        <v>1608</v>
      </c>
      <c r="Q1" s="296" t="s">
        <v>1586</v>
      </c>
      <c r="R1" s="300" t="s">
        <v>1171</v>
      </c>
      <c r="S1" s="296" t="s">
        <v>1587</v>
      </c>
      <c r="T1" s="300" t="s">
        <v>1588</v>
      </c>
      <c r="U1" s="296" t="s">
        <v>1566</v>
      </c>
      <c r="V1" s="300" t="s">
        <v>1567</v>
      </c>
      <c r="W1" s="296" t="s">
        <v>1562</v>
      </c>
      <c r="X1" s="300" t="s">
        <v>1589</v>
      </c>
      <c r="Y1" s="296" t="s">
        <v>1590</v>
      </c>
      <c r="Z1" s="300" t="s">
        <v>1568</v>
      </c>
      <c r="AA1" s="296" t="s">
        <v>1569</v>
      </c>
      <c r="AB1" s="300" t="s">
        <v>1591</v>
      </c>
      <c r="AC1" s="296" t="s">
        <v>1592</v>
      </c>
      <c r="AD1" s="300" t="s">
        <v>1593</v>
      </c>
      <c r="AE1" s="296" t="s">
        <v>1594</v>
      </c>
      <c r="AF1" s="300" t="s">
        <v>1595</v>
      </c>
      <c r="AG1" s="296" t="s">
        <v>124</v>
      </c>
      <c r="AH1" s="300" t="s">
        <v>1570</v>
      </c>
      <c r="AI1" s="296" t="s">
        <v>1571</v>
      </c>
      <c r="AJ1" s="300" t="s">
        <v>1563</v>
      </c>
      <c r="AK1" s="296" t="s">
        <v>1166</v>
      </c>
      <c r="AL1" s="300" t="s">
        <v>1572</v>
      </c>
      <c r="AM1" s="296" t="s">
        <v>1564</v>
      </c>
      <c r="AN1" s="300" t="s">
        <v>1573</v>
      </c>
      <c r="AO1" s="296" t="s">
        <v>1574</v>
      </c>
      <c r="AP1" s="300" t="s">
        <v>1575</v>
      </c>
      <c r="AQ1" s="296" t="s">
        <v>1576</v>
      </c>
      <c r="AR1" s="310" t="s">
        <v>1596</v>
      </c>
      <c r="AS1" s="296" t="s">
        <v>1597</v>
      </c>
      <c r="AT1" s="300" t="s">
        <v>1598</v>
      </c>
      <c r="AU1" s="296" t="s">
        <v>1599</v>
      </c>
      <c r="AV1" s="300" t="s">
        <v>1600</v>
      </c>
      <c r="AW1" s="296" t="s">
        <v>1565</v>
      </c>
      <c r="AX1" s="300" t="s">
        <v>1577</v>
      </c>
      <c r="AY1" s="296" t="s">
        <v>1578</v>
      </c>
      <c r="AZ1" s="295" t="s">
        <v>1579</v>
      </c>
      <c r="BA1" s="296" t="s">
        <v>1601</v>
      </c>
      <c r="BB1" s="295" t="s">
        <v>1602</v>
      </c>
      <c r="BC1" s="296" t="s">
        <v>1603</v>
      </c>
      <c r="BD1" s="295" t="s">
        <v>1604</v>
      </c>
      <c r="BE1" s="296" t="s">
        <v>1605</v>
      </c>
      <c r="BF1" s="295" t="s">
        <v>1580</v>
      </c>
      <c r="BG1" s="296" t="s">
        <v>1581</v>
      </c>
      <c r="BH1" s="295" t="s">
        <v>1582</v>
      </c>
      <c r="BI1" s="296" t="s">
        <v>1606</v>
      </c>
      <c r="BJ1" s="295" t="s">
        <v>1607</v>
      </c>
      <c r="BK1" s="277" t="s">
        <v>1583</v>
      </c>
      <c r="BL1" s="150" t="s">
        <v>1584</v>
      </c>
      <c r="BM1" s="25" t="s">
        <v>1664</v>
      </c>
      <c r="BN1" s="295" t="s">
        <v>906</v>
      </c>
      <c r="BO1" s="296" t="s">
        <v>1585</v>
      </c>
    </row>
    <row r="2" spans="1:67">
      <c r="B2" s="522"/>
      <c r="D2" s="523" t="s">
        <v>1128</v>
      </c>
      <c r="F2" s="368">
        <f ca="1">TODAY()</f>
        <v>46223</v>
      </c>
    </row>
    <row r="3" spans="1:67">
      <c r="A3" s="524">
        <v>1</v>
      </c>
      <c r="B3" s="353" t="s">
        <v>1018</v>
      </c>
      <c r="D3" s="523" t="s">
        <v>2663</v>
      </c>
      <c r="E3" s="441" t="s">
        <v>1464</v>
      </c>
      <c r="F3" s="313">
        <v>1</v>
      </c>
      <c r="H3" s="322">
        <f>IF(F3=1,1,0)</f>
        <v>1</v>
      </c>
      <c r="I3" s="322">
        <f>IF(F3=0,1,0)</f>
        <v>0</v>
      </c>
    </row>
    <row r="4" spans="1:67" ht="36">
      <c r="A4" s="524">
        <v>1</v>
      </c>
      <c r="B4" s="353" t="s">
        <v>1018</v>
      </c>
      <c r="D4" s="523" t="s">
        <v>2320</v>
      </c>
      <c r="E4" s="441" t="s">
        <v>1466</v>
      </c>
      <c r="F4" s="314">
        <v>65</v>
      </c>
    </row>
    <row r="5" spans="1:67" ht="54">
      <c r="A5" s="524">
        <v>1</v>
      </c>
      <c r="B5" s="353" t="s">
        <v>1018</v>
      </c>
      <c r="D5" s="523" t="s">
        <v>2643</v>
      </c>
      <c r="E5" s="441" t="s">
        <v>1467</v>
      </c>
      <c r="F5" s="313">
        <v>0</v>
      </c>
      <c r="H5" s="330"/>
      <c r="I5" s="330"/>
      <c r="J5" s="330"/>
    </row>
    <row r="6" spans="1:67" s="323" customFormat="1">
      <c r="A6" s="524">
        <v>1</v>
      </c>
      <c r="B6" s="322" t="s">
        <v>1427</v>
      </c>
      <c r="C6" s="440"/>
      <c r="D6" s="523" t="s">
        <v>1953</v>
      </c>
      <c r="E6" s="441" t="s">
        <v>1468</v>
      </c>
      <c r="F6" s="319">
        <v>180</v>
      </c>
      <c r="G6" s="556" t="s">
        <v>0</v>
      </c>
      <c r="H6" s="330">
        <f>(F7*100)/(F6*F6)</f>
        <v>0.37037037037037035</v>
      </c>
      <c r="I6" s="576"/>
      <c r="J6" s="576"/>
      <c r="K6" s="339"/>
      <c r="L6" s="339"/>
      <c r="M6" s="339"/>
      <c r="N6" s="339"/>
      <c r="O6" s="339"/>
      <c r="P6" s="339"/>
      <c r="Q6" s="339"/>
      <c r="R6" s="339">
        <f>IF($H$6&gt;0.3,1.2,0.8)</f>
        <v>1.2</v>
      </c>
      <c r="S6" s="339">
        <f>IF($H$6&gt;0.3,1.2,0.8)</f>
        <v>1.2</v>
      </c>
      <c r="T6" s="339">
        <f>IF($H$6&gt;0.3,1.2,0.8)</f>
        <v>1.2</v>
      </c>
      <c r="U6" s="339">
        <f>IF($H$6&gt;0.3,1.2,0.8)</f>
        <v>1.2</v>
      </c>
      <c r="V6" s="339">
        <f>IF($H$6&gt;0.3,1.2,0.8)</f>
        <v>1.2</v>
      </c>
      <c r="W6" s="339"/>
      <c r="X6" s="339">
        <f>IF($H$6&gt;0.3,1.2,0.8)</f>
        <v>1.2</v>
      </c>
      <c r="Y6" s="339">
        <f>IF($H$6&gt;0.3,1.2,0.8)</f>
        <v>1.2</v>
      </c>
      <c r="Z6" s="339"/>
      <c r="AA6" s="339">
        <f>IF($H$6&gt;0.3,1.2,0.8)</f>
        <v>1.2</v>
      </c>
      <c r="AB6" s="339"/>
      <c r="AC6" s="339"/>
      <c r="AD6" s="339"/>
      <c r="AE6" s="339">
        <f t="shared" ref="AE6:AG6" si="0">IF($H$6&gt;0.3,1.2,0.8)</f>
        <v>1.2</v>
      </c>
      <c r="AF6" s="339">
        <f t="shared" si="0"/>
        <v>1.2</v>
      </c>
      <c r="AG6" s="339">
        <f t="shared" si="0"/>
        <v>1.2</v>
      </c>
      <c r="AH6" s="339"/>
      <c r="AI6" s="339"/>
      <c r="AJ6" s="339">
        <f t="shared" ref="AJ6:AL6" si="1">IF($H$6&gt;0.3,1.2,0.8)</f>
        <v>1.2</v>
      </c>
      <c r="AK6" s="339">
        <f t="shared" si="1"/>
        <v>1.2</v>
      </c>
      <c r="AL6" s="339">
        <f t="shared" si="1"/>
        <v>1.2</v>
      </c>
      <c r="AM6" s="339"/>
      <c r="AN6" s="339"/>
      <c r="AO6" s="339"/>
      <c r="AP6" s="339">
        <f>IF($H$6&gt;0.3,1.2,0.8)</f>
        <v>1.2</v>
      </c>
      <c r="AQ6" s="339">
        <f t="shared" ref="AQ6:AR6" si="2">IF($H$6&gt;0.3,1.2,0.8)</f>
        <v>1.2</v>
      </c>
      <c r="AR6" s="339">
        <f t="shared" si="2"/>
        <v>1.2</v>
      </c>
      <c r="AS6" s="339">
        <f>IF($H$6&lt;0.18,1.2,0.8)</f>
        <v>0.8</v>
      </c>
      <c r="AT6" s="339">
        <f>IF($H$6&lt;0.18,1.5,0.8)</f>
        <v>0.8</v>
      </c>
      <c r="AU6" s="339">
        <f>IF($H$6&gt;0.3,1.2,0.8)</f>
        <v>1.2</v>
      </c>
      <c r="AV6" s="339"/>
      <c r="AW6" s="339"/>
      <c r="AX6" s="339"/>
      <c r="AY6" s="339"/>
      <c r="AZ6" s="339"/>
      <c r="BA6" s="339">
        <f>IF($H$6&gt;0.3,1.1,0.8)</f>
        <v>1.1000000000000001</v>
      </c>
      <c r="BB6" s="339"/>
      <c r="BC6" s="339"/>
      <c r="BD6" s="339">
        <f>IF($H$6&gt;0.3,1.1,0.8)</f>
        <v>1.1000000000000001</v>
      </c>
      <c r="BE6" s="339">
        <f>IF($H$6&gt;0.3,1.1,0.8)</f>
        <v>1.1000000000000001</v>
      </c>
      <c r="BF6" s="339"/>
      <c r="BG6" s="339"/>
      <c r="BH6" s="339"/>
      <c r="BI6" s="339"/>
      <c r="BJ6" s="339"/>
      <c r="BK6" s="339">
        <f>IF($H$6&gt;0.3,1.2,0.8)</f>
        <v>1.2</v>
      </c>
      <c r="BL6" s="339"/>
      <c r="BM6" s="339">
        <f>IF($H$6&gt;0.3,1.1,0.8)</f>
        <v>1.1000000000000001</v>
      </c>
      <c r="BN6" s="339"/>
      <c r="BO6" s="339">
        <f>IF($H$6&gt;0.3,1.1,0.8)</f>
        <v>1.1000000000000001</v>
      </c>
    </row>
    <row r="7" spans="1:67" s="323" customFormat="1">
      <c r="A7" s="524">
        <v>1</v>
      </c>
      <c r="B7" s="322" t="s">
        <v>1427</v>
      </c>
      <c r="C7" s="440"/>
      <c r="D7" s="523" t="s">
        <v>1954</v>
      </c>
      <c r="E7" s="441" t="s">
        <v>1469</v>
      </c>
      <c r="F7" s="319">
        <v>120</v>
      </c>
      <c r="H7" s="330"/>
      <c r="I7" s="330"/>
      <c r="J7" s="330"/>
      <c r="K7" s="322"/>
      <c r="N7" s="514"/>
      <c r="O7" s="322"/>
      <c r="P7" s="514"/>
      <c r="Q7" s="322"/>
      <c r="R7" s="514"/>
      <c r="S7" s="322"/>
      <c r="T7" s="514"/>
      <c r="U7" s="322"/>
      <c r="V7" s="514"/>
      <c r="W7" s="322"/>
      <c r="X7" s="514"/>
      <c r="Y7" s="322"/>
      <c r="Z7" s="514"/>
      <c r="AA7" s="322"/>
      <c r="AB7" s="514"/>
      <c r="AC7" s="322"/>
      <c r="AD7" s="514"/>
      <c r="AE7" s="322"/>
      <c r="AF7" s="514"/>
      <c r="AG7" s="322"/>
      <c r="AH7" s="514"/>
      <c r="AI7" s="322"/>
      <c r="AJ7" s="514"/>
      <c r="AK7" s="322"/>
      <c r="AL7" s="514"/>
      <c r="AM7" s="322"/>
      <c r="AN7" s="514"/>
      <c r="AO7" s="322"/>
      <c r="AP7" s="514"/>
      <c r="AQ7" s="322"/>
      <c r="AR7" s="514"/>
      <c r="AS7" s="322"/>
      <c r="AT7" s="514"/>
      <c r="AU7" s="322"/>
      <c r="AV7" s="514"/>
      <c r="AW7" s="322"/>
      <c r="AX7" s="514"/>
      <c r="AY7" s="322"/>
      <c r="AZ7" s="324"/>
      <c r="BA7" s="322"/>
      <c r="BB7" s="324"/>
      <c r="BC7" s="322"/>
      <c r="BD7" s="324"/>
      <c r="BE7" s="322"/>
      <c r="BF7" s="324"/>
      <c r="BG7" s="322"/>
      <c r="BH7" s="324"/>
      <c r="BI7" s="322"/>
      <c r="BJ7" s="324"/>
      <c r="BK7" s="322"/>
      <c r="BL7" s="324"/>
      <c r="BM7" s="322"/>
      <c r="BN7" s="324"/>
      <c r="BO7" s="322"/>
    </row>
    <row r="8" spans="1:67" s="316" customFormat="1" ht="36">
      <c r="B8" s="525" t="s">
        <v>1102</v>
      </c>
      <c r="C8" s="440"/>
      <c r="D8" s="526" t="s">
        <v>2362</v>
      </c>
      <c r="E8" s="441"/>
      <c r="F8" s="548">
        <v>1</v>
      </c>
      <c r="G8" s="324">
        <f>F8</f>
        <v>1</v>
      </c>
      <c r="N8" s="515"/>
      <c r="P8" s="515"/>
      <c r="R8" s="515"/>
      <c r="T8" s="515"/>
      <c r="V8" s="515"/>
      <c r="X8" s="515"/>
      <c r="Z8" s="515"/>
      <c r="AB8" s="515"/>
      <c r="AD8" s="515"/>
      <c r="AF8" s="515"/>
      <c r="AH8" s="515"/>
      <c r="AJ8" s="515"/>
      <c r="AL8" s="515"/>
      <c r="AN8" s="515"/>
      <c r="AP8" s="515"/>
      <c r="AR8" s="515"/>
      <c r="AT8" s="515"/>
      <c r="AV8" s="515"/>
      <c r="AX8" s="515"/>
      <c r="AZ8" s="334"/>
      <c r="BB8" s="334"/>
      <c r="BD8" s="334"/>
      <c r="BF8" s="334"/>
      <c r="BH8" s="334"/>
      <c r="BJ8" s="334"/>
      <c r="BL8" s="334"/>
      <c r="BN8" s="334"/>
    </row>
    <row r="9" spans="1:67" s="316" customFormat="1">
      <c r="B9" s="525" t="s">
        <v>1102</v>
      </c>
      <c r="C9" s="440"/>
      <c r="D9" s="526" t="s">
        <v>2363</v>
      </c>
      <c r="E9" s="571"/>
      <c r="F9" s="548">
        <v>1</v>
      </c>
      <c r="G9" s="324">
        <f>F9</f>
        <v>1</v>
      </c>
      <c r="N9" s="515"/>
      <c r="P9" s="515"/>
      <c r="R9" s="515"/>
      <c r="T9" s="515"/>
      <c r="V9" s="515"/>
      <c r="X9" s="515"/>
      <c r="Z9" s="515"/>
      <c r="AB9" s="515"/>
      <c r="AD9" s="515"/>
      <c r="AF9" s="515"/>
      <c r="AH9" s="515"/>
      <c r="AJ9" s="515"/>
      <c r="AL9" s="515"/>
      <c r="AN9" s="515"/>
      <c r="AP9" s="515"/>
      <c r="AR9" s="515"/>
      <c r="AT9" s="515"/>
      <c r="AV9" s="515"/>
      <c r="AX9" s="515"/>
      <c r="AZ9" s="334"/>
      <c r="BB9" s="334"/>
      <c r="BD9" s="334"/>
      <c r="BF9" s="334"/>
      <c r="BH9" s="334"/>
      <c r="BJ9" s="334"/>
      <c r="BL9" s="334"/>
      <c r="BN9" s="334"/>
    </row>
    <row r="10" spans="1:67" s="316" customFormat="1" ht="54">
      <c r="B10" s="525" t="s">
        <v>1102</v>
      </c>
      <c r="C10" s="440"/>
      <c r="D10" s="526" t="s">
        <v>2664</v>
      </c>
      <c r="E10" s="441"/>
      <c r="F10" s="316">
        <v>2</v>
      </c>
      <c r="G10" s="324">
        <f>IF(F10=2,0.5,0)</f>
        <v>0.5</v>
      </c>
      <c r="N10" s="515"/>
      <c r="P10" s="515"/>
      <c r="R10" s="515"/>
      <c r="T10" s="515"/>
      <c r="V10" s="515"/>
      <c r="X10" s="515"/>
      <c r="Z10" s="515"/>
      <c r="AB10" s="515"/>
      <c r="AD10" s="515"/>
      <c r="AF10" s="515"/>
      <c r="AH10" s="515"/>
      <c r="AJ10" s="515"/>
      <c r="AL10" s="515"/>
      <c r="AN10" s="515"/>
      <c r="AP10" s="515"/>
      <c r="AR10" s="515"/>
      <c r="AT10" s="515"/>
      <c r="AV10" s="515"/>
      <c r="AX10" s="515"/>
      <c r="AZ10" s="334"/>
      <c r="BB10" s="334"/>
      <c r="BD10" s="334"/>
      <c r="BF10" s="334"/>
      <c r="BH10" s="334"/>
      <c r="BJ10" s="334"/>
      <c r="BL10" s="334"/>
      <c r="BN10" s="334"/>
    </row>
    <row r="11" spans="1:67" s="316" customFormat="1" ht="54">
      <c r="A11" s="524">
        <v>1</v>
      </c>
      <c r="B11" s="525" t="s">
        <v>1102</v>
      </c>
      <c r="C11" s="440"/>
      <c r="D11" s="526" t="s">
        <v>2569</v>
      </c>
      <c r="E11" s="441"/>
      <c r="F11" s="316">
        <v>0</v>
      </c>
      <c r="G11" s="324">
        <f>IF(F11=0,0.5,0)</f>
        <v>0.5</v>
      </c>
      <c r="N11" s="515"/>
      <c r="P11" s="515"/>
      <c r="R11" s="515"/>
      <c r="T11" s="515"/>
      <c r="V11" s="515"/>
      <c r="X11" s="515"/>
      <c r="Z11" s="515"/>
      <c r="AB11" s="515"/>
      <c r="AD11" s="515"/>
      <c r="AF11" s="515"/>
      <c r="AH11" s="515"/>
      <c r="AJ11" s="515"/>
      <c r="AL11" s="515"/>
      <c r="AN11" s="515"/>
      <c r="AP11" s="515"/>
      <c r="AR11" s="515"/>
      <c r="AT11" s="515"/>
      <c r="AV11" s="515"/>
      <c r="AX11" s="515"/>
      <c r="AZ11" s="334"/>
      <c r="BB11" s="334"/>
      <c r="BD11" s="334"/>
      <c r="BF11" s="334"/>
      <c r="BH11" s="334"/>
      <c r="BJ11" s="334"/>
      <c r="BL11" s="334"/>
      <c r="BN11" s="334"/>
    </row>
    <row r="12" spans="1:67" s="316" customFormat="1">
      <c r="B12" s="525" t="s">
        <v>1102</v>
      </c>
      <c r="C12" s="440" t="s">
        <v>2218</v>
      </c>
      <c r="D12" s="526" t="s">
        <v>2364</v>
      </c>
      <c r="E12" s="571"/>
      <c r="F12" s="315">
        <v>1</v>
      </c>
      <c r="G12" s="324"/>
      <c r="N12" s="515"/>
      <c r="P12" s="515"/>
      <c r="R12" s="515"/>
      <c r="T12" s="515"/>
      <c r="V12" s="515"/>
      <c r="X12" s="515"/>
      <c r="Z12" s="515"/>
      <c r="AB12" s="515"/>
      <c r="AD12" s="515"/>
      <c r="AF12" s="515"/>
      <c r="AH12" s="515"/>
      <c r="AJ12" s="515"/>
      <c r="AL12" s="515"/>
      <c r="AN12" s="515"/>
      <c r="AP12" s="515"/>
      <c r="AR12" s="515"/>
      <c r="AT12" s="515"/>
      <c r="AV12" s="515"/>
      <c r="AX12" s="515"/>
      <c r="AZ12" s="334"/>
      <c r="BB12" s="334"/>
      <c r="BD12" s="334"/>
      <c r="BF12" s="334"/>
      <c r="BH12" s="334"/>
      <c r="BJ12" s="334"/>
      <c r="BL12" s="334"/>
      <c r="BN12" s="334"/>
    </row>
    <row r="13" spans="1:67" s="316" customFormat="1">
      <c r="B13" s="525" t="s">
        <v>1102</v>
      </c>
      <c r="C13" s="440"/>
      <c r="D13" s="526" t="s">
        <v>2365</v>
      </c>
      <c r="E13" s="571"/>
      <c r="F13" s="548">
        <v>0</v>
      </c>
      <c r="G13" s="324">
        <f>IF(F13=0,1,0)</f>
        <v>1</v>
      </c>
      <c r="N13" s="515"/>
      <c r="P13" s="515"/>
      <c r="R13" s="515"/>
      <c r="T13" s="515"/>
      <c r="V13" s="515"/>
      <c r="X13" s="515"/>
      <c r="Z13" s="515"/>
      <c r="AB13" s="515"/>
      <c r="AD13" s="515"/>
      <c r="AF13" s="515"/>
      <c r="AH13" s="515"/>
      <c r="AJ13" s="515"/>
      <c r="AL13" s="515"/>
      <c r="AN13" s="515"/>
      <c r="AP13" s="515"/>
      <c r="AR13" s="515"/>
      <c r="AT13" s="515"/>
      <c r="AV13" s="515"/>
      <c r="AX13" s="515"/>
      <c r="AZ13" s="334"/>
      <c r="BB13" s="334"/>
      <c r="BD13" s="334"/>
      <c r="BF13" s="334"/>
      <c r="BH13" s="334"/>
      <c r="BJ13" s="334"/>
      <c r="BL13" s="334"/>
      <c r="BN13" s="334"/>
    </row>
    <row r="14" spans="1:67" s="316" customFormat="1">
      <c r="B14" s="525" t="s">
        <v>1102</v>
      </c>
      <c r="C14" s="440" t="s">
        <v>2215</v>
      </c>
      <c r="D14" s="526" t="s">
        <v>2366</v>
      </c>
      <c r="E14" s="571"/>
      <c r="F14" s="548">
        <v>1</v>
      </c>
      <c r="G14" s="324">
        <f t="shared" ref="G14:G15" si="3">F14</f>
        <v>1</v>
      </c>
      <c r="N14" s="515"/>
      <c r="P14" s="515"/>
      <c r="R14" s="515"/>
      <c r="T14" s="515"/>
      <c r="V14" s="515"/>
      <c r="X14" s="515"/>
      <c r="Z14" s="515"/>
      <c r="AB14" s="515"/>
      <c r="AD14" s="515"/>
      <c r="AF14" s="515"/>
      <c r="AH14" s="515"/>
      <c r="AJ14" s="515"/>
      <c r="AL14" s="515"/>
      <c r="AN14" s="515"/>
      <c r="AP14" s="515"/>
      <c r="AR14" s="515"/>
      <c r="AT14" s="515"/>
      <c r="AV14" s="515"/>
      <c r="AX14" s="515"/>
      <c r="AZ14" s="334"/>
      <c r="BB14" s="334"/>
      <c r="BD14" s="334"/>
      <c r="BF14" s="334"/>
      <c r="BH14" s="334"/>
      <c r="BJ14" s="334"/>
      <c r="BL14" s="334"/>
      <c r="BN14" s="334"/>
    </row>
    <row r="15" spans="1:67" s="316" customFormat="1" ht="36">
      <c r="B15" s="525" t="s">
        <v>1102</v>
      </c>
      <c r="C15" s="440" t="s">
        <v>2219</v>
      </c>
      <c r="D15" s="526" t="s">
        <v>2367</v>
      </c>
      <c r="E15" s="571"/>
      <c r="F15" s="548">
        <v>1</v>
      </c>
      <c r="G15" s="324">
        <f t="shared" si="3"/>
        <v>1</v>
      </c>
      <c r="N15" s="515"/>
      <c r="P15" s="515"/>
      <c r="R15" s="515"/>
      <c r="T15" s="515"/>
      <c r="V15" s="515"/>
      <c r="X15" s="515"/>
      <c r="Z15" s="515"/>
      <c r="AB15" s="515"/>
      <c r="AD15" s="515"/>
      <c r="AF15" s="515"/>
      <c r="AH15" s="515"/>
      <c r="AJ15" s="515"/>
      <c r="AL15" s="515"/>
      <c r="AN15" s="515"/>
      <c r="AP15" s="515"/>
      <c r="AR15" s="515"/>
      <c r="AT15" s="515"/>
      <c r="AV15" s="515"/>
      <c r="AX15" s="515"/>
      <c r="AZ15" s="334"/>
      <c r="BB15" s="334"/>
      <c r="BD15" s="334"/>
      <c r="BF15" s="334"/>
      <c r="BH15" s="334"/>
      <c r="BJ15" s="334"/>
      <c r="BL15" s="334"/>
      <c r="BN15" s="334"/>
    </row>
    <row r="16" spans="1:67" ht="54">
      <c r="B16" s="525" t="s">
        <v>1102</v>
      </c>
      <c r="C16" s="440" t="s">
        <v>2216</v>
      </c>
      <c r="D16" s="816" t="s">
        <v>2368</v>
      </c>
      <c r="F16" s="548">
        <v>0</v>
      </c>
      <c r="G16" s="324">
        <f>IF(F16=0,1,0)</f>
        <v>1</v>
      </c>
    </row>
    <row r="17" spans="1:67" s="316" customFormat="1" ht="36">
      <c r="B17" s="525" t="s">
        <v>1102</v>
      </c>
      <c r="C17" s="440" t="s">
        <v>2217</v>
      </c>
      <c r="D17" s="526" t="s">
        <v>2588</v>
      </c>
      <c r="E17" s="441"/>
      <c r="F17" s="315">
        <v>0</v>
      </c>
      <c r="G17" s="334">
        <f>IF(F17=0,0.5,0)</f>
        <v>0.5</v>
      </c>
      <c r="N17" s="515"/>
      <c r="P17" s="515"/>
      <c r="R17" s="515"/>
      <c r="T17" s="515"/>
      <c r="V17" s="515"/>
      <c r="X17" s="515"/>
      <c r="Z17" s="515"/>
      <c r="AB17" s="515"/>
      <c r="AD17" s="515"/>
      <c r="AF17" s="515"/>
      <c r="AH17" s="515"/>
      <c r="AJ17" s="515"/>
      <c r="AL17" s="515"/>
      <c r="AN17" s="515"/>
      <c r="AP17" s="515"/>
      <c r="AR17" s="515"/>
      <c r="AT17" s="515"/>
      <c r="AV17" s="515"/>
      <c r="AX17" s="515"/>
      <c r="AZ17" s="334"/>
      <c r="BB17" s="334"/>
      <c r="BD17" s="334"/>
      <c r="BF17" s="334"/>
      <c r="BH17" s="334"/>
      <c r="BJ17" s="334"/>
      <c r="BL17" s="334"/>
      <c r="BN17" s="334"/>
    </row>
    <row r="18" spans="1:67" s="316" customFormat="1" ht="36">
      <c r="A18" s="524">
        <v>1</v>
      </c>
      <c r="B18" s="525" t="s">
        <v>1102</v>
      </c>
      <c r="C18" s="440"/>
      <c r="D18" s="681" t="s">
        <v>2369</v>
      </c>
      <c r="E18" s="571"/>
      <c r="F18" s="548">
        <v>0</v>
      </c>
      <c r="G18" s="324">
        <f t="shared" ref="G18:G19" si="4">F18</f>
        <v>0</v>
      </c>
      <c r="J18" s="870" t="s">
        <v>2698</v>
      </c>
      <c r="K18" s="871">
        <f>1-(G16+G18+F337+F338+F340)/5</f>
        <v>0.19999999999999996</v>
      </c>
      <c r="N18" s="515"/>
      <c r="P18" s="515"/>
      <c r="R18" s="515"/>
      <c r="T18" s="515"/>
      <c r="V18" s="515"/>
      <c r="X18" s="515"/>
      <c r="Z18" s="515"/>
      <c r="AB18" s="515"/>
      <c r="AD18" s="515"/>
      <c r="AF18" s="515"/>
      <c r="AH18" s="515"/>
      <c r="AJ18" s="515"/>
      <c r="AL18" s="515"/>
      <c r="AN18" s="515"/>
      <c r="AP18" s="515"/>
      <c r="AR18" s="515"/>
      <c r="AT18" s="515"/>
      <c r="AV18" s="515"/>
      <c r="AX18" s="515"/>
      <c r="AZ18" s="334"/>
      <c r="BB18" s="334"/>
      <c r="BD18" s="334"/>
      <c r="BF18" s="334"/>
      <c r="BH18" s="334"/>
      <c r="BJ18" s="334"/>
      <c r="BL18" s="334"/>
      <c r="BN18" s="334"/>
    </row>
    <row r="19" spans="1:67" s="320" customFormat="1" ht="36">
      <c r="B19" s="525" t="s">
        <v>1102</v>
      </c>
      <c r="C19" s="440"/>
      <c r="D19" s="833" t="s">
        <v>2370</v>
      </c>
      <c r="E19" s="441"/>
      <c r="F19" s="548">
        <v>1</v>
      </c>
      <c r="G19" s="324">
        <f t="shared" si="4"/>
        <v>1</v>
      </c>
      <c r="H19" s="316"/>
      <c r="I19" s="316"/>
      <c r="J19" s="334" t="s">
        <v>1139</v>
      </c>
      <c r="K19" s="362">
        <f>1-((G8+G9+G10+G11+G13+G13+G14+G15+G17+G19))/8.5</f>
        <v>0</v>
      </c>
      <c r="N19" s="515"/>
      <c r="O19" s="316"/>
      <c r="P19" s="515"/>
      <c r="Q19" s="316"/>
      <c r="R19" s="515"/>
      <c r="S19" s="316"/>
      <c r="T19" s="515"/>
      <c r="U19" s="316"/>
      <c r="V19" s="515"/>
      <c r="W19" s="316"/>
      <c r="X19" s="515"/>
      <c r="Y19" s="316"/>
      <c r="Z19" s="515"/>
      <c r="AA19" s="316"/>
      <c r="AB19" s="515"/>
      <c r="AC19" s="316"/>
      <c r="AD19" s="515"/>
      <c r="AE19" s="316"/>
      <c r="AF19" s="515"/>
      <c r="AG19" s="316"/>
      <c r="AH19" s="515"/>
      <c r="AI19" s="316"/>
      <c r="AJ19" s="515"/>
      <c r="AK19" s="316"/>
      <c r="AL19" s="515"/>
      <c r="AM19" s="316"/>
      <c r="AN19" s="515"/>
      <c r="AO19" s="316"/>
      <c r="AP19" s="515"/>
      <c r="AQ19" s="316"/>
      <c r="AR19" s="515"/>
      <c r="AS19" s="316"/>
      <c r="AT19" s="515"/>
      <c r="AU19" s="316"/>
      <c r="AV19" s="515"/>
      <c r="AW19" s="316"/>
      <c r="AX19" s="515"/>
      <c r="AY19" s="316"/>
      <c r="AZ19" s="334"/>
      <c r="BA19" s="316"/>
      <c r="BB19" s="334"/>
      <c r="BC19" s="316"/>
      <c r="BD19" s="334"/>
      <c r="BE19" s="316"/>
      <c r="BF19" s="334"/>
      <c r="BG19" s="316"/>
      <c r="BH19" s="334"/>
      <c r="BI19" s="316"/>
      <c r="BJ19" s="334"/>
      <c r="BK19" s="316"/>
      <c r="BL19" s="334"/>
      <c r="BM19" s="316"/>
      <c r="BN19" s="334"/>
      <c r="BO19" s="316"/>
    </row>
    <row r="20" spans="1:67" s="549" customFormat="1">
      <c r="C20" s="550"/>
      <c r="D20" s="842"/>
      <c r="E20" s="441"/>
      <c r="M20" s="550" t="s">
        <v>1170</v>
      </c>
      <c r="N20" s="515"/>
      <c r="P20" s="515"/>
      <c r="R20" s="515"/>
      <c r="T20" s="515"/>
      <c r="V20" s="515"/>
      <c r="X20" s="515"/>
      <c r="Z20" s="515"/>
      <c r="AB20" s="515"/>
      <c r="AD20" s="515"/>
      <c r="AF20" s="515"/>
      <c r="AH20" s="515"/>
      <c r="AJ20" s="515"/>
      <c r="AL20" s="515"/>
      <c r="AN20" s="515"/>
      <c r="AP20" s="515"/>
      <c r="AR20" s="515"/>
      <c r="AT20" s="515"/>
      <c r="AV20" s="515"/>
      <c r="AX20" s="515"/>
      <c r="AZ20" s="334"/>
      <c r="BB20" s="334"/>
      <c r="BD20" s="334"/>
      <c r="BF20" s="334"/>
      <c r="BH20" s="334"/>
      <c r="BJ20" s="334"/>
      <c r="BL20" s="334"/>
      <c r="BM20" s="316"/>
      <c r="BN20" s="334"/>
      <c r="BO20" s="316"/>
    </row>
    <row r="21" spans="1:67" s="316" customFormat="1">
      <c r="A21" s="524">
        <v>1</v>
      </c>
      <c r="B21" s="527" t="s">
        <v>1019</v>
      </c>
      <c r="C21" s="440" t="s">
        <v>2248</v>
      </c>
      <c r="D21" s="528" t="s">
        <v>2371</v>
      </c>
      <c r="E21" s="571"/>
      <c r="F21" s="548">
        <v>0</v>
      </c>
      <c r="G21" s="324">
        <f t="shared" ref="G21:G50" si="5">F21</f>
        <v>0</v>
      </c>
      <c r="H21" s="322">
        <f>IF(F21=1,1.2,0.9)</f>
        <v>0.9</v>
      </c>
      <c r="N21" s="515"/>
      <c r="P21" s="515"/>
      <c r="R21" s="515"/>
      <c r="T21" s="515"/>
      <c r="V21" s="515"/>
      <c r="X21" s="515"/>
      <c r="Z21" s="515"/>
      <c r="AB21" s="515"/>
      <c r="AD21" s="515"/>
      <c r="AF21" s="515"/>
      <c r="AH21" s="515"/>
      <c r="AJ21" s="515"/>
      <c r="AL21" s="515"/>
      <c r="AN21" s="515"/>
      <c r="AP21" s="515"/>
      <c r="AR21" s="515"/>
      <c r="AT21" s="515"/>
      <c r="AV21" s="515"/>
      <c r="AX21" s="515"/>
      <c r="AZ21" s="334"/>
      <c r="BB21" s="334"/>
      <c r="BD21" s="334"/>
      <c r="BF21" s="334"/>
      <c r="BH21" s="334"/>
      <c r="BJ21" s="334"/>
      <c r="BL21" s="334"/>
      <c r="BN21" s="334"/>
    </row>
    <row r="22" spans="1:67">
      <c r="A22" s="524">
        <v>1</v>
      </c>
      <c r="B22" s="527" t="s">
        <v>1019</v>
      </c>
      <c r="D22" s="528" t="s">
        <v>2372</v>
      </c>
      <c r="E22" s="441" t="s">
        <v>1470</v>
      </c>
      <c r="F22" s="548">
        <v>0</v>
      </c>
      <c r="G22" s="324">
        <f t="shared" si="5"/>
        <v>0</v>
      </c>
      <c r="H22" s="322">
        <f>IF(F22=1,1.2,0.9)</f>
        <v>0.9</v>
      </c>
      <c r="I22" s="322">
        <f>F22</f>
        <v>0</v>
      </c>
      <c r="K22" s="331"/>
      <c r="L22" s="316"/>
      <c r="M22" s="316"/>
      <c r="N22" s="515"/>
      <c r="O22" s="316"/>
      <c r="P22" s="515"/>
      <c r="Q22" s="316"/>
      <c r="R22" s="515"/>
      <c r="S22" s="316"/>
      <c r="T22" s="515"/>
      <c r="U22" s="316"/>
      <c r="V22" s="515"/>
      <c r="W22" s="316"/>
      <c r="X22" s="515"/>
      <c r="Y22" s="316"/>
      <c r="Z22" s="515"/>
      <c r="AA22" s="316"/>
      <c r="AB22" s="515"/>
      <c r="AC22" s="316"/>
      <c r="AD22" s="515"/>
      <c r="AE22" s="316"/>
      <c r="AF22" s="515"/>
      <c r="AZ22" s="324">
        <f>$H22</f>
        <v>0.9</v>
      </c>
      <c r="BA22" s="322">
        <f>$H22</f>
        <v>0.9</v>
      </c>
      <c r="BB22" s="324">
        <f t="shared" ref="BB22:BL22" si="6">$H22</f>
        <v>0.9</v>
      </c>
      <c r="BC22" s="322">
        <f t="shared" si="6"/>
        <v>0.9</v>
      </c>
      <c r="BD22" s="324">
        <f t="shared" si="6"/>
        <v>0.9</v>
      </c>
      <c r="BE22" s="322">
        <f t="shared" si="6"/>
        <v>0.9</v>
      </c>
      <c r="BF22" s="324">
        <f t="shared" si="6"/>
        <v>0.9</v>
      </c>
      <c r="BG22" s="322">
        <f t="shared" si="6"/>
        <v>0.9</v>
      </c>
      <c r="BI22" s="322">
        <f t="shared" si="6"/>
        <v>0.9</v>
      </c>
      <c r="BJ22" s="324">
        <f t="shared" si="6"/>
        <v>0.9</v>
      </c>
      <c r="BK22" s="322">
        <f t="shared" si="6"/>
        <v>0.9</v>
      </c>
      <c r="BL22" s="324">
        <f t="shared" si="6"/>
        <v>0.9</v>
      </c>
    </row>
    <row r="23" spans="1:67" s="326" customFormat="1">
      <c r="A23" s="524">
        <v>1</v>
      </c>
      <c r="B23" s="527" t="s">
        <v>1019</v>
      </c>
      <c r="C23" s="440" t="s">
        <v>2220</v>
      </c>
      <c r="D23" s="533" t="s">
        <v>2373</v>
      </c>
      <c r="E23" s="441" t="s">
        <v>1471</v>
      </c>
      <c r="F23" s="548">
        <v>0</v>
      </c>
      <c r="G23" s="324">
        <f t="shared" si="5"/>
        <v>0</v>
      </c>
      <c r="H23" s="322">
        <f t="shared" ref="H23:H51" si="7">IF(F23=1,1.2,0.9)</f>
        <v>0.9</v>
      </c>
      <c r="I23" s="322">
        <f t="shared" ref="I23:I51" si="8">F23</f>
        <v>0</v>
      </c>
      <c r="N23" s="361"/>
      <c r="O23" s="331"/>
      <c r="P23" s="361"/>
      <c r="Q23" s="331"/>
      <c r="R23" s="361"/>
      <c r="S23" s="331"/>
      <c r="T23" s="514"/>
      <c r="U23" s="322"/>
      <c r="V23" s="514"/>
      <c r="W23" s="322"/>
      <c r="X23" s="514"/>
      <c r="Y23" s="322"/>
      <c r="Z23" s="361"/>
      <c r="AA23" s="322"/>
      <c r="AB23" s="514"/>
      <c r="AC23" s="322"/>
      <c r="AD23" s="514"/>
      <c r="AE23" s="331"/>
      <c r="AF23" s="361"/>
      <c r="AG23" s="322"/>
      <c r="AH23" s="361"/>
      <c r="AI23" s="322"/>
      <c r="AJ23" s="514"/>
      <c r="AK23" s="331"/>
      <c r="AL23" s="514"/>
      <c r="AM23" s="322"/>
      <c r="AN23" s="514"/>
      <c r="AO23" s="322"/>
      <c r="AP23" s="361"/>
      <c r="AQ23" s="322"/>
      <c r="AR23" s="514"/>
      <c r="AS23" s="331"/>
      <c r="AT23" s="361"/>
      <c r="AU23" s="322"/>
      <c r="AV23" s="514"/>
      <c r="AW23" s="331"/>
      <c r="AX23" s="514"/>
      <c r="AY23" s="322"/>
      <c r="AZ23" s="324"/>
      <c r="BA23" s="322"/>
      <c r="BB23" s="324"/>
      <c r="BC23" s="322"/>
      <c r="BD23" s="324"/>
      <c r="BE23" s="322"/>
      <c r="BF23" s="324"/>
      <c r="BG23" s="322"/>
      <c r="BH23" s="324"/>
      <c r="BI23" s="322"/>
      <c r="BJ23" s="324"/>
      <c r="BK23" s="331"/>
      <c r="BL23" s="324"/>
      <c r="BM23" s="322"/>
      <c r="BN23" s="324"/>
      <c r="BO23" s="322"/>
    </row>
    <row r="24" spans="1:67">
      <c r="A24" s="524">
        <v>1</v>
      </c>
      <c r="B24" s="527" t="s">
        <v>1019</v>
      </c>
      <c r="C24" s="440" t="s">
        <v>2222</v>
      </c>
      <c r="D24" s="533" t="s">
        <v>2374</v>
      </c>
      <c r="E24" s="441" t="s">
        <v>1472</v>
      </c>
      <c r="F24" s="548">
        <v>0</v>
      </c>
      <c r="G24" s="324">
        <f t="shared" si="5"/>
        <v>0</v>
      </c>
      <c r="H24" s="322">
        <f t="shared" si="7"/>
        <v>0.9</v>
      </c>
      <c r="I24" s="322">
        <f t="shared" si="8"/>
        <v>0</v>
      </c>
      <c r="K24" s="149"/>
      <c r="AD24" s="531"/>
      <c r="AG24" s="149"/>
      <c r="BA24" s="514"/>
      <c r="BB24" s="566"/>
    </row>
    <row r="25" spans="1:67">
      <c r="A25" s="524">
        <v>1</v>
      </c>
      <c r="B25" s="527" t="s">
        <v>1019</v>
      </c>
      <c r="C25" s="440" t="s">
        <v>2222</v>
      </c>
      <c r="D25" s="533" t="s">
        <v>2375</v>
      </c>
      <c r="E25" s="441" t="s">
        <v>1473</v>
      </c>
      <c r="F25" s="548">
        <v>0</v>
      </c>
      <c r="G25" s="324">
        <f t="shared" si="5"/>
        <v>0</v>
      </c>
      <c r="H25" s="322">
        <f t="shared" si="7"/>
        <v>0.9</v>
      </c>
      <c r="I25" s="322">
        <f t="shared" si="8"/>
        <v>0</v>
      </c>
      <c r="K25" s="149"/>
      <c r="AD25" s="531"/>
      <c r="AG25" s="149"/>
      <c r="BA25" s="532"/>
      <c r="BB25" s="566"/>
    </row>
    <row r="26" spans="1:67">
      <c r="A26" s="524">
        <v>1</v>
      </c>
      <c r="B26" s="527" t="s">
        <v>1019</v>
      </c>
      <c r="C26" s="440" t="s">
        <v>2222</v>
      </c>
      <c r="D26" s="533" t="s">
        <v>2376</v>
      </c>
      <c r="E26" s="441" t="s">
        <v>1474</v>
      </c>
      <c r="F26" s="548">
        <v>0</v>
      </c>
      <c r="G26" s="324">
        <f t="shared" si="5"/>
        <v>0</v>
      </c>
      <c r="H26" s="322">
        <f t="shared" si="7"/>
        <v>0.9</v>
      </c>
      <c r="I26" s="322">
        <f t="shared" si="8"/>
        <v>0</v>
      </c>
      <c r="K26" s="149"/>
      <c r="AD26" s="531"/>
      <c r="AG26" s="149"/>
      <c r="BA26" s="532"/>
      <c r="BB26" s="566"/>
      <c r="BI26" s="322">
        <f>$H26</f>
        <v>0.9</v>
      </c>
      <c r="BL26" s="322">
        <f>$H26</f>
        <v>0.9</v>
      </c>
    </row>
    <row r="27" spans="1:67">
      <c r="A27" s="524">
        <v>1</v>
      </c>
      <c r="B27" s="527" t="s">
        <v>1019</v>
      </c>
      <c r="C27" s="440" t="s">
        <v>2222</v>
      </c>
      <c r="D27" s="533" t="s">
        <v>2377</v>
      </c>
      <c r="E27" s="441" t="s">
        <v>1476</v>
      </c>
      <c r="F27" s="548">
        <v>0</v>
      </c>
      <c r="G27" s="324">
        <f t="shared" si="5"/>
        <v>0</v>
      </c>
      <c r="H27" s="322">
        <f t="shared" si="7"/>
        <v>0.9</v>
      </c>
      <c r="I27" s="322">
        <f t="shared" si="8"/>
        <v>0</v>
      </c>
      <c r="K27" s="149"/>
      <c r="AD27" s="531"/>
      <c r="AG27" s="149"/>
      <c r="AZ27" s="324">
        <f>$H27</f>
        <v>0.9</v>
      </c>
      <c r="BA27" s="532"/>
      <c r="BB27" s="566"/>
    </row>
    <row r="28" spans="1:67">
      <c r="A28" s="524">
        <v>1</v>
      </c>
      <c r="B28" s="527" t="s">
        <v>1019</v>
      </c>
      <c r="C28" s="440" t="s">
        <v>2221</v>
      </c>
      <c r="D28" s="533" t="s">
        <v>2378</v>
      </c>
      <c r="F28" s="548">
        <v>0</v>
      </c>
      <c r="G28" s="324">
        <f t="shared" si="5"/>
        <v>0</v>
      </c>
      <c r="H28" s="322">
        <f t="shared" si="7"/>
        <v>0.9</v>
      </c>
      <c r="I28" s="322">
        <f t="shared" si="8"/>
        <v>0</v>
      </c>
      <c r="K28" s="149"/>
      <c r="AD28" s="531"/>
      <c r="AG28" s="149"/>
      <c r="AZ28" s="324">
        <f>$H28</f>
        <v>0.9</v>
      </c>
      <c r="BA28" s="532"/>
    </row>
    <row r="29" spans="1:67">
      <c r="A29" s="524">
        <v>1</v>
      </c>
      <c r="B29" s="527" t="s">
        <v>1019</v>
      </c>
      <c r="C29" s="440" t="s">
        <v>2222</v>
      </c>
      <c r="D29" s="533" t="s">
        <v>2379</v>
      </c>
      <c r="F29" s="548">
        <v>0</v>
      </c>
      <c r="G29" s="324">
        <f t="shared" si="5"/>
        <v>0</v>
      </c>
      <c r="H29" s="322">
        <f t="shared" si="7"/>
        <v>0.9</v>
      </c>
      <c r="I29" s="322">
        <f t="shared" si="8"/>
        <v>0</v>
      </c>
      <c r="K29" s="149"/>
      <c r="AD29" s="531"/>
      <c r="AG29" s="149"/>
      <c r="BA29" s="322">
        <f>$H29</f>
        <v>0.9</v>
      </c>
      <c r="BB29" s="566"/>
      <c r="BK29" s="514"/>
    </row>
    <row r="30" spans="1:67">
      <c r="A30" s="524">
        <v>1</v>
      </c>
      <c r="B30" s="527" t="s">
        <v>1019</v>
      </c>
      <c r="C30" s="440" t="s">
        <v>2222</v>
      </c>
      <c r="D30" s="533" t="s">
        <v>2380</v>
      </c>
      <c r="F30" s="548">
        <v>0</v>
      </c>
      <c r="G30" s="324">
        <f t="shared" si="5"/>
        <v>0</v>
      </c>
      <c r="H30" s="322">
        <f t="shared" si="7"/>
        <v>0.9</v>
      </c>
      <c r="I30" s="322">
        <f t="shared" si="8"/>
        <v>0</v>
      </c>
      <c r="K30" s="149"/>
      <c r="AB30" s="534"/>
      <c r="AD30" s="531"/>
      <c r="AG30" s="149"/>
      <c r="BA30" s="532"/>
    </row>
    <row r="31" spans="1:67">
      <c r="A31" s="524">
        <v>1</v>
      </c>
      <c r="B31" s="527" t="s">
        <v>1019</v>
      </c>
      <c r="C31" s="440" t="s">
        <v>2222</v>
      </c>
      <c r="D31" s="533" t="s">
        <v>2381</v>
      </c>
      <c r="E31" s="441" t="s">
        <v>1475</v>
      </c>
      <c r="F31" s="548">
        <v>0</v>
      </c>
      <c r="G31" s="324">
        <f t="shared" si="5"/>
        <v>0</v>
      </c>
      <c r="H31" s="322">
        <f t="shared" si="7"/>
        <v>0.9</v>
      </c>
      <c r="I31" s="322">
        <f t="shared" si="8"/>
        <v>0</v>
      </c>
      <c r="BH31" s="322">
        <f>$H31</f>
        <v>0.9</v>
      </c>
      <c r="BI31" s="322">
        <f>$H31</f>
        <v>0.9</v>
      </c>
    </row>
    <row r="32" spans="1:67">
      <c r="A32" s="524">
        <v>1</v>
      </c>
      <c r="B32" s="527" t="s">
        <v>1019</v>
      </c>
      <c r="C32" s="440" t="s">
        <v>2222</v>
      </c>
      <c r="D32" s="533" t="s">
        <v>2382</v>
      </c>
      <c r="E32" s="441" t="s">
        <v>1477</v>
      </c>
      <c r="F32" s="548">
        <v>0</v>
      </c>
      <c r="G32" s="324">
        <f t="shared" si="5"/>
        <v>0</v>
      </c>
      <c r="H32" s="322">
        <f t="shared" si="7"/>
        <v>0.9</v>
      </c>
      <c r="I32" s="322">
        <f t="shared" si="8"/>
        <v>0</v>
      </c>
      <c r="BI32" s="322">
        <f>$H32</f>
        <v>0.9</v>
      </c>
    </row>
    <row r="33" spans="1:66">
      <c r="A33" s="524">
        <v>1</v>
      </c>
      <c r="B33" s="527" t="s">
        <v>1019</v>
      </c>
      <c r="D33" s="528" t="s">
        <v>2383</v>
      </c>
      <c r="E33" s="441" t="s">
        <v>1478</v>
      </c>
      <c r="F33" s="548">
        <v>0</v>
      </c>
      <c r="G33" s="324">
        <f t="shared" si="5"/>
        <v>0</v>
      </c>
      <c r="H33" s="322">
        <f t="shared" si="7"/>
        <v>0.9</v>
      </c>
      <c r="I33" s="322">
        <f t="shared" si="8"/>
        <v>0</v>
      </c>
      <c r="AE33" s="514"/>
      <c r="AF33" s="514">
        <f>$H33</f>
        <v>0.9</v>
      </c>
      <c r="AK33" s="322">
        <f>$H33</f>
        <v>0.9</v>
      </c>
    </row>
    <row r="34" spans="1:66">
      <c r="A34" s="524">
        <v>1</v>
      </c>
      <c r="B34" s="527" t="s">
        <v>1019</v>
      </c>
      <c r="D34" s="528" t="s">
        <v>2384</v>
      </c>
      <c r="E34" s="441" t="s">
        <v>1479</v>
      </c>
      <c r="F34" s="548">
        <v>1</v>
      </c>
      <c r="G34" s="324">
        <f t="shared" si="5"/>
        <v>1</v>
      </c>
      <c r="H34" s="322">
        <f t="shared" si="7"/>
        <v>1.2</v>
      </c>
      <c r="I34" s="322">
        <f t="shared" si="8"/>
        <v>1</v>
      </c>
    </row>
    <row r="35" spans="1:66">
      <c r="A35" s="524">
        <v>1</v>
      </c>
      <c r="B35" s="527" t="s">
        <v>1019</v>
      </c>
      <c r="D35" s="528" t="s">
        <v>2385</v>
      </c>
      <c r="F35" s="548">
        <v>0</v>
      </c>
      <c r="G35" s="324">
        <f t="shared" si="5"/>
        <v>0</v>
      </c>
      <c r="H35" s="322">
        <f t="shared" si="7"/>
        <v>0.9</v>
      </c>
      <c r="I35" s="322">
        <f t="shared" si="8"/>
        <v>0</v>
      </c>
      <c r="BB35" s="324">
        <f>$H35</f>
        <v>0.9</v>
      </c>
    </row>
    <row r="36" spans="1:66">
      <c r="A36" s="524">
        <v>1</v>
      </c>
      <c r="B36" s="527" t="s">
        <v>1019</v>
      </c>
      <c r="D36" s="640" t="s">
        <v>2386</v>
      </c>
      <c r="E36" s="441" t="s">
        <v>1480</v>
      </c>
      <c r="F36" s="548">
        <v>0</v>
      </c>
      <c r="G36" s="324">
        <f t="shared" si="5"/>
        <v>0</v>
      </c>
      <c r="H36" s="322">
        <f t="shared" si="7"/>
        <v>0.9</v>
      </c>
      <c r="I36" s="322">
        <f t="shared" si="8"/>
        <v>0</v>
      </c>
      <c r="AK36" s="514"/>
    </row>
    <row r="37" spans="1:66">
      <c r="A37" s="524">
        <v>1</v>
      </c>
      <c r="B37" s="527" t="s">
        <v>1019</v>
      </c>
      <c r="D37" s="528" t="s">
        <v>2387</v>
      </c>
      <c r="F37" s="548">
        <v>0</v>
      </c>
      <c r="G37" s="324">
        <f t="shared" si="5"/>
        <v>0</v>
      </c>
      <c r="H37" s="322">
        <f t="shared" si="7"/>
        <v>0.9</v>
      </c>
      <c r="I37" s="322">
        <f t="shared" si="8"/>
        <v>0</v>
      </c>
    </row>
    <row r="38" spans="1:66">
      <c r="A38" s="524">
        <v>1</v>
      </c>
      <c r="B38" s="527" t="s">
        <v>1019</v>
      </c>
      <c r="D38" s="528" t="s">
        <v>2388</v>
      </c>
      <c r="E38" s="441" t="s">
        <v>1481</v>
      </c>
      <c r="F38" s="548">
        <v>1</v>
      </c>
      <c r="G38" s="324">
        <f t="shared" si="5"/>
        <v>1</v>
      </c>
      <c r="H38" s="322">
        <f t="shared" si="7"/>
        <v>1.2</v>
      </c>
      <c r="I38" s="322">
        <f t="shared" si="8"/>
        <v>1</v>
      </c>
      <c r="S38" s="514">
        <f>IF($G38=1,1.5,0.8)</f>
        <v>1.5</v>
      </c>
    </row>
    <row r="39" spans="1:66" ht="36">
      <c r="A39" s="524">
        <v>1</v>
      </c>
      <c r="B39" s="527" t="s">
        <v>1019</v>
      </c>
      <c r="D39" s="528" t="s">
        <v>2389</v>
      </c>
      <c r="E39" s="441" t="s">
        <v>1482</v>
      </c>
      <c r="F39" s="548">
        <v>0</v>
      </c>
      <c r="G39" s="324">
        <f t="shared" si="5"/>
        <v>0</v>
      </c>
      <c r="H39" s="322">
        <f t="shared" si="7"/>
        <v>0.9</v>
      </c>
      <c r="I39" s="322">
        <f t="shared" si="8"/>
        <v>0</v>
      </c>
      <c r="AH39" s="514">
        <f>IF($G39=1,1.5,0.8)</f>
        <v>0.8</v>
      </c>
    </row>
    <row r="40" spans="1:66" ht="36">
      <c r="A40" s="524">
        <v>1</v>
      </c>
      <c r="B40" s="527" t="s">
        <v>1019</v>
      </c>
      <c r="D40" s="528" t="s">
        <v>2390</v>
      </c>
      <c r="F40" s="548">
        <v>0</v>
      </c>
      <c r="G40" s="324">
        <f t="shared" si="5"/>
        <v>0</v>
      </c>
      <c r="H40" s="322">
        <f t="shared" si="7"/>
        <v>0.9</v>
      </c>
      <c r="I40" s="322">
        <f t="shared" si="8"/>
        <v>0</v>
      </c>
      <c r="S40" s="514">
        <f>$H40</f>
        <v>0.9</v>
      </c>
      <c r="BA40" s="322">
        <f>$H40</f>
        <v>0.9</v>
      </c>
    </row>
    <row r="41" spans="1:66">
      <c r="A41" s="524">
        <v>1</v>
      </c>
      <c r="B41" s="527" t="s">
        <v>1019</v>
      </c>
      <c r="D41" s="528" t="s">
        <v>2391</v>
      </c>
      <c r="F41" s="548">
        <v>0</v>
      </c>
      <c r="G41" s="324">
        <f t="shared" si="5"/>
        <v>0</v>
      </c>
      <c r="H41" s="322">
        <f t="shared" si="7"/>
        <v>0.9</v>
      </c>
      <c r="I41" s="322">
        <f t="shared" si="8"/>
        <v>0</v>
      </c>
    </row>
    <row r="42" spans="1:66">
      <c r="A42" s="524">
        <v>1</v>
      </c>
      <c r="B42" s="527" t="s">
        <v>1019</v>
      </c>
      <c r="D42" s="528" t="s">
        <v>2359</v>
      </c>
      <c r="F42" s="548">
        <v>0</v>
      </c>
      <c r="G42" s="324">
        <f t="shared" si="5"/>
        <v>0</v>
      </c>
      <c r="H42" s="322">
        <f t="shared" si="7"/>
        <v>0.9</v>
      </c>
      <c r="I42" s="322">
        <f t="shared" si="8"/>
        <v>0</v>
      </c>
      <c r="AS42" s="514"/>
      <c r="AT42" s="514">
        <f>$H42</f>
        <v>0.9</v>
      </c>
    </row>
    <row r="43" spans="1:66" ht="36">
      <c r="A43" s="524">
        <v>1</v>
      </c>
      <c r="B43" s="527" t="s">
        <v>1019</v>
      </c>
      <c r="D43" s="528" t="s">
        <v>2392</v>
      </c>
      <c r="E43" s="441" t="s">
        <v>1483</v>
      </c>
      <c r="F43" s="548">
        <v>0</v>
      </c>
      <c r="G43" s="324">
        <f t="shared" si="5"/>
        <v>0</v>
      </c>
      <c r="H43" s="322">
        <f t="shared" si="7"/>
        <v>0.9</v>
      </c>
      <c r="I43" s="322">
        <f t="shared" si="8"/>
        <v>0</v>
      </c>
      <c r="AW43" s="514"/>
      <c r="AY43" s="514"/>
    </row>
    <row r="44" spans="1:66">
      <c r="A44" s="524">
        <v>1</v>
      </c>
      <c r="B44" s="527" t="s">
        <v>1019</v>
      </c>
      <c r="C44" s="440" t="s">
        <v>2246</v>
      </c>
      <c r="D44" s="528" t="s">
        <v>2393</v>
      </c>
      <c r="F44" s="548">
        <v>0</v>
      </c>
      <c r="G44" s="324">
        <f t="shared" si="5"/>
        <v>0</v>
      </c>
      <c r="H44" s="322">
        <f t="shared" si="7"/>
        <v>0.9</v>
      </c>
      <c r="I44" s="322">
        <f t="shared" si="8"/>
        <v>0</v>
      </c>
      <c r="BN44" s="324">
        <f>H44</f>
        <v>0.9</v>
      </c>
    </row>
    <row r="45" spans="1:66">
      <c r="A45" s="524">
        <v>1</v>
      </c>
      <c r="B45" s="527" t="s">
        <v>1019</v>
      </c>
      <c r="C45" s="440" t="s">
        <v>2246</v>
      </c>
      <c r="D45" s="528" t="s">
        <v>2394</v>
      </c>
      <c r="F45" s="548">
        <v>0</v>
      </c>
      <c r="G45" s="324">
        <f t="shared" si="5"/>
        <v>0</v>
      </c>
      <c r="H45" s="322">
        <f t="shared" si="7"/>
        <v>0.9</v>
      </c>
      <c r="I45" s="322">
        <f t="shared" si="8"/>
        <v>0</v>
      </c>
      <c r="BN45" s="324">
        <f>H45</f>
        <v>0.9</v>
      </c>
    </row>
    <row r="46" spans="1:66">
      <c r="A46" s="524">
        <v>1</v>
      </c>
      <c r="B46" s="527" t="s">
        <v>1019</v>
      </c>
      <c r="C46" s="440" t="s">
        <v>2246</v>
      </c>
      <c r="D46" s="528" t="s">
        <v>2396</v>
      </c>
      <c r="F46" s="548">
        <v>0</v>
      </c>
      <c r="G46" s="324">
        <f t="shared" si="5"/>
        <v>0</v>
      </c>
      <c r="H46" s="322">
        <f t="shared" si="7"/>
        <v>0.9</v>
      </c>
      <c r="I46" s="322">
        <f t="shared" si="8"/>
        <v>0</v>
      </c>
      <c r="AC46" s="514">
        <f>I46</f>
        <v>0</v>
      </c>
    </row>
    <row r="47" spans="1:66">
      <c r="A47" s="524">
        <v>1</v>
      </c>
      <c r="B47" s="527" t="s">
        <v>1019</v>
      </c>
      <c r="D47" s="528" t="s">
        <v>2395</v>
      </c>
      <c r="E47" s="441" t="s">
        <v>1484</v>
      </c>
      <c r="F47" s="548">
        <v>0</v>
      </c>
      <c r="G47" s="324">
        <f t="shared" si="5"/>
        <v>0</v>
      </c>
      <c r="H47" s="322">
        <f t="shared" si="7"/>
        <v>0.9</v>
      </c>
      <c r="I47" s="322">
        <f t="shared" si="8"/>
        <v>0</v>
      </c>
      <c r="AH47" s="514">
        <f>$H47</f>
        <v>0.9</v>
      </c>
    </row>
    <row r="48" spans="1:66">
      <c r="A48" s="524">
        <v>1</v>
      </c>
      <c r="B48" s="527" t="s">
        <v>1019</v>
      </c>
      <c r="D48" s="528" t="s">
        <v>2397</v>
      </c>
      <c r="F48" s="548">
        <v>0</v>
      </c>
      <c r="G48" s="324">
        <f t="shared" si="5"/>
        <v>0</v>
      </c>
      <c r="H48" s="322">
        <f t="shared" si="7"/>
        <v>0.9</v>
      </c>
      <c r="I48" s="322">
        <f t="shared" si="8"/>
        <v>0</v>
      </c>
      <c r="N48" s="514">
        <f>IF($G48=1,1.5,0.8)</f>
        <v>0.8</v>
      </c>
    </row>
    <row r="49" spans="1:67">
      <c r="A49" s="524">
        <v>1</v>
      </c>
      <c r="B49" s="527" t="s">
        <v>1019</v>
      </c>
      <c r="D49" s="528" t="s">
        <v>2398</v>
      </c>
      <c r="F49" s="548">
        <v>0</v>
      </c>
      <c r="G49" s="324">
        <f t="shared" si="5"/>
        <v>0</v>
      </c>
      <c r="H49" s="322">
        <f t="shared" si="7"/>
        <v>0.9</v>
      </c>
      <c r="I49" s="322">
        <f t="shared" si="8"/>
        <v>0</v>
      </c>
    </row>
    <row r="50" spans="1:67" s="323" customFormat="1">
      <c r="A50" s="524">
        <v>1</v>
      </c>
      <c r="B50" s="527" t="s">
        <v>1019</v>
      </c>
      <c r="C50" s="440"/>
      <c r="D50" s="528" t="s">
        <v>2399</v>
      </c>
      <c r="E50" s="441"/>
      <c r="F50" s="548">
        <v>0</v>
      </c>
      <c r="G50" s="324">
        <f t="shared" si="5"/>
        <v>0</v>
      </c>
      <c r="H50" s="322">
        <f t="shared" si="7"/>
        <v>0.9</v>
      </c>
      <c r="I50" s="322">
        <f t="shared" si="8"/>
        <v>0</v>
      </c>
      <c r="J50" s="322"/>
      <c r="K50" s="322"/>
      <c r="N50" s="514"/>
      <c r="O50" s="322"/>
      <c r="P50" s="514"/>
      <c r="Q50" s="322"/>
      <c r="R50" s="514"/>
      <c r="S50" s="322"/>
      <c r="T50" s="514"/>
      <c r="U50" s="322"/>
      <c r="V50" s="514"/>
      <c r="W50" s="322"/>
      <c r="X50" s="514"/>
      <c r="Y50" s="322"/>
      <c r="Z50" s="514"/>
      <c r="AA50" s="322"/>
      <c r="AB50" s="514"/>
      <c r="AC50" s="322"/>
      <c r="AD50" s="514"/>
      <c r="AE50" s="322"/>
      <c r="AF50" s="514"/>
      <c r="AG50" s="322"/>
      <c r="AH50" s="514"/>
      <c r="AI50" s="322"/>
      <c r="AJ50" s="514"/>
      <c r="AK50" s="322"/>
      <c r="AL50" s="514"/>
      <c r="AM50" s="322"/>
      <c r="AN50" s="514"/>
      <c r="AO50" s="322"/>
      <c r="AP50" s="514"/>
      <c r="AQ50" s="322"/>
      <c r="AR50" s="514"/>
      <c r="AS50" s="322"/>
      <c r="AT50" s="514"/>
      <c r="AU50" s="322"/>
      <c r="AV50" s="514"/>
      <c r="AW50" s="322"/>
      <c r="AX50" s="514"/>
      <c r="AY50" s="322"/>
      <c r="AZ50" s="324"/>
      <c r="BA50" s="322"/>
      <c r="BB50" s="324"/>
      <c r="BC50" s="322"/>
      <c r="BD50" s="324"/>
      <c r="BE50" s="322"/>
      <c r="BF50" s="324"/>
      <c r="BG50" s="322"/>
      <c r="BH50" s="324"/>
      <c r="BI50" s="322"/>
      <c r="BJ50" s="324"/>
      <c r="BK50" s="322"/>
      <c r="BL50" s="324"/>
      <c r="BM50" s="322"/>
      <c r="BN50" s="324"/>
      <c r="BO50" s="322"/>
    </row>
    <row r="51" spans="1:67" s="339" customFormat="1">
      <c r="A51" s="524">
        <v>1</v>
      </c>
      <c r="B51" s="527" t="s">
        <v>1019</v>
      </c>
      <c r="C51" s="440"/>
      <c r="D51" s="528" t="s">
        <v>2400</v>
      </c>
      <c r="E51" s="441"/>
      <c r="F51" s="548">
        <v>0</v>
      </c>
      <c r="G51" s="324">
        <f>F51</f>
        <v>0</v>
      </c>
      <c r="H51" s="322">
        <f t="shared" si="7"/>
        <v>0.9</v>
      </c>
      <c r="I51" s="322">
        <f t="shared" si="8"/>
        <v>0</v>
      </c>
      <c r="M51" s="339" t="s">
        <v>1609</v>
      </c>
      <c r="N51" s="514"/>
      <c r="P51" s="514"/>
      <c r="R51" s="514"/>
      <c r="T51" s="514"/>
      <c r="V51" s="514"/>
      <c r="X51" s="514"/>
      <c r="Z51" s="514"/>
      <c r="AB51" s="514"/>
      <c r="AD51" s="514"/>
      <c r="AF51" s="514"/>
      <c r="AH51" s="514"/>
      <c r="AJ51" s="514"/>
      <c r="AL51" s="514"/>
      <c r="AN51" s="514"/>
      <c r="AP51" s="514"/>
      <c r="AR51" s="514"/>
      <c r="AT51" s="514"/>
      <c r="AV51" s="514"/>
      <c r="AX51" s="514"/>
      <c r="AZ51" s="324"/>
      <c r="BB51" s="324"/>
      <c r="BD51" s="324"/>
      <c r="BF51" s="324"/>
      <c r="BH51" s="324"/>
      <c r="BJ51" s="324"/>
      <c r="BL51" s="324"/>
      <c r="BM51" s="322"/>
      <c r="BN51" s="324"/>
      <c r="BO51" s="322"/>
    </row>
    <row r="52" spans="1:67" ht="36">
      <c r="A52" s="524">
        <v>1</v>
      </c>
      <c r="B52" s="339" t="s">
        <v>1133</v>
      </c>
      <c r="D52" s="523" t="s">
        <v>2401</v>
      </c>
      <c r="E52" s="441" t="s">
        <v>1485</v>
      </c>
      <c r="F52" s="548">
        <v>0</v>
      </c>
      <c r="G52" s="324">
        <f>IF(F52=1,0,1)</f>
        <v>1</v>
      </c>
      <c r="H52" s="332">
        <f t="shared" ref="H52:H61" si="9">F52</f>
        <v>0</v>
      </c>
      <c r="I52" s="332"/>
      <c r="J52" s="335"/>
      <c r="K52" s="336"/>
      <c r="N52" s="577"/>
      <c r="O52" s="577"/>
      <c r="P52" s="577"/>
      <c r="Q52" s="577"/>
      <c r="R52" s="577"/>
      <c r="S52" s="577"/>
      <c r="T52" s="577"/>
      <c r="U52" s="577"/>
      <c r="V52" s="577"/>
      <c r="W52" s="577"/>
      <c r="X52" s="577"/>
      <c r="Y52" s="577"/>
      <c r="Z52" s="577"/>
      <c r="AA52" s="577"/>
      <c r="AB52" s="577"/>
      <c r="AC52" s="577"/>
      <c r="AD52" s="577"/>
      <c r="AE52" s="577"/>
      <c r="AF52" s="577"/>
      <c r="AG52" s="577"/>
      <c r="AH52" s="577"/>
      <c r="AI52" s="577"/>
      <c r="AJ52" s="577"/>
      <c r="AK52" s="577"/>
      <c r="AL52" s="577"/>
      <c r="AM52" s="577"/>
      <c r="AN52" s="577"/>
      <c r="AO52" s="577"/>
      <c r="AP52" s="577"/>
      <c r="AQ52" s="577"/>
      <c r="AR52" s="577"/>
      <c r="AS52" s="577"/>
      <c r="AT52" s="577"/>
      <c r="AU52" s="577"/>
      <c r="AV52" s="577"/>
      <c r="AW52" s="577"/>
      <c r="AX52" s="577"/>
      <c r="AY52" s="577"/>
      <c r="AZ52" s="577"/>
      <c r="BA52" s="577"/>
      <c r="BB52" s="577"/>
      <c r="BC52" s="577"/>
      <c r="BD52" s="577"/>
      <c r="BE52" s="577"/>
      <c r="BF52" s="577"/>
      <c r="BG52" s="577"/>
      <c r="BH52" s="577"/>
      <c r="BI52" s="577"/>
      <c r="BJ52" s="577"/>
      <c r="BK52" s="577"/>
      <c r="BL52" s="577"/>
      <c r="BM52" s="577"/>
      <c r="BN52" s="577"/>
      <c r="BO52" s="577"/>
    </row>
    <row r="53" spans="1:67">
      <c r="A53" s="524"/>
      <c r="B53" s="339" t="s">
        <v>1133</v>
      </c>
      <c r="C53" s="440" t="s">
        <v>2223</v>
      </c>
      <c r="D53" s="523" t="s">
        <v>2402</v>
      </c>
      <c r="E53" s="441" t="s">
        <v>1487</v>
      </c>
      <c r="F53" s="548">
        <v>0</v>
      </c>
      <c r="G53" s="324">
        <f>IF(F53=1,0,1)</f>
        <v>1</v>
      </c>
      <c r="H53" s="332">
        <f t="shared" si="9"/>
        <v>0</v>
      </c>
      <c r="I53" s="332"/>
      <c r="N53" s="577"/>
      <c r="O53" s="577"/>
      <c r="P53" s="577"/>
      <c r="Q53" s="577"/>
      <c r="R53" s="577"/>
      <c r="S53" s="577"/>
      <c r="T53" s="577"/>
      <c r="U53" s="577"/>
      <c r="V53" s="577"/>
      <c r="W53" s="577"/>
      <c r="X53" s="577"/>
      <c r="Y53" s="577"/>
      <c r="Z53" s="577"/>
      <c r="AA53" s="577"/>
      <c r="AB53" s="577"/>
      <c r="AC53" s="577"/>
      <c r="AD53" s="577"/>
      <c r="AE53" s="577"/>
      <c r="AF53" s="577"/>
      <c r="AG53" s="577"/>
      <c r="AH53" s="577"/>
      <c r="AI53" s="577"/>
      <c r="AJ53" s="577"/>
      <c r="AK53" s="577"/>
      <c r="AL53" s="577"/>
      <c r="AM53" s="577"/>
      <c r="AN53" s="577"/>
      <c r="AO53" s="577"/>
      <c r="AP53" s="577"/>
      <c r="AQ53" s="577"/>
      <c r="AR53" s="577"/>
      <c r="AS53" s="577"/>
      <c r="AT53" s="577"/>
      <c r="AU53" s="577"/>
      <c r="AV53" s="577"/>
      <c r="AW53" s="577"/>
      <c r="AX53" s="577"/>
      <c r="AY53" s="577"/>
      <c r="AZ53" s="577"/>
      <c r="BA53" s="577"/>
      <c r="BB53" s="577"/>
      <c r="BC53" s="577"/>
      <c r="BD53" s="577"/>
      <c r="BE53" s="577"/>
      <c r="BF53" s="577"/>
      <c r="BG53" s="577"/>
      <c r="BH53" s="577"/>
      <c r="BI53" s="577"/>
      <c r="BJ53" s="577"/>
      <c r="BK53" s="577"/>
      <c r="BL53" s="577"/>
      <c r="BM53" s="577"/>
      <c r="BN53" s="577"/>
      <c r="BO53" s="577"/>
    </row>
    <row r="54" spans="1:67" ht="36">
      <c r="A54" s="524"/>
      <c r="B54" s="339" t="s">
        <v>1133</v>
      </c>
      <c r="C54" s="440" t="s">
        <v>2224</v>
      </c>
      <c r="D54" s="523" t="s">
        <v>2403</v>
      </c>
      <c r="E54" s="441" t="s">
        <v>1488</v>
      </c>
      <c r="F54" s="548">
        <v>0</v>
      </c>
      <c r="G54" s="324">
        <f t="shared" ref="G54:G67" si="10">IF(F54=1,0,1)</f>
        <v>1</v>
      </c>
      <c r="H54" s="332">
        <f t="shared" si="9"/>
        <v>0</v>
      </c>
      <c r="I54" s="831">
        <f>K60*K62*G54</f>
        <v>0</v>
      </c>
      <c r="N54" s="577"/>
      <c r="O54" s="577"/>
      <c r="P54" s="577"/>
      <c r="Q54" s="577"/>
      <c r="R54" s="577"/>
      <c r="S54" s="577"/>
      <c r="T54" s="577"/>
      <c r="U54" s="577"/>
      <c r="V54" s="577"/>
      <c r="W54" s="577"/>
      <c r="X54" s="577"/>
      <c r="Y54" s="577"/>
      <c r="Z54" s="577"/>
      <c r="AA54" s="577"/>
      <c r="AB54" s="577"/>
      <c r="AC54" s="577"/>
      <c r="AD54" s="577"/>
      <c r="AE54" s="577"/>
      <c r="AF54" s="577"/>
      <c r="AG54" s="577"/>
      <c r="AH54" s="577"/>
      <c r="AI54" s="577"/>
      <c r="AJ54" s="577"/>
      <c r="AK54" s="577"/>
      <c r="AL54" s="577"/>
      <c r="AM54" s="577"/>
      <c r="AN54" s="577"/>
      <c r="AO54" s="577"/>
      <c r="AP54" s="577"/>
      <c r="AQ54" s="577"/>
      <c r="AR54" s="577"/>
      <c r="AS54" s="577"/>
      <c r="AT54" s="577"/>
      <c r="AU54" s="577"/>
      <c r="AV54" s="577"/>
      <c r="AW54" s="577"/>
      <c r="AX54" s="577"/>
      <c r="AY54" s="577"/>
      <c r="AZ54" s="577"/>
      <c r="BA54" s="577"/>
      <c r="BB54" s="577"/>
      <c r="BC54" s="577"/>
      <c r="BD54" s="577"/>
      <c r="BE54" s="577"/>
      <c r="BF54" s="577"/>
      <c r="BG54" s="577"/>
      <c r="BH54" s="577"/>
      <c r="BI54" s="577"/>
      <c r="BJ54" s="577"/>
      <c r="BK54" s="577"/>
      <c r="BL54" s="577"/>
      <c r="BM54" s="577"/>
      <c r="BN54" s="577"/>
      <c r="BO54" s="577"/>
    </row>
    <row r="55" spans="1:67" ht="36">
      <c r="A55" s="524"/>
      <c r="B55" s="339" t="s">
        <v>1133</v>
      </c>
      <c r="C55" s="440" t="s">
        <v>2224</v>
      </c>
      <c r="D55" s="523" t="s">
        <v>2404</v>
      </c>
      <c r="E55" s="441" t="s">
        <v>1489</v>
      </c>
      <c r="F55" s="548">
        <v>0</v>
      </c>
      <c r="G55" s="324">
        <f t="shared" si="10"/>
        <v>1</v>
      </c>
      <c r="H55" s="332">
        <f t="shared" si="9"/>
        <v>0</v>
      </c>
      <c r="I55" s="832">
        <f>K60*K63*G55</f>
        <v>0</v>
      </c>
      <c r="N55" s="577"/>
      <c r="O55" s="577"/>
      <c r="P55" s="577"/>
      <c r="Q55" s="577"/>
      <c r="R55" s="577"/>
      <c r="S55" s="577"/>
      <c r="T55" s="577"/>
      <c r="U55" s="577"/>
      <c r="V55" s="577"/>
      <c r="W55" s="577"/>
      <c r="X55" s="577"/>
      <c r="Y55" s="577"/>
      <c r="Z55" s="577"/>
      <c r="AA55" s="577"/>
      <c r="AB55" s="577"/>
      <c r="AC55" s="577"/>
      <c r="AD55" s="577"/>
      <c r="AE55" s="577"/>
      <c r="AF55" s="577"/>
      <c r="AG55" s="577"/>
      <c r="AH55" s="577"/>
      <c r="AI55" s="577"/>
      <c r="AJ55" s="577"/>
      <c r="AK55" s="577"/>
      <c r="AL55" s="577"/>
      <c r="AM55" s="577"/>
      <c r="AN55" s="577"/>
      <c r="AO55" s="577"/>
      <c r="AP55" s="577"/>
      <c r="AQ55" s="577"/>
      <c r="AR55" s="577"/>
      <c r="AS55" s="577"/>
      <c r="AT55" s="577"/>
      <c r="AU55" s="577"/>
      <c r="AV55" s="577"/>
      <c r="AW55" s="577"/>
      <c r="AX55" s="577"/>
      <c r="AY55" s="577"/>
      <c r="AZ55" s="577"/>
      <c r="BA55" s="577"/>
      <c r="BB55" s="577"/>
      <c r="BC55" s="577"/>
      <c r="BD55" s="577"/>
      <c r="BE55" s="577"/>
      <c r="BF55" s="577"/>
      <c r="BG55" s="577"/>
      <c r="BH55" s="577"/>
      <c r="BI55" s="577"/>
      <c r="BJ55" s="577"/>
      <c r="BK55" s="577"/>
      <c r="BL55" s="577"/>
      <c r="BM55" s="577"/>
      <c r="BN55" s="577"/>
      <c r="BO55" s="577"/>
    </row>
    <row r="56" spans="1:67">
      <c r="A56" s="524">
        <v>1</v>
      </c>
      <c r="B56" s="339" t="s">
        <v>1133</v>
      </c>
      <c r="D56" s="523" t="s">
        <v>2405</v>
      </c>
      <c r="E56" s="441" t="s">
        <v>1490</v>
      </c>
      <c r="F56" s="548">
        <v>0</v>
      </c>
      <c r="G56" s="324">
        <f t="shared" si="10"/>
        <v>1</v>
      </c>
      <c r="H56" s="332">
        <f t="shared" si="9"/>
        <v>0</v>
      </c>
      <c r="I56" s="333"/>
      <c r="N56" s="577"/>
      <c r="O56" s="577"/>
      <c r="P56" s="577"/>
      <c r="Q56" s="577"/>
      <c r="R56" s="577"/>
      <c r="S56" s="577"/>
      <c r="T56" s="577"/>
      <c r="U56" s="577"/>
      <c r="V56" s="577"/>
      <c r="W56" s="577"/>
      <c r="X56" s="577"/>
      <c r="Y56" s="577"/>
      <c r="Z56" s="577"/>
      <c r="AA56" s="577"/>
      <c r="AB56" s="577"/>
      <c r="AC56" s="577"/>
      <c r="AD56" s="577"/>
      <c r="AE56" s="577"/>
      <c r="AF56" s="577"/>
      <c r="AG56" s="577"/>
      <c r="AH56" s="577"/>
      <c r="AI56" s="577"/>
      <c r="AJ56" s="577"/>
      <c r="AK56" s="577"/>
      <c r="AL56" s="577"/>
      <c r="AM56" s="577"/>
      <c r="AN56" s="577"/>
      <c r="AO56" s="577"/>
      <c r="AP56" s="577"/>
      <c r="AQ56" s="577"/>
      <c r="AR56" s="577"/>
      <c r="AS56" s="577"/>
      <c r="AT56" s="577"/>
      <c r="AU56" s="577"/>
      <c r="AV56" s="577"/>
      <c r="AW56" s="577"/>
      <c r="AX56" s="577"/>
      <c r="AY56" s="577"/>
      <c r="AZ56" s="577"/>
      <c r="BA56" s="577"/>
      <c r="BB56" s="577"/>
      <c r="BC56" s="577"/>
      <c r="BD56" s="577"/>
      <c r="BE56" s="577"/>
      <c r="BF56" s="577"/>
      <c r="BG56" s="577"/>
      <c r="BH56" s="577"/>
      <c r="BI56" s="577"/>
      <c r="BJ56" s="577"/>
      <c r="BK56" s="577"/>
      <c r="BL56" s="577"/>
      <c r="BM56" s="577"/>
      <c r="BN56" s="577"/>
      <c r="BO56" s="577"/>
    </row>
    <row r="57" spans="1:67" ht="36">
      <c r="A57" s="524"/>
      <c r="B57" s="339" t="s">
        <v>1133</v>
      </c>
      <c r="D57" s="523" t="s">
        <v>2406</v>
      </c>
      <c r="F57" s="548">
        <v>0</v>
      </c>
      <c r="G57" s="324">
        <f t="shared" si="10"/>
        <v>1</v>
      </c>
      <c r="H57" s="332">
        <f t="shared" si="9"/>
        <v>0</v>
      </c>
      <c r="I57" s="332"/>
      <c r="J57" s="335" t="s">
        <v>2349</v>
      </c>
      <c r="K57" s="336">
        <f>1-((G62+G63+G64+G66+G67+G179+G189+G191+G192)/9)</f>
        <v>0.55555555555555558</v>
      </c>
      <c r="N57" s="577"/>
      <c r="O57" s="577"/>
      <c r="P57" s="577"/>
      <c r="Q57" s="577"/>
      <c r="R57" s="577"/>
      <c r="S57" s="577"/>
      <c r="T57" s="577"/>
      <c r="U57" s="577"/>
      <c r="V57" s="577"/>
      <c r="W57" s="577"/>
      <c r="X57" s="577"/>
      <c r="Y57" s="577"/>
      <c r="Z57" s="577"/>
      <c r="AA57" s="577"/>
      <c r="AB57" s="577"/>
      <c r="AC57" s="577"/>
      <c r="AD57" s="577"/>
      <c r="AE57" s="577"/>
      <c r="AF57" s="577"/>
      <c r="AG57" s="577"/>
      <c r="AH57" s="577"/>
      <c r="AI57" s="577"/>
      <c r="AJ57" s="577"/>
      <c r="AK57" s="577"/>
      <c r="AL57" s="577"/>
      <c r="AM57" s="577"/>
      <c r="AN57" s="577"/>
      <c r="AO57" s="577"/>
      <c r="AP57" s="577"/>
      <c r="AQ57" s="577"/>
      <c r="AR57" s="577"/>
      <c r="AS57" s="577"/>
      <c r="AT57" s="577"/>
      <c r="AU57" s="577"/>
      <c r="AV57" s="577"/>
      <c r="AW57" s="577"/>
      <c r="AX57" s="577"/>
      <c r="AY57" s="577"/>
      <c r="AZ57" s="577"/>
      <c r="BA57" s="577"/>
      <c r="BB57" s="577"/>
      <c r="BC57" s="577"/>
      <c r="BD57" s="577"/>
      <c r="BE57" s="577"/>
      <c r="BF57" s="577"/>
      <c r="BG57" s="577"/>
      <c r="BH57" s="577"/>
      <c r="BI57" s="577"/>
      <c r="BJ57" s="577"/>
      <c r="BK57" s="577"/>
      <c r="BL57" s="577"/>
      <c r="BM57" s="577"/>
      <c r="BN57" s="577"/>
      <c r="BO57" s="577"/>
    </row>
    <row r="58" spans="1:67" ht="36">
      <c r="A58" s="524"/>
      <c r="B58" s="339" t="s">
        <v>1133</v>
      </c>
      <c r="D58" s="523" t="s">
        <v>2407</v>
      </c>
      <c r="E58" s="441" t="s">
        <v>1491</v>
      </c>
      <c r="F58" s="548">
        <v>0</v>
      </c>
      <c r="G58" s="324">
        <f t="shared" si="10"/>
        <v>1</v>
      </c>
      <c r="H58" s="332">
        <f t="shared" si="9"/>
        <v>0</v>
      </c>
      <c r="I58" s="333"/>
      <c r="J58" s="339" t="s">
        <v>2350</v>
      </c>
      <c r="K58" s="341">
        <f>(H54+H55+H58+H59+H60)/5</f>
        <v>0.2</v>
      </c>
      <c r="N58" s="577"/>
      <c r="O58" s="577"/>
      <c r="P58" s="577"/>
      <c r="Q58" s="577"/>
      <c r="R58" s="577"/>
      <c r="S58" s="577"/>
      <c r="T58" s="577"/>
      <c r="U58" s="577"/>
      <c r="V58" s="577"/>
      <c r="W58" s="577"/>
      <c r="X58" s="577"/>
      <c r="Y58" s="577"/>
      <c r="Z58" s="577"/>
      <c r="AA58" s="577"/>
      <c r="AB58" s="577"/>
      <c r="AC58" s="577"/>
      <c r="AD58" s="577"/>
      <c r="AE58" s="577"/>
      <c r="AF58" s="577"/>
      <c r="AG58" s="577"/>
      <c r="AH58" s="577"/>
      <c r="AI58" s="577"/>
      <c r="AJ58" s="577"/>
      <c r="AK58" s="577"/>
      <c r="AL58" s="577"/>
      <c r="AM58" s="577"/>
      <c r="AN58" s="577"/>
      <c r="AO58" s="577"/>
      <c r="AP58" s="577"/>
      <c r="AQ58" s="577"/>
      <c r="AR58" s="577"/>
      <c r="AS58" s="577"/>
      <c r="AT58" s="577"/>
      <c r="AU58" s="577"/>
      <c r="AV58" s="577"/>
      <c r="AW58" s="577"/>
      <c r="AX58" s="577"/>
      <c r="AY58" s="577"/>
      <c r="AZ58" s="577"/>
      <c r="BA58" s="577"/>
      <c r="BB58" s="577"/>
      <c r="BC58" s="577"/>
      <c r="BD58" s="577"/>
      <c r="BE58" s="577"/>
      <c r="BF58" s="577"/>
      <c r="BG58" s="577"/>
      <c r="BH58" s="577"/>
      <c r="BI58" s="577"/>
      <c r="BJ58" s="577"/>
      <c r="BK58" s="577"/>
      <c r="BL58" s="577"/>
      <c r="BM58" s="577"/>
      <c r="BN58" s="577"/>
      <c r="BO58" s="577"/>
    </row>
    <row r="59" spans="1:67">
      <c r="B59" s="339" t="s">
        <v>1133</v>
      </c>
      <c r="D59" s="523" t="s">
        <v>2408</v>
      </c>
      <c r="F59" s="548">
        <v>0</v>
      </c>
      <c r="G59" s="324">
        <f t="shared" si="10"/>
        <v>1</v>
      </c>
      <c r="H59" s="332">
        <f t="shared" si="9"/>
        <v>0</v>
      </c>
      <c r="I59" s="333"/>
      <c r="N59" s="577"/>
      <c r="O59" s="577"/>
      <c r="P59" s="577"/>
      <c r="Q59" s="577"/>
      <c r="R59" s="577"/>
      <c r="S59" s="577"/>
      <c r="T59" s="577"/>
      <c r="U59" s="577"/>
      <c r="V59" s="577"/>
      <c r="W59" s="577"/>
      <c r="X59" s="577"/>
      <c r="Y59" s="577"/>
      <c r="Z59" s="577"/>
      <c r="AA59" s="577"/>
      <c r="AB59" s="577"/>
      <c r="AC59" s="577"/>
      <c r="AD59" s="577"/>
      <c r="AE59" s="577"/>
      <c r="AF59" s="577"/>
      <c r="AG59" s="577"/>
      <c r="AH59" s="577"/>
      <c r="AI59" s="577"/>
      <c r="AJ59" s="577"/>
      <c r="AK59" s="577"/>
      <c r="AL59" s="577"/>
      <c r="AM59" s="577"/>
      <c r="AN59" s="577"/>
      <c r="AO59" s="577"/>
      <c r="AP59" s="577"/>
      <c r="AQ59" s="577"/>
      <c r="AR59" s="577"/>
      <c r="AS59" s="577"/>
      <c r="AT59" s="577"/>
      <c r="AU59" s="577"/>
      <c r="AV59" s="577"/>
      <c r="AW59" s="577"/>
      <c r="AX59" s="577"/>
      <c r="AY59" s="577"/>
      <c r="AZ59" s="577"/>
      <c r="BA59" s="577"/>
      <c r="BB59" s="577"/>
      <c r="BC59" s="577"/>
      <c r="BD59" s="577"/>
      <c r="BE59" s="577"/>
      <c r="BF59" s="577"/>
      <c r="BG59" s="577"/>
      <c r="BH59" s="577"/>
      <c r="BI59" s="577"/>
      <c r="BJ59" s="577"/>
      <c r="BK59" s="577"/>
      <c r="BL59" s="577"/>
      <c r="BM59" s="577"/>
      <c r="BN59" s="577"/>
      <c r="BO59" s="577"/>
    </row>
    <row r="60" spans="1:67">
      <c r="B60" s="339" t="s">
        <v>1133</v>
      </c>
      <c r="D60" s="523" t="s">
        <v>2409</v>
      </c>
      <c r="F60" s="548">
        <v>1</v>
      </c>
      <c r="G60" s="324">
        <f t="shared" si="10"/>
        <v>0</v>
      </c>
      <c r="H60" s="332">
        <f t="shared" si="9"/>
        <v>1</v>
      </c>
      <c r="I60" s="333"/>
      <c r="J60" s="322" t="s">
        <v>2356</v>
      </c>
      <c r="K60" s="322">
        <f>IF(F4&gt;50,1,0)</f>
        <v>1</v>
      </c>
      <c r="N60" s="577"/>
      <c r="O60" s="577"/>
      <c r="P60" s="577"/>
      <c r="Q60" s="577"/>
      <c r="R60" s="577"/>
      <c r="S60" s="577"/>
      <c r="T60" s="577"/>
      <c r="U60" s="577"/>
      <c r="V60" s="577"/>
      <c r="W60" s="577"/>
      <c r="X60" s="577"/>
      <c r="Y60" s="577"/>
      <c r="Z60" s="577"/>
      <c r="AA60" s="577"/>
      <c r="AB60" s="577"/>
      <c r="AC60" s="577"/>
      <c r="AD60" s="577"/>
      <c r="AE60" s="577"/>
      <c r="AF60" s="577"/>
      <c r="AG60" s="577"/>
      <c r="AH60" s="577"/>
      <c r="AI60" s="577"/>
      <c r="AJ60" s="577"/>
      <c r="AK60" s="577"/>
      <c r="AL60" s="577"/>
      <c r="AM60" s="577"/>
      <c r="AN60" s="577"/>
      <c r="AO60" s="577"/>
      <c r="AP60" s="577"/>
      <c r="AQ60" s="577"/>
      <c r="AR60" s="577"/>
      <c r="AS60" s="577"/>
      <c r="AT60" s="577"/>
      <c r="AU60" s="577"/>
      <c r="AV60" s="577"/>
      <c r="AW60" s="577"/>
      <c r="AX60" s="577"/>
      <c r="AY60" s="577"/>
      <c r="AZ60" s="577"/>
      <c r="BA60" s="577"/>
      <c r="BB60" s="577"/>
      <c r="BC60" s="577"/>
      <c r="BD60" s="577"/>
      <c r="BE60" s="577"/>
      <c r="BF60" s="577"/>
      <c r="BG60" s="577"/>
      <c r="BH60" s="577"/>
      <c r="BI60" s="577"/>
      <c r="BJ60" s="577"/>
      <c r="BK60" s="577"/>
      <c r="BL60" s="577"/>
      <c r="BM60" s="577"/>
      <c r="BN60" s="577"/>
      <c r="BO60" s="577"/>
    </row>
    <row r="61" spans="1:67" ht="36">
      <c r="B61" s="339" t="s">
        <v>1133</v>
      </c>
      <c r="D61" s="523" t="s">
        <v>2715</v>
      </c>
      <c r="F61" s="548">
        <v>1</v>
      </c>
      <c r="G61" s="324">
        <f t="shared" si="10"/>
        <v>0</v>
      </c>
      <c r="H61" s="332">
        <f t="shared" si="9"/>
        <v>1</v>
      </c>
      <c r="I61" s="333"/>
      <c r="N61" s="577"/>
      <c r="O61" s="577"/>
      <c r="P61" s="577"/>
      <c r="Q61" s="577"/>
      <c r="R61" s="577"/>
      <c r="S61" s="577"/>
      <c r="T61" s="577"/>
      <c r="U61" s="577"/>
      <c r="V61" s="577"/>
      <c r="W61" s="577"/>
      <c r="X61" s="577"/>
      <c r="Y61" s="577"/>
      <c r="Z61" s="577"/>
      <c r="AA61" s="577"/>
      <c r="AB61" s="577"/>
      <c r="AC61" s="577"/>
      <c r="AD61" s="577"/>
      <c r="AE61" s="577"/>
      <c r="AF61" s="577"/>
      <c r="AG61" s="577"/>
      <c r="AH61" s="577"/>
      <c r="AI61" s="577"/>
      <c r="AJ61" s="577"/>
      <c r="AK61" s="577"/>
      <c r="AL61" s="577"/>
      <c r="AM61" s="577"/>
      <c r="AN61" s="577"/>
      <c r="AO61" s="577"/>
      <c r="AP61" s="577"/>
      <c r="AQ61" s="577"/>
      <c r="AR61" s="577"/>
      <c r="AS61" s="577"/>
      <c r="AT61" s="577"/>
      <c r="AU61" s="577"/>
      <c r="AV61" s="577"/>
      <c r="AW61" s="577"/>
      <c r="AX61" s="577"/>
      <c r="AY61" s="577"/>
      <c r="AZ61" s="577"/>
      <c r="BA61" s="577"/>
      <c r="BB61" s="577"/>
      <c r="BC61" s="577"/>
      <c r="BD61" s="577"/>
      <c r="BE61" s="577"/>
      <c r="BF61" s="577"/>
      <c r="BG61" s="577"/>
      <c r="BH61" s="577"/>
      <c r="BI61" s="577"/>
      <c r="BJ61" s="577"/>
      <c r="BK61" s="577"/>
      <c r="BL61" s="577"/>
      <c r="BM61" s="577"/>
      <c r="BN61" s="577"/>
      <c r="BO61" s="577"/>
    </row>
    <row r="62" spans="1:67">
      <c r="B62" s="339" t="s">
        <v>1133</v>
      </c>
      <c r="C62" s="440" t="s">
        <v>2227</v>
      </c>
      <c r="D62" s="523" t="s">
        <v>2410</v>
      </c>
      <c r="F62" s="548">
        <v>0</v>
      </c>
      <c r="G62" s="324">
        <f t="shared" si="10"/>
        <v>1</v>
      </c>
      <c r="H62" s="332">
        <f>F62</f>
        <v>0</v>
      </c>
      <c r="I62" s="333"/>
      <c r="J62" s="322" t="s">
        <v>2354</v>
      </c>
      <c r="K62" s="322">
        <f>I3</f>
        <v>0</v>
      </c>
      <c r="N62" s="577"/>
      <c r="O62" s="577"/>
      <c r="P62" s="577"/>
      <c r="Q62" s="577"/>
      <c r="R62" s="577"/>
      <c r="S62" s="577"/>
      <c r="T62" s="577"/>
      <c r="U62" s="577"/>
      <c r="V62" s="577"/>
      <c r="W62" s="577"/>
      <c r="X62" s="577"/>
      <c r="Y62" s="577"/>
      <c r="Z62" s="577"/>
      <c r="AA62" s="577"/>
      <c r="AB62" s="577"/>
      <c r="AC62" s="577"/>
      <c r="AD62" s="577"/>
      <c r="AE62" s="577"/>
      <c r="AF62" s="577"/>
      <c r="AG62" s="577"/>
      <c r="AH62" s="577"/>
      <c r="AI62" s="577"/>
      <c r="AJ62" s="577"/>
      <c r="AK62" s="577"/>
      <c r="AL62" s="577"/>
      <c r="AM62" s="577"/>
      <c r="AN62" s="577"/>
      <c r="AO62" s="577"/>
      <c r="AP62" s="577"/>
      <c r="AQ62" s="577"/>
      <c r="AR62" s="577"/>
      <c r="AS62" s="577"/>
      <c r="AT62" s="577"/>
      <c r="AU62" s="577"/>
      <c r="AV62" s="577"/>
      <c r="AW62" s="577"/>
      <c r="AX62" s="577"/>
      <c r="AY62" s="577"/>
      <c r="AZ62" s="577"/>
      <c r="BA62" s="577"/>
      <c r="BB62" s="577"/>
      <c r="BC62" s="577"/>
      <c r="BD62" s="577"/>
      <c r="BE62" s="577"/>
      <c r="BF62" s="577"/>
      <c r="BG62" s="577"/>
      <c r="BH62" s="577"/>
      <c r="BI62" s="577"/>
      <c r="BJ62" s="577"/>
      <c r="BK62" s="577"/>
      <c r="BL62" s="577"/>
      <c r="BM62" s="577"/>
      <c r="BN62" s="577"/>
      <c r="BO62" s="577"/>
    </row>
    <row r="63" spans="1:67">
      <c r="B63" s="339" t="s">
        <v>1133</v>
      </c>
      <c r="C63" s="440" t="s">
        <v>2226</v>
      </c>
      <c r="D63" s="523" t="s">
        <v>2411</v>
      </c>
      <c r="F63" s="315">
        <v>0</v>
      </c>
      <c r="G63" s="324">
        <f t="shared" si="10"/>
        <v>1</v>
      </c>
      <c r="H63" s="332">
        <f>IF(F63=1,1,0)</f>
        <v>0</v>
      </c>
      <c r="I63" s="333"/>
      <c r="J63" s="322" t="s">
        <v>2355</v>
      </c>
      <c r="K63" s="322">
        <f>I3</f>
        <v>0</v>
      </c>
      <c r="N63" s="577"/>
      <c r="O63" s="577"/>
      <c r="P63" s="577"/>
      <c r="Q63" s="577"/>
      <c r="R63" s="577"/>
      <c r="S63" s="577"/>
      <c r="T63" s="577"/>
      <c r="U63" s="577"/>
      <c r="V63" s="577"/>
      <c r="W63" s="577"/>
      <c r="X63" s="577"/>
      <c r="Y63" s="577"/>
      <c r="Z63" s="577"/>
      <c r="AA63" s="577"/>
      <c r="AB63" s="577"/>
      <c r="AC63" s="577"/>
      <c r="AD63" s="577"/>
      <c r="AE63" s="577"/>
      <c r="AF63" s="577"/>
      <c r="AG63" s="577"/>
      <c r="AH63" s="577"/>
      <c r="AI63" s="577"/>
      <c r="AJ63" s="577"/>
      <c r="AK63" s="577"/>
      <c r="AL63" s="577"/>
      <c r="AM63" s="577"/>
      <c r="AN63" s="577"/>
      <c r="AO63" s="577"/>
      <c r="AP63" s="577"/>
      <c r="AQ63" s="577"/>
      <c r="AR63" s="577"/>
      <c r="AS63" s="577"/>
      <c r="AT63" s="577"/>
      <c r="AU63" s="577"/>
      <c r="AV63" s="577"/>
      <c r="AW63" s="577"/>
      <c r="AX63" s="577"/>
      <c r="AY63" s="577"/>
      <c r="AZ63" s="577"/>
      <c r="BA63" s="577"/>
      <c r="BB63" s="577"/>
      <c r="BC63" s="577"/>
      <c r="BD63" s="577"/>
      <c r="BE63" s="577"/>
      <c r="BF63" s="577"/>
      <c r="BG63" s="577"/>
      <c r="BH63" s="577"/>
      <c r="BI63" s="577"/>
      <c r="BJ63" s="577"/>
      <c r="BK63" s="577"/>
      <c r="BL63" s="577"/>
      <c r="BM63" s="577"/>
      <c r="BN63" s="577"/>
      <c r="BO63" s="577"/>
    </row>
    <row r="64" spans="1:67" ht="36">
      <c r="B64" s="339" t="s">
        <v>1133</v>
      </c>
      <c r="C64" s="440" t="s">
        <v>2225</v>
      </c>
      <c r="D64" s="523" t="s">
        <v>2412</v>
      </c>
      <c r="F64" s="315">
        <v>0</v>
      </c>
      <c r="G64" s="324">
        <f t="shared" si="10"/>
        <v>1</v>
      </c>
      <c r="H64" s="332">
        <f>IF(F64=1,1,0)</f>
        <v>0</v>
      </c>
      <c r="I64" s="333"/>
      <c r="N64" s="577"/>
      <c r="O64" s="577"/>
      <c r="P64" s="577"/>
      <c r="Q64" s="577"/>
      <c r="R64" s="577"/>
      <c r="S64" s="577"/>
      <c r="T64" s="577"/>
      <c r="U64" s="577"/>
      <c r="V64" s="577"/>
      <c r="W64" s="577"/>
      <c r="X64" s="577"/>
      <c r="Y64" s="577"/>
      <c r="Z64" s="577"/>
      <c r="AA64" s="577"/>
      <c r="AB64" s="577"/>
      <c r="AC64" s="577"/>
      <c r="AD64" s="577"/>
      <c r="AE64" s="577"/>
      <c r="AF64" s="577"/>
      <c r="AG64" s="577"/>
      <c r="AH64" s="577"/>
      <c r="AI64" s="577"/>
      <c r="AJ64" s="577"/>
      <c r="AK64" s="577"/>
      <c r="AL64" s="577"/>
      <c r="AM64" s="577"/>
      <c r="AN64" s="577"/>
      <c r="AO64" s="577"/>
      <c r="AP64" s="577"/>
      <c r="AQ64" s="577"/>
      <c r="AR64" s="577"/>
      <c r="AS64" s="577"/>
      <c r="AT64" s="577"/>
      <c r="AU64" s="577"/>
      <c r="AV64" s="577"/>
      <c r="AW64" s="577"/>
      <c r="AX64" s="577"/>
      <c r="AY64" s="577"/>
      <c r="AZ64" s="577"/>
      <c r="BA64" s="577"/>
      <c r="BB64" s="577"/>
      <c r="BC64" s="577"/>
      <c r="BD64" s="577"/>
      <c r="BE64" s="577"/>
      <c r="BF64" s="577"/>
      <c r="BG64" s="577"/>
      <c r="BH64" s="577"/>
      <c r="BI64" s="577"/>
      <c r="BJ64" s="577"/>
      <c r="BK64" s="577"/>
      <c r="BL64" s="577"/>
      <c r="BM64" s="577"/>
      <c r="BN64" s="577"/>
      <c r="BO64" s="577"/>
    </row>
    <row r="65" spans="1:67">
      <c r="B65" s="339" t="s">
        <v>1133</v>
      </c>
      <c r="D65" s="523" t="s">
        <v>2413</v>
      </c>
      <c r="F65" s="548">
        <v>0</v>
      </c>
      <c r="G65" s="324">
        <f t="shared" si="10"/>
        <v>1</v>
      </c>
      <c r="H65" s="332">
        <f>IF(F65=1,1,0)</f>
        <v>0</v>
      </c>
      <c r="K65" s="340"/>
      <c r="N65" s="577"/>
      <c r="O65" s="577"/>
      <c r="P65" s="577"/>
      <c r="Q65" s="577"/>
      <c r="R65" s="577"/>
      <c r="S65" s="577"/>
      <c r="T65" s="577"/>
      <c r="U65" s="577"/>
      <c r="V65" s="577"/>
      <c r="W65" s="577"/>
      <c r="X65" s="577"/>
      <c r="Y65" s="577"/>
      <c r="Z65" s="577"/>
      <c r="AA65" s="577"/>
      <c r="AB65" s="577"/>
      <c r="AC65" s="577"/>
      <c r="AD65" s="577"/>
      <c r="AE65" s="577"/>
      <c r="AF65" s="577"/>
      <c r="AG65" s="577"/>
      <c r="AH65" s="577"/>
      <c r="AI65" s="577"/>
      <c r="AJ65" s="577"/>
      <c r="AK65" s="577"/>
      <c r="AL65" s="577"/>
      <c r="AM65" s="577"/>
      <c r="AN65" s="577"/>
      <c r="AO65" s="577"/>
      <c r="AP65" s="577"/>
      <c r="AQ65" s="577"/>
      <c r="AR65" s="577"/>
      <c r="AS65" s="577"/>
      <c r="AT65" s="577"/>
      <c r="AU65" s="577"/>
      <c r="AV65" s="577"/>
      <c r="AW65" s="577"/>
      <c r="AX65" s="577"/>
      <c r="AY65" s="577"/>
      <c r="AZ65" s="577"/>
      <c r="BA65" s="577"/>
      <c r="BB65" s="577"/>
      <c r="BC65" s="577"/>
      <c r="BD65" s="577"/>
      <c r="BE65" s="577"/>
      <c r="BF65" s="577"/>
      <c r="BG65" s="577"/>
      <c r="BH65" s="577"/>
      <c r="BI65" s="577"/>
      <c r="BJ65" s="577"/>
      <c r="BK65" s="577"/>
      <c r="BL65" s="577"/>
      <c r="BM65" s="577"/>
      <c r="BN65" s="577"/>
      <c r="BO65" s="577"/>
    </row>
    <row r="66" spans="1:67" s="323" customFormat="1">
      <c r="B66" s="339" t="s">
        <v>1133</v>
      </c>
      <c r="C66" s="440" t="s">
        <v>2225</v>
      </c>
      <c r="D66" s="523" t="s">
        <v>2414</v>
      </c>
      <c r="E66" s="441"/>
      <c r="F66" s="315">
        <v>1</v>
      </c>
      <c r="G66" s="324">
        <f t="shared" si="10"/>
        <v>0</v>
      </c>
      <c r="H66" s="332">
        <f>IF(F66=1,1,0)</f>
        <v>1</v>
      </c>
      <c r="I66" s="322"/>
      <c r="J66" s="322"/>
      <c r="K66" s="340"/>
      <c r="N66" s="514"/>
      <c r="O66" s="322"/>
      <c r="P66" s="514"/>
      <c r="Q66" s="322"/>
      <c r="R66" s="514"/>
      <c r="S66" s="322"/>
      <c r="T66" s="514"/>
      <c r="U66" s="322"/>
      <c r="V66" s="514"/>
      <c r="W66" s="322"/>
      <c r="X66" s="514"/>
      <c r="Y66" s="322"/>
      <c r="Z66" s="514"/>
      <c r="AA66" s="322"/>
      <c r="AB66" s="514"/>
      <c r="AC66" s="322"/>
      <c r="AD66" s="514"/>
      <c r="AE66" s="322"/>
      <c r="AF66" s="514"/>
      <c r="AG66" s="322"/>
      <c r="AH66" s="514"/>
      <c r="AI66" s="322"/>
      <c r="AJ66" s="514"/>
      <c r="AK66" s="322"/>
      <c r="AL66" s="514"/>
      <c r="AM66" s="322"/>
      <c r="AN66" s="514"/>
      <c r="AO66" s="322"/>
      <c r="AP66" s="514"/>
      <c r="AQ66" s="322"/>
      <c r="AR66" s="514"/>
      <c r="AS66" s="322"/>
      <c r="AT66" s="514"/>
      <c r="AU66" s="322"/>
      <c r="AV66" s="514"/>
      <c r="AW66" s="322"/>
      <c r="AX66" s="514"/>
      <c r="AY66" s="322"/>
      <c r="AZ66" s="324"/>
      <c r="BA66" s="322"/>
      <c r="BB66" s="324"/>
      <c r="BC66" s="322"/>
      <c r="BD66" s="324"/>
      <c r="BE66" s="322"/>
      <c r="BF66" s="324"/>
      <c r="BG66" s="322"/>
      <c r="BH66" s="324"/>
      <c r="BI66" s="322"/>
      <c r="BJ66" s="324"/>
      <c r="BK66" s="322"/>
      <c r="BL66" s="324"/>
      <c r="BM66" s="322"/>
      <c r="BN66" s="324"/>
      <c r="BO66" s="322"/>
    </row>
    <row r="67" spans="1:67" s="323" customFormat="1">
      <c r="B67" s="339" t="s">
        <v>1133</v>
      </c>
      <c r="C67" s="440" t="s">
        <v>2226</v>
      </c>
      <c r="D67" s="523" t="s">
        <v>2415</v>
      </c>
      <c r="E67" s="441"/>
      <c r="F67" s="548">
        <v>0</v>
      </c>
      <c r="G67" s="324">
        <f t="shared" si="10"/>
        <v>1</v>
      </c>
      <c r="H67" s="332">
        <f>IF(F67=1,1,0)</f>
        <v>0</v>
      </c>
      <c r="I67" s="322"/>
      <c r="J67" s="322"/>
      <c r="K67" s="340"/>
      <c r="N67" s="514"/>
      <c r="O67" s="322"/>
      <c r="P67" s="514"/>
      <c r="Q67" s="322"/>
      <c r="R67" s="514"/>
      <c r="S67" s="322"/>
      <c r="T67" s="514"/>
      <c r="U67" s="322"/>
      <c r="V67" s="514"/>
      <c r="W67" s="322"/>
      <c r="X67" s="514"/>
      <c r="Y67" s="322"/>
      <c r="Z67" s="514"/>
      <c r="AA67" s="322"/>
      <c r="AB67" s="514"/>
      <c r="AC67" s="322"/>
      <c r="AD67" s="514"/>
      <c r="AE67" s="322"/>
      <c r="AF67" s="514"/>
      <c r="AG67" s="322"/>
      <c r="AH67" s="514"/>
      <c r="AI67" s="322"/>
      <c r="AJ67" s="514"/>
      <c r="AK67" s="322"/>
      <c r="AL67" s="514"/>
      <c r="AM67" s="322"/>
      <c r="AN67" s="514"/>
      <c r="AO67" s="322"/>
      <c r="AP67" s="514"/>
      <c r="AQ67" s="322"/>
      <c r="AR67" s="514"/>
      <c r="AS67" s="322"/>
      <c r="AT67" s="514"/>
      <c r="AU67" s="322"/>
      <c r="AV67" s="514"/>
      <c r="AW67" s="322"/>
      <c r="AX67" s="514"/>
      <c r="AY67" s="322"/>
      <c r="AZ67" s="324"/>
      <c r="BA67" s="322"/>
      <c r="BB67" s="324"/>
      <c r="BC67" s="322"/>
      <c r="BD67" s="324"/>
      <c r="BE67" s="322"/>
      <c r="BF67" s="324"/>
      <c r="BG67" s="322"/>
      <c r="BH67" s="324"/>
      <c r="BI67" s="322"/>
      <c r="BJ67" s="324"/>
      <c r="BK67" s="322"/>
      <c r="BL67" s="324"/>
      <c r="BM67" s="322"/>
      <c r="BN67" s="324"/>
      <c r="BO67" s="322"/>
    </row>
    <row r="68" spans="1:67" s="338" customFormat="1" ht="54">
      <c r="A68" s="524">
        <v>1</v>
      </c>
      <c r="B68" s="338" t="s">
        <v>1024</v>
      </c>
      <c r="C68" s="440"/>
      <c r="D68" s="535" t="s">
        <v>2416</v>
      </c>
      <c r="E68" s="441" t="s">
        <v>1492</v>
      </c>
      <c r="F68" s="548">
        <v>0</v>
      </c>
      <c r="G68" s="338">
        <f>IF(F68=1,1.2,0.9)</f>
        <v>0.9</v>
      </c>
      <c r="H68" s="322">
        <f t="shared" ref="H68:H71" si="11">F68</f>
        <v>0</v>
      </c>
      <c r="J68" s="338" t="s">
        <v>1143</v>
      </c>
      <c r="K68" s="551">
        <f>1-(((H68+H69+H70+H74)/4)+0.1)</f>
        <v>0.9</v>
      </c>
      <c r="L68" s="338" t="s">
        <v>1182</v>
      </c>
      <c r="M68" s="547" t="s">
        <v>1610</v>
      </c>
      <c r="N68" s="403"/>
      <c r="O68" s="552"/>
      <c r="P68" s="403"/>
      <c r="R68" s="514"/>
      <c r="T68" s="514"/>
      <c r="V68" s="403"/>
      <c r="X68" s="514"/>
      <c r="Y68" s="552"/>
      <c r="Z68" s="514"/>
      <c r="AB68" s="514"/>
      <c r="AD68" s="403"/>
      <c r="AE68" s="552">
        <f>$G$68</f>
        <v>0.9</v>
      </c>
      <c r="AF68" s="552">
        <f>$G$68</f>
        <v>0.9</v>
      </c>
      <c r="AH68" s="514"/>
      <c r="AJ68" s="514"/>
      <c r="AK68" s="552"/>
      <c r="AL68" s="514"/>
      <c r="AN68" s="514"/>
      <c r="AP68" s="514"/>
      <c r="AQ68" s="552"/>
      <c r="AR68" s="514"/>
      <c r="AS68" s="552"/>
      <c r="AT68" s="403"/>
      <c r="AV68" s="514"/>
      <c r="AW68" s="552"/>
      <c r="AX68" s="403"/>
      <c r="AY68" s="552"/>
      <c r="AZ68" s="324"/>
      <c r="BA68" s="552"/>
      <c r="BB68" s="324"/>
      <c r="BD68" s="324"/>
      <c r="BE68" s="552"/>
      <c r="BF68" s="324"/>
      <c r="BG68" s="552"/>
      <c r="BH68" s="552">
        <f>$G$68</f>
        <v>0.9</v>
      </c>
      <c r="BI68" s="552">
        <f>($G$68+$G$71)/2</f>
        <v>1.05</v>
      </c>
      <c r="BJ68" s="567"/>
      <c r="BL68" s="552">
        <f>$G$68</f>
        <v>0.9</v>
      </c>
      <c r="BM68" s="513"/>
      <c r="BN68" s="324"/>
      <c r="BO68" s="322"/>
    </row>
    <row r="69" spans="1:67" ht="90">
      <c r="B69" s="338" t="s">
        <v>1024</v>
      </c>
      <c r="D69" s="535" t="s">
        <v>2417</v>
      </c>
      <c r="F69" s="548">
        <v>0</v>
      </c>
      <c r="G69" s="338">
        <f t="shared" ref="G69:G71" si="12">IF(F69=1,1.2,0.9)</f>
        <v>0.9</v>
      </c>
      <c r="H69" s="322">
        <f t="shared" si="11"/>
        <v>0</v>
      </c>
      <c r="K69" s="340"/>
      <c r="M69" s="358"/>
      <c r="N69" s="516"/>
      <c r="O69" s="340"/>
      <c r="P69" s="516"/>
      <c r="V69" s="516"/>
      <c r="Y69" s="516"/>
      <c r="AD69" s="516"/>
      <c r="AE69" s="516"/>
      <c r="AF69" s="516"/>
      <c r="AK69" s="516"/>
      <c r="AQ69" s="340"/>
      <c r="AS69" s="516"/>
      <c r="AT69" s="516"/>
      <c r="AW69" s="516"/>
      <c r="AX69" s="516"/>
      <c r="AY69" s="516"/>
      <c r="BA69" s="340"/>
      <c r="BE69" s="516"/>
      <c r="BG69" s="340"/>
      <c r="BH69" s="366"/>
      <c r="BI69" s="340"/>
      <c r="BJ69" s="366"/>
      <c r="BL69" s="366">
        <f>$G69</f>
        <v>0.9</v>
      </c>
      <c r="BM69" s="340"/>
    </row>
    <row r="70" spans="1:67">
      <c r="B70" s="338" t="s">
        <v>1024</v>
      </c>
      <c r="D70" s="535" t="s">
        <v>2418</v>
      </c>
      <c r="F70" s="548">
        <v>0</v>
      </c>
      <c r="G70" s="338">
        <f t="shared" si="12"/>
        <v>0.9</v>
      </c>
      <c r="H70" s="322">
        <f t="shared" si="11"/>
        <v>0</v>
      </c>
      <c r="J70" s="337" t="s">
        <v>1144</v>
      </c>
      <c r="K70" s="342">
        <f>1-((H68/2)+(H71/2)+H74+H74+(H75/2)+(I87/2)+I250)/5</f>
        <v>0.8</v>
      </c>
      <c r="M70" s="358"/>
      <c r="N70" s="516"/>
      <c r="O70" s="340"/>
      <c r="P70" s="516"/>
      <c r="V70" s="516"/>
      <c r="Y70" s="516"/>
      <c r="AD70" s="516"/>
      <c r="AE70" s="516"/>
      <c r="AF70" s="516"/>
      <c r="AK70" s="516"/>
      <c r="AQ70" s="340"/>
      <c r="AS70" s="516"/>
      <c r="AT70" s="516"/>
      <c r="AW70" s="340">
        <f t="shared" ref="AW70:AX70" si="13">$G70</f>
        <v>0.9</v>
      </c>
      <c r="AX70" s="516">
        <f t="shared" si="13"/>
        <v>0.9</v>
      </c>
      <c r="AY70" s="516"/>
      <c r="BA70" s="340"/>
      <c r="BE70" s="516"/>
      <c r="BG70" s="340"/>
      <c r="BH70" s="366"/>
      <c r="BI70" s="340"/>
      <c r="BJ70" s="366"/>
      <c r="BL70" s="366"/>
      <c r="BM70" s="340"/>
    </row>
    <row r="71" spans="1:67">
      <c r="A71" s="524">
        <v>1</v>
      </c>
      <c r="B71" s="338" t="s">
        <v>1024</v>
      </c>
      <c r="D71" s="535" t="s">
        <v>2432</v>
      </c>
      <c r="E71" s="441" t="s">
        <v>1493</v>
      </c>
      <c r="F71" s="548">
        <v>1</v>
      </c>
      <c r="G71" s="338">
        <f t="shared" si="12"/>
        <v>1.2</v>
      </c>
      <c r="H71" s="322">
        <f t="shared" si="11"/>
        <v>1</v>
      </c>
      <c r="K71" s="340"/>
      <c r="M71" s="358"/>
      <c r="N71" s="516"/>
      <c r="O71" s="340"/>
      <c r="P71" s="516"/>
      <c r="V71" s="516">
        <f t="shared" ref="V71:W71" si="14">$G71</f>
        <v>1.2</v>
      </c>
      <c r="W71" s="340">
        <f t="shared" si="14"/>
        <v>1.2</v>
      </c>
      <c r="Y71" s="340">
        <f>$G71</f>
        <v>1.2</v>
      </c>
      <c r="AD71" s="516"/>
      <c r="AE71" s="516"/>
      <c r="AF71" s="516"/>
      <c r="AK71" s="516"/>
      <c r="AQ71" s="340"/>
      <c r="AS71" s="516"/>
      <c r="AT71" s="516"/>
      <c r="AW71" s="516"/>
      <c r="AX71" s="516"/>
      <c r="AY71" s="516"/>
      <c r="BA71" s="340"/>
      <c r="BE71" s="516"/>
      <c r="BG71" s="340"/>
      <c r="BH71" s="366"/>
      <c r="BI71" s="552">
        <f>($G$68+$G$71)/2</f>
        <v>1.05</v>
      </c>
      <c r="BJ71" s="366"/>
      <c r="BL71" s="366"/>
      <c r="BM71" s="340"/>
    </row>
    <row r="72" spans="1:67" ht="36">
      <c r="A72" s="524"/>
      <c r="B72" s="338" t="s">
        <v>1024</v>
      </c>
      <c r="D72" s="535" t="s">
        <v>2431</v>
      </c>
      <c r="E72" s="441" t="s">
        <v>1494</v>
      </c>
      <c r="F72" s="548">
        <v>0</v>
      </c>
      <c r="G72" s="324">
        <f>IF(F72=1,0.9,1.2)</f>
        <v>1.2</v>
      </c>
      <c r="H72" s="322">
        <f>IF(F72=0,1,0)</f>
        <v>1</v>
      </c>
      <c r="I72" s="339">
        <f>IF(F72=1,1,0)</f>
        <v>0</v>
      </c>
      <c r="J72" s="337" t="s">
        <v>1145</v>
      </c>
      <c r="K72" s="342">
        <f>(1-((F78+F77+G61+F48))/4)</f>
        <v>1</v>
      </c>
      <c r="L72" s="322">
        <f>IF(K72&gt;0.5,1.2,0.8)</f>
        <v>1.2</v>
      </c>
      <c r="M72" s="358"/>
      <c r="N72" s="516"/>
      <c r="O72" s="340"/>
      <c r="P72" s="516"/>
      <c r="V72" s="516"/>
      <c r="Y72" s="516"/>
      <c r="AD72" s="516"/>
      <c r="AE72" s="516"/>
      <c r="AF72" s="516"/>
      <c r="AK72" s="516"/>
      <c r="AQ72" s="340"/>
      <c r="AS72" s="340">
        <f t="shared" ref="AS72:AT72" si="15">$G72</f>
        <v>1.2</v>
      </c>
      <c r="AT72" s="516">
        <f t="shared" si="15"/>
        <v>1.2</v>
      </c>
      <c r="AW72" s="516"/>
      <c r="AX72" s="516"/>
      <c r="AY72" s="516"/>
      <c r="AZ72" s="366">
        <f>$G72</f>
        <v>1.2</v>
      </c>
      <c r="BA72" s="340">
        <f>$G72</f>
        <v>1.2</v>
      </c>
      <c r="BE72" s="340">
        <f>$G72</f>
        <v>1.2</v>
      </c>
      <c r="BG72" s="340"/>
      <c r="BH72" s="366"/>
      <c r="BI72" s="340"/>
      <c r="BJ72" s="366"/>
      <c r="BK72" s="340">
        <f>$G72</f>
        <v>1.2</v>
      </c>
      <c r="BL72" s="366"/>
      <c r="BM72" s="340"/>
    </row>
    <row r="73" spans="1:67" ht="36">
      <c r="A73" s="524"/>
      <c r="B73" s="338" t="s">
        <v>1024</v>
      </c>
      <c r="D73" s="535" t="s">
        <v>2430</v>
      </c>
      <c r="E73" s="441" t="s">
        <v>1495</v>
      </c>
      <c r="F73" s="548">
        <v>0</v>
      </c>
      <c r="G73" s="324">
        <f>IF(F73=1,0.9,1.2)</f>
        <v>1.2</v>
      </c>
      <c r="H73" s="322">
        <f>IF(F73=0,1,0)</f>
        <v>1</v>
      </c>
      <c r="I73" s="339">
        <f>IF(F73=1,1,0)</f>
        <v>0</v>
      </c>
      <c r="J73" s="353" t="s">
        <v>1167</v>
      </c>
      <c r="K73" s="340">
        <f>(F7/(F6^2))*100</f>
        <v>0.37037037037037041</v>
      </c>
      <c r="L73" s="353">
        <f>IF(K73&lt;0.25,1,IF(K73&gt;0.3,2,1.2))</f>
        <v>2</v>
      </c>
      <c r="M73" s="358"/>
      <c r="N73" s="516"/>
      <c r="O73" s="340"/>
      <c r="P73" s="516"/>
      <c r="V73" s="516"/>
      <c r="Y73" s="516"/>
      <c r="AD73" s="516"/>
      <c r="AE73" s="516"/>
      <c r="AF73" s="516"/>
      <c r="AK73" s="516"/>
      <c r="AQ73" s="340"/>
      <c r="AS73" s="516"/>
      <c r="AT73" s="516"/>
      <c r="AW73" s="516"/>
      <c r="AX73" s="516"/>
      <c r="AY73" s="516"/>
      <c r="AZ73" s="366">
        <f t="shared" ref="AZ73:BA73" si="16">$G73</f>
        <v>1.2</v>
      </c>
      <c r="BA73" s="340">
        <f t="shared" si="16"/>
        <v>1.2</v>
      </c>
      <c r="BE73" s="340">
        <f>$G73</f>
        <v>1.2</v>
      </c>
      <c r="BG73" s="340"/>
      <c r="BH73" s="366"/>
      <c r="BI73" s="340"/>
      <c r="BJ73" s="366"/>
      <c r="BL73" s="366"/>
      <c r="BM73" s="340"/>
    </row>
    <row r="74" spans="1:67" s="316" customFormat="1" ht="36">
      <c r="B74" s="338" t="s">
        <v>1024</v>
      </c>
      <c r="C74" s="440"/>
      <c r="D74" s="535" t="s">
        <v>2429</v>
      </c>
      <c r="E74" s="441"/>
      <c r="F74" s="548">
        <v>0</v>
      </c>
      <c r="G74" s="324">
        <f>IF(F74=1,1.2,0.9)</f>
        <v>0.9</v>
      </c>
      <c r="H74" s="322">
        <f>IF(F74=1,1,0)</f>
        <v>0</v>
      </c>
      <c r="J74" s="355" t="s">
        <v>1168</v>
      </c>
      <c r="K74" s="356"/>
      <c r="L74" s="355">
        <f>IF(K73&lt;0.18,1.2,1)</f>
        <v>1</v>
      </c>
      <c r="M74" s="357"/>
      <c r="N74" s="517"/>
      <c r="O74" s="343"/>
      <c r="P74" s="517"/>
      <c r="R74" s="515"/>
      <c r="T74" s="515"/>
      <c r="V74" s="517"/>
      <c r="X74" s="515"/>
      <c r="Y74" s="517"/>
      <c r="Z74" s="515"/>
      <c r="AB74" s="515"/>
      <c r="AD74" s="517"/>
      <c r="AE74" s="517"/>
      <c r="AF74" s="517"/>
      <c r="AH74" s="515"/>
      <c r="AJ74" s="515"/>
      <c r="AK74" s="517"/>
      <c r="AL74" s="515"/>
      <c r="AN74" s="515"/>
      <c r="AP74" s="515"/>
      <c r="AQ74" s="343"/>
      <c r="AR74" s="515"/>
      <c r="AS74" s="517"/>
      <c r="AT74" s="517"/>
      <c r="AV74" s="515"/>
      <c r="AW74" s="517"/>
      <c r="AX74" s="517"/>
      <c r="AY74" s="517"/>
      <c r="AZ74" s="334"/>
      <c r="BA74" s="343"/>
      <c r="BB74" s="334"/>
      <c r="BD74" s="334"/>
      <c r="BE74" s="517"/>
      <c r="BF74" s="334"/>
      <c r="BG74" s="343"/>
      <c r="BH74" s="362"/>
      <c r="BI74" s="343"/>
      <c r="BJ74" s="362"/>
      <c r="BL74" s="362"/>
      <c r="BM74" s="343"/>
      <c r="BN74" s="334"/>
    </row>
    <row r="75" spans="1:67" s="316" customFormat="1" ht="36">
      <c r="B75" s="338" t="s">
        <v>1024</v>
      </c>
      <c r="C75" s="440"/>
      <c r="D75" s="535" t="s">
        <v>2428</v>
      </c>
      <c r="E75" s="571"/>
      <c r="F75" s="548">
        <v>0</v>
      </c>
      <c r="G75" s="324">
        <f>IF(F75=1,1.2,0.9)</f>
        <v>0.9</v>
      </c>
      <c r="H75" s="322">
        <f t="shared" ref="H75" si="17">F75</f>
        <v>0</v>
      </c>
      <c r="K75" s="343"/>
      <c r="M75" s="357"/>
      <c r="N75" s="517"/>
      <c r="O75" s="343"/>
      <c r="P75" s="517"/>
      <c r="R75" s="515"/>
      <c r="T75" s="515"/>
      <c r="V75" s="517"/>
      <c r="X75" s="515"/>
      <c r="Y75" s="517"/>
      <c r="Z75" s="515"/>
      <c r="AB75" s="515"/>
      <c r="AD75" s="517"/>
      <c r="AE75" s="517"/>
      <c r="AF75" s="517"/>
      <c r="AH75" s="515"/>
      <c r="AJ75" s="515"/>
      <c r="AK75" s="517"/>
      <c r="AL75" s="515"/>
      <c r="AN75" s="515"/>
      <c r="AP75" s="515"/>
      <c r="AQ75" s="343"/>
      <c r="AR75" s="515"/>
      <c r="AS75" s="517"/>
      <c r="AT75" s="517"/>
      <c r="AV75" s="515"/>
      <c r="AW75" s="517"/>
      <c r="AX75" s="517"/>
      <c r="AY75" s="517"/>
      <c r="AZ75" s="334"/>
      <c r="BA75" s="343"/>
      <c r="BB75" s="334"/>
      <c r="BD75" s="334"/>
      <c r="BE75" s="517"/>
      <c r="BF75" s="334"/>
      <c r="BG75" s="343"/>
      <c r="BH75" s="362"/>
      <c r="BI75" s="343"/>
      <c r="BJ75" s="362"/>
      <c r="BL75" s="362"/>
      <c r="BM75" s="343"/>
      <c r="BN75" s="334"/>
    </row>
    <row r="76" spans="1:67" s="316" customFormat="1">
      <c r="B76" s="338" t="s">
        <v>1024</v>
      </c>
      <c r="C76" s="440"/>
      <c r="D76" s="643" t="s">
        <v>2427</v>
      </c>
      <c r="E76" s="441"/>
      <c r="F76" s="548">
        <v>0</v>
      </c>
      <c r="G76" s="324"/>
      <c r="H76" s="322"/>
      <c r="K76" s="343"/>
      <c r="M76" s="357"/>
      <c r="N76" s="517"/>
      <c r="O76" s="343"/>
      <c r="P76" s="517"/>
      <c r="R76" s="515"/>
      <c r="T76" s="515"/>
      <c r="V76" s="517"/>
      <c r="X76" s="515"/>
      <c r="Z76" s="515"/>
      <c r="AB76" s="515"/>
      <c r="AD76" s="517"/>
      <c r="AE76" s="517"/>
      <c r="AF76" s="517"/>
      <c r="AH76" s="515"/>
      <c r="AJ76" s="515"/>
      <c r="AK76" s="517"/>
      <c r="AL76" s="515"/>
      <c r="AN76" s="515"/>
      <c r="AP76" s="515"/>
      <c r="AQ76" s="343"/>
      <c r="AR76" s="515"/>
      <c r="AS76" s="517"/>
      <c r="AT76" s="517"/>
      <c r="AV76" s="515"/>
      <c r="AW76" s="517"/>
      <c r="AX76" s="517"/>
      <c r="AY76" s="517"/>
      <c r="AZ76" s="334"/>
      <c r="BA76" s="343"/>
      <c r="BB76" s="334"/>
      <c r="BD76" s="334"/>
      <c r="BE76" s="517"/>
      <c r="BF76" s="334"/>
      <c r="BG76" s="340"/>
      <c r="BH76" s="362"/>
      <c r="BI76" s="343"/>
      <c r="BJ76" s="362"/>
      <c r="BL76" s="362"/>
      <c r="BM76" s="343"/>
      <c r="BN76" s="334"/>
    </row>
    <row r="77" spans="1:67" s="316" customFormat="1">
      <c r="B77" s="338" t="s">
        <v>1024</v>
      </c>
      <c r="C77" s="440" t="s">
        <v>2233</v>
      </c>
      <c r="D77" s="523" t="s">
        <v>2426</v>
      </c>
      <c r="E77" s="441"/>
      <c r="F77" s="548">
        <v>0</v>
      </c>
      <c r="G77" s="324">
        <f>IF(F77=1,1.2,0.9)</f>
        <v>0.9</v>
      </c>
      <c r="H77" s="322">
        <f t="shared" ref="H77:H81" si="18">F77</f>
        <v>0</v>
      </c>
      <c r="K77" s="343"/>
      <c r="M77" s="357"/>
      <c r="N77" s="516">
        <f t="shared" ref="N77:N78" si="19">$G77</f>
        <v>0.9</v>
      </c>
      <c r="O77" s="343"/>
      <c r="P77" s="517"/>
      <c r="R77" s="515"/>
      <c r="T77" s="515"/>
      <c r="V77" s="517"/>
      <c r="X77" s="515"/>
      <c r="Z77" s="515"/>
      <c r="AB77" s="515"/>
      <c r="AD77" s="517"/>
      <c r="AE77" s="517"/>
      <c r="AF77" s="517"/>
      <c r="AH77" s="515"/>
      <c r="AJ77" s="515"/>
      <c r="AK77" s="517"/>
      <c r="AL77" s="515"/>
      <c r="AN77" s="515"/>
      <c r="AP77" s="515"/>
      <c r="AQ77" s="343"/>
      <c r="AR77" s="515"/>
      <c r="AS77" s="517"/>
      <c r="AT77" s="517"/>
      <c r="AV77" s="515"/>
      <c r="AW77" s="517"/>
      <c r="AX77" s="517"/>
      <c r="AY77" s="517"/>
      <c r="AZ77" s="334"/>
      <c r="BA77" s="343"/>
      <c r="BB77" s="334"/>
      <c r="BD77" s="334"/>
      <c r="BE77" s="517"/>
      <c r="BF77" s="334"/>
      <c r="BG77" s="340">
        <f>$G78</f>
        <v>0.9</v>
      </c>
      <c r="BH77" s="362"/>
      <c r="BI77" s="343"/>
      <c r="BJ77" s="362"/>
      <c r="BL77" s="362"/>
      <c r="BM77" s="343"/>
      <c r="BN77" s="334"/>
    </row>
    <row r="78" spans="1:67" s="316" customFormat="1" ht="36">
      <c r="B78" s="338" t="s">
        <v>1024</v>
      </c>
      <c r="C78" s="440" t="s">
        <v>2233</v>
      </c>
      <c r="D78" s="523" t="s">
        <v>2425</v>
      </c>
      <c r="E78" s="441"/>
      <c r="F78" s="548">
        <v>0</v>
      </c>
      <c r="G78" s="324">
        <f>IF(F78=1,1.2,0.9)</f>
        <v>0.9</v>
      </c>
      <c r="H78" s="322">
        <f t="shared" si="18"/>
        <v>0</v>
      </c>
      <c r="K78" s="343"/>
      <c r="M78" s="357"/>
      <c r="N78" s="516">
        <f t="shared" si="19"/>
        <v>0.9</v>
      </c>
      <c r="O78" s="343"/>
      <c r="P78" s="517"/>
      <c r="R78" s="515"/>
      <c r="T78" s="515"/>
      <c r="V78" s="517"/>
      <c r="X78" s="515"/>
      <c r="Z78" s="515"/>
      <c r="AB78" s="515"/>
      <c r="AD78" s="517"/>
      <c r="AE78" s="517"/>
      <c r="AF78" s="517"/>
      <c r="AH78" s="515"/>
      <c r="AJ78" s="515"/>
      <c r="AK78" s="517"/>
      <c r="AL78" s="515"/>
      <c r="AN78" s="515"/>
      <c r="AP78" s="515"/>
      <c r="AQ78" s="343"/>
      <c r="AR78" s="515"/>
      <c r="AS78" s="517"/>
      <c r="AT78" s="517"/>
      <c r="AV78" s="515"/>
      <c r="AW78" s="517"/>
      <c r="AX78" s="517"/>
      <c r="AY78" s="517"/>
      <c r="AZ78" s="334"/>
      <c r="BA78" s="343"/>
      <c r="BB78" s="334"/>
      <c r="BD78" s="334"/>
      <c r="BE78" s="517"/>
      <c r="BF78" s="334"/>
      <c r="BG78" s="340"/>
      <c r="BH78" s="362"/>
      <c r="BI78" s="343"/>
      <c r="BJ78" s="362"/>
      <c r="BL78" s="362"/>
      <c r="BM78" s="343"/>
      <c r="BN78" s="334"/>
    </row>
    <row r="79" spans="1:67" ht="36">
      <c r="A79" s="524"/>
      <c r="B79" s="338" t="s">
        <v>1024</v>
      </c>
      <c r="D79" s="536" t="s">
        <v>2424</v>
      </c>
      <c r="E79" s="441" t="s">
        <v>1496</v>
      </c>
      <c r="F79" s="548">
        <v>0</v>
      </c>
      <c r="G79" s="324">
        <f>IF(F79=1,1.2,1)</f>
        <v>1</v>
      </c>
      <c r="H79" s="322">
        <f t="shared" si="18"/>
        <v>0</v>
      </c>
      <c r="J79" s="337" t="s">
        <v>1140</v>
      </c>
      <c r="K79" s="342">
        <f>1-((H79+H80+H81+H82+I25+I111+I118)/7)</f>
        <v>1</v>
      </c>
      <c r="L79" s="339">
        <f>IF(K79&lt;0.51,1.2,0.8)</f>
        <v>0.8</v>
      </c>
      <c r="M79" s="339">
        <f>IF(K79&lt;0.51,1,0)</f>
        <v>0</v>
      </c>
      <c r="N79" s="517"/>
      <c r="O79" s="343"/>
      <c r="P79" s="517"/>
      <c r="V79" s="517"/>
      <c r="AD79" s="517"/>
      <c r="AE79" s="517"/>
      <c r="AF79" s="517"/>
      <c r="AK79" s="517"/>
      <c r="AQ79" s="343"/>
      <c r="AS79" s="517"/>
      <c r="AT79" s="517"/>
      <c r="AW79" s="517"/>
      <c r="AX79" s="517"/>
      <c r="AY79" s="517"/>
      <c r="BA79" s="343"/>
      <c r="BE79" s="517"/>
      <c r="BG79" s="343"/>
      <c r="BH79" s="362"/>
      <c r="BI79" s="343"/>
      <c r="BJ79" s="362"/>
      <c r="BL79" s="362"/>
      <c r="BM79" s="343"/>
      <c r="BN79" s="334"/>
    </row>
    <row r="80" spans="1:67">
      <c r="A80" s="524"/>
      <c r="B80" s="338" t="s">
        <v>1024</v>
      </c>
      <c r="D80" s="536" t="s">
        <v>2423</v>
      </c>
      <c r="E80" s="441" t="s">
        <v>1497</v>
      </c>
      <c r="F80" s="548">
        <v>0</v>
      </c>
      <c r="G80" s="334">
        <f>IF(F80=1,1.2,1)</f>
        <v>1</v>
      </c>
      <c r="H80" s="322">
        <f t="shared" si="18"/>
        <v>0</v>
      </c>
      <c r="K80" s="340"/>
      <c r="AS80" s="514"/>
      <c r="AY80" s="514"/>
      <c r="BJ80" s="324">
        <f>L79</f>
        <v>0.8</v>
      </c>
      <c r="BN80" s="334"/>
    </row>
    <row r="81" spans="1:67">
      <c r="A81" s="524"/>
      <c r="B81" s="338" t="s">
        <v>1024</v>
      </c>
      <c r="D81" s="536" t="s">
        <v>2422</v>
      </c>
      <c r="E81" s="441" t="s">
        <v>1498</v>
      </c>
      <c r="F81" s="548">
        <v>0</v>
      </c>
      <c r="G81" s="324">
        <f>IF(F81=1,1.2,1)</f>
        <v>1</v>
      </c>
      <c r="H81" s="322">
        <f t="shared" si="18"/>
        <v>0</v>
      </c>
      <c r="J81" s="338" t="s">
        <v>1141</v>
      </c>
      <c r="K81" s="354">
        <f>1-(H73+H90+H89+H85+H84+H83+H71)/19</f>
        <v>0.42105263157894735</v>
      </c>
      <c r="L81" s="353">
        <f>IF(K81&lt;0.4,1.1,0.8)</f>
        <v>0.8</v>
      </c>
      <c r="M81" s="353"/>
      <c r="AS81" s="514"/>
      <c r="BN81" s="334"/>
    </row>
    <row r="82" spans="1:67" ht="36">
      <c r="A82" s="524"/>
      <c r="B82" s="338" t="s">
        <v>1024</v>
      </c>
      <c r="D82" s="536" t="s">
        <v>2421</v>
      </c>
      <c r="E82" s="441" t="s">
        <v>1499</v>
      </c>
      <c r="F82" s="548">
        <v>0</v>
      </c>
      <c r="G82" s="324">
        <f>IF(F82=1,1.2,1)</f>
        <v>1</v>
      </c>
      <c r="H82" s="322">
        <f>F82</f>
        <v>0</v>
      </c>
      <c r="BN82" s="334"/>
    </row>
    <row r="83" spans="1:67" ht="36">
      <c r="B83" s="338" t="s">
        <v>1024</v>
      </c>
      <c r="D83" s="535" t="s">
        <v>2420</v>
      </c>
      <c r="F83" s="548">
        <v>0</v>
      </c>
      <c r="G83" s="324">
        <f>IF(F83=1,1,0)</f>
        <v>0</v>
      </c>
      <c r="H83" s="322">
        <f>IF(F83=0,0,3)</f>
        <v>0</v>
      </c>
      <c r="J83" s="339" t="s">
        <v>1142</v>
      </c>
      <c r="K83" s="341">
        <f>1-((H88+H87+H72)/7)</f>
        <v>0</v>
      </c>
      <c r="L83" s="337">
        <f>IF(K83&lt;0.5,1.1,IF(K83=0,0.8,1))</f>
        <v>1.1000000000000001</v>
      </c>
      <c r="M83" s="337"/>
      <c r="Q83" s="513"/>
      <c r="U83" s="513"/>
      <c r="V83" s="403"/>
      <c r="W83" s="513"/>
      <c r="X83" s="403"/>
      <c r="Y83" s="513"/>
      <c r="Z83" s="403"/>
      <c r="AA83" s="513"/>
      <c r="AB83" s="403"/>
      <c r="AC83" s="513"/>
      <c r="AD83" s="403"/>
      <c r="AE83" s="513"/>
      <c r="AF83" s="403"/>
      <c r="AG83" s="513"/>
      <c r="AH83" s="403"/>
      <c r="AI83" s="513"/>
    </row>
    <row r="84" spans="1:67" ht="36">
      <c r="B84" s="338" t="s">
        <v>1024</v>
      </c>
      <c r="D84" s="535" t="s">
        <v>2628</v>
      </c>
      <c r="F84" s="315">
        <v>0</v>
      </c>
      <c r="G84" s="366">
        <f>IF(F84&lt;1.1,0.8,IF(F84&gt;2.1,1.2,1))</f>
        <v>0.8</v>
      </c>
      <c r="H84" s="322">
        <f>F84</f>
        <v>0</v>
      </c>
      <c r="Q84" s="340"/>
      <c r="U84" s="340"/>
      <c r="V84" s="516"/>
      <c r="W84" s="340"/>
      <c r="X84" s="516"/>
      <c r="Y84" s="340"/>
      <c r="Z84" s="516"/>
      <c r="AA84" s="340"/>
      <c r="AB84" s="516"/>
      <c r="AC84" s="340"/>
      <c r="AD84" s="516"/>
      <c r="AE84" s="340"/>
      <c r="AF84" s="516"/>
      <c r="AG84" s="340"/>
      <c r="AH84" s="516"/>
      <c r="AI84" s="340"/>
      <c r="BA84" s="516">
        <f>$G84</f>
        <v>0.8</v>
      </c>
    </row>
    <row r="85" spans="1:67" ht="36">
      <c r="B85" s="338" t="s">
        <v>1024</v>
      </c>
      <c r="D85" s="815" t="s">
        <v>2629</v>
      </c>
      <c r="F85" s="315">
        <v>3</v>
      </c>
      <c r="G85" s="366">
        <f>IF(F85&lt;1.1,0.8,IF(F85&gt;2.1,1.2,1))</f>
        <v>1.2</v>
      </c>
      <c r="H85" s="322">
        <f>F85</f>
        <v>3</v>
      </c>
      <c r="Q85" s="340"/>
      <c r="U85" s="340"/>
      <c r="V85" s="516"/>
      <c r="W85" s="340"/>
      <c r="X85" s="516"/>
      <c r="Y85" s="340"/>
      <c r="Z85" s="516"/>
      <c r="AA85" s="340"/>
      <c r="AB85" s="516"/>
      <c r="AC85" s="340"/>
      <c r="AD85" s="516"/>
      <c r="AE85" s="340"/>
      <c r="AF85" s="516"/>
      <c r="AG85" s="340">
        <f>$G85</f>
        <v>1.2</v>
      </c>
      <c r="AH85" s="516"/>
      <c r="AI85" s="340"/>
    </row>
    <row r="86" spans="1:67" ht="36">
      <c r="B86" s="338" t="s">
        <v>1024</v>
      </c>
      <c r="D86" s="815" t="s">
        <v>2630</v>
      </c>
      <c r="F86" s="315">
        <v>3</v>
      </c>
      <c r="G86" s="324">
        <f>IF(F86=3,1,0.5)</f>
        <v>1</v>
      </c>
      <c r="H86" s="325">
        <f>IF(F86=0,1,0)</f>
        <v>0</v>
      </c>
      <c r="Q86" s="340"/>
      <c r="U86" s="340"/>
      <c r="V86" s="516"/>
      <c r="W86" s="340"/>
      <c r="X86" s="516"/>
      <c r="Y86" s="340"/>
      <c r="Z86" s="516"/>
      <c r="AA86" s="340"/>
      <c r="AB86" s="516"/>
      <c r="AC86" s="340"/>
      <c r="AD86" s="516"/>
      <c r="AE86" s="340"/>
      <c r="AF86" s="516"/>
      <c r="AG86" s="340"/>
      <c r="AH86" s="516"/>
      <c r="AI86" s="340"/>
    </row>
    <row r="87" spans="1:67" ht="36">
      <c r="B87" s="338" t="s">
        <v>1024</v>
      </c>
      <c r="D87" s="815" t="s">
        <v>2631</v>
      </c>
      <c r="F87" s="315">
        <v>3</v>
      </c>
      <c r="G87" s="366">
        <f>IF(F87&lt;1.1,0.8,IF(F87&gt;2.1,1.2,1))</f>
        <v>1.2</v>
      </c>
      <c r="H87" s="322">
        <f>F87</f>
        <v>3</v>
      </c>
      <c r="I87" s="322">
        <f>IF(F87=3,1,0)</f>
        <v>1</v>
      </c>
      <c r="Q87" s="340"/>
      <c r="R87" s="516">
        <f>$G87</f>
        <v>1.2</v>
      </c>
      <c r="U87" s="340"/>
      <c r="V87" s="516"/>
      <c r="W87" s="340"/>
      <c r="X87" s="516"/>
      <c r="Y87" s="340"/>
      <c r="Z87" s="516"/>
      <c r="AA87" s="340"/>
      <c r="AB87" s="516"/>
      <c r="AC87" s="340"/>
      <c r="AD87" s="516"/>
      <c r="AE87" s="340"/>
      <c r="AF87" s="938">
        <f>$L$83</f>
        <v>1.1000000000000001</v>
      </c>
      <c r="AG87" s="938">
        <f>$L$83</f>
        <v>1.1000000000000001</v>
      </c>
      <c r="AH87" s="516"/>
      <c r="AI87" s="340"/>
      <c r="AK87" s="516"/>
      <c r="AP87" s="938">
        <f>$L$83</f>
        <v>1.1000000000000001</v>
      </c>
      <c r="AQ87" s="938">
        <f>$L$83</f>
        <v>1.1000000000000001</v>
      </c>
    </row>
    <row r="88" spans="1:67" ht="36">
      <c r="B88" s="338" t="s">
        <v>1024</v>
      </c>
      <c r="D88" s="815" t="s">
        <v>2632</v>
      </c>
      <c r="F88" s="315">
        <v>3</v>
      </c>
      <c r="G88" s="366">
        <f>IF(F88&lt;1.1,0.8,IF(F88&gt;2.1,1.2,1))</f>
        <v>1.2</v>
      </c>
      <c r="H88" s="322">
        <f>F88</f>
        <v>3</v>
      </c>
      <c r="Q88" s="340"/>
      <c r="U88" s="340"/>
      <c r="V88" s="516"/>
      <c r="W88" s="340"/>
      <c r="X88" s="516"/>
      <c r="Y88" s="340"/>
      <c r="Z88" s="516"/>
      <c r="AA88" s="340"/>
      <c r="AB88" s="516"/>
      <c r="AC88" s="340"/>
      <c r="AD88" s="516"/>
      <c r="AE88" s="340"/>
      <c r="AF88" s="516"/>
      <c r="AG88" s="516"/>
      <c r="AH88" s="516"/>
      <c r="AI88" s="340"/>
      <c r="AK88" s="516"/>
      <c r="AP88" s="938">
        <f>$L$81</f>
        <v>0.8</v>
      </c>
      <c r="AQ88" s="938">
        <f>$L$81</f>
        <v>0.8</v>
      </c>
      <c r="AR88" s="938">
        <f>$L$81</f>
        <v>0.8</v>
      </c>
    </row>
    <row r="89" spans="1:67" ht="36">
      <c r="B89" s="338" t="s">
        <v>1024</v>
      </c>
      <c r="D89" s="815" t="s">
        <v>2633</v>
      </c>
      <c r="F89" s="315">
        <v>3</v>
      </c>
      <c r="G89" s="366">
        <f>IF(F89&lt;1.1,0.8,IF(F89&gt;2.1,1.2,1))</f>
        <v>1.2</v>
      </c>
      <c r="H89" s="322">
        <f>F89</f>
        <v>3</v>
      </c>
      <c r="Q89" s="343"/>
      <c r="U89" s="343"/>
      <c r="V89" s="517"/>
      <c r="W89" s="343"/>
      <c r="X89" s="517"/>
      <c r="Y89" s="343"/>
      <c r="Z89" s="517"/>
      <c r="AA89" s="343"/>
      <c r="AB89" s="517"/>
      <c r="AC89" s="343"/>
      <c r="AD89" s="517"/>
      <c r="AE89" s="343"/>
      <c r="AF89" s="938">
        <f>L$81</f>
        <v>0.8</v>
      </c>
      <c r="AG89" s="516"/>
      <c r="AH89" s="517"/>
      <c r="AI89" s="343"/>
      <c r="AK89" s="516"/>
      <c r="AP89" s="516"/>
      <c r="AQ89" s="516"/>
    </row>
    <row r="90" spans="1:67" ht="54">
      <c r="B90" s="338" t="s">
        <v>1024</v>
      </c>
      <c r="D90" s="815" t="s">
        <v>2634</v>
      </c>
      <c r="F90" s="315">
        <v>3</v>
      </c>
      <c r="G90" s="366">
        <f>IF(F90&lt;1.1,0.8,IF(F90&gt;2.1,1.2,1))</f>
        <v>1.2</v>
      </c>
      <c r="H90" s="322">
        <f>F90</f>
        <v>3</v>
      </c>
      <c r="Q90" s="343"/>
      <c r="U90" s="343"/>
      <c r="V90" s="517"/>
      <c r="W90" s="343"/>
      <c r="X90" s="517"/>
      <c r="Y90" s="343"/>
      <c r="Z90" s="517"/>
      <c r="AA90" s="343"/>
      <c r="AB90" s="517"/>
      <c r="AC90" s="343"/>
      <c r="AD90" s="517"/>
      <c r="AE90" s="343"/>
      <c r="AF90" s="516"/>
      <c r="AG90" s="516"/>
      <c r="AH90" s="517"/>
      <c r="AI90" s="343"/>
      <c r="AK90" s="516"/>
      <c r="AP90" s="516"/>
      <c r="AQ90" s="516"/>
    </row>
    <row r="91" spans="1:67" s="323" customFormat="1">
      <c r="B91" s="338" t="s">
        <v>1024</v>
      </c>
      <c r="C91" s="440" t="s">
        <v>2235</v>
      </c>
      <c r="D91" s="535" t="s">
        <v>2419</v>
      </c>
      <c r="E91" s="441"/>
      <c r="F91" s="548">
        <v>0</v>
      </c>
      <c r="G91" s="324">
        <f>IF(F91=1,0.9,1.2)</f>
        <v>1.2</v>
      </c>
      <c r="H91" s="324">
        <f>IF(F91=1,0,1)</f>
        <v>1</v>
      </c>
      <c r="I91" s="322">
        <f>F91</f>
        <v>0</v>
      </c>
      <c r="J91" s="322"/>
      <c r="K91" s="322"/>
      <c r="N91" s="514"/>
      <c r="O91" s="322"/>
      <c r="P91" s="514"/>
      <c r="Q91" s="343"/>
      <c r="R91" s="517"/>
      <c r="T91" s="514"/>
      <c r="U91" s="343"/>
      <c r="V91" s="517"/>
      <c r="W91" s="343"/>
      <c r="X91" s="517"/>
      <c r="Y91" s="343"/>
      <c r="Z91" s="517"/>
      <c r="AA91" s="343"/>
      <c r="AB91" s="517"/>
      <c r="AC91" s="343"/>
      <c r="AD91" s="517"/>
      <c r="AE91" s="343"/>
      <c r="AF91" s="517"/>
      <c r="AG91" s="343"/>
      <c r="AH91" s="517"/>
      <c r="AI91" s="343"/>
      <c r="AJ91" s="514"/>
      <c r="AK91" s="322"/>
      <c r="AL91" s="514"/>
      <c r="AM91" s="322"/>
      <c r="AN91" s="514"/>
      <c r="AO91" s="322"/>
      <c r="AP91" s="514"/>
      <c r="AQ91" s="322"/>
      <c r="AR91" s="514"/>
      <c r="AS91" s="322">
        <f>$G$91*G21*I3</f>
        <v>0</v>
      </c>
      <c r="AT91" s="322">
        <f>$G$91*G21</f>
        <v>0</v>
      </c>
      <c r="AU91" s="322"/>
      <c r="AV91" s="514"/>
      <c r="AW91" s="322"/>
      <c r="AX91" s="514"/>
      <c r="AY91" s="322"/>
      <c r="AZ91" s="324"/>
      <c r="BA91" s="322"/>
      <c r="BB91" s="324"/>
      <c r="BC91" s="322"/>
      <c r="BD91" s="324"/>
      <c r="BE91" s="322"/>
      <c r="BF91" s="324"/>
      <c r="BG91" s="322"/>
      <c r="BH91" s="324"/>
      <c r="BI91" s="322"/>
      <c r="BJ91" s="324"/>
      <c r="BK91" s="322"/>
      <c r="BL91" s="324"/>
      <c r="BM91" s="322"/>
      <c r="BN91" s="324"/>
      <c r="BO91" s="322"/>
    </row>
    <row r="92" spans="1:67" s="323" customFormat="1">
      <c r="C92" s="440"/>
      <c r="D92" s="843"/>
      <c r="E92" s="441"/>
      <c r="F92" s="321"/>
      <c r="H92" s="322"/>
      <c r="I92" s="322"/>
      <c r="J92" s="322"/>
      <c r="K92" s="322"/>
      <c r="N92" s="514"/>
      <c r="O92" s="322"/>
      <c r="P92" s="514"/>
      <c r="Q92" s="343"/>
      <c r="R92" s="517"/>
      <c r="T92" s="514"/>
      <c r="U92" s="343"/>
      <c r="V92" s="517"/>
      <c r="W92" s="343"/>
      <c r="X92" s="517"/>
      <c r="Y92" s="343"/>
      <c r="Z92" s="517"/>
      <c r="AA92" s="343"/>
      <c r="AB92" s="517"/>
      <c r="AC92" s="343"/>
      <c r="AD92" s="517"/>
      <c r="AE92" s="343"/>
      <c r="AF92" s="517"/>
      <c r="AG92" s="343"/>
      <c r="AH92" s="517"/>
      <c r="AI92" s="343"/>
      <c r="AJ92" s="514"/>
      <c r="AK92" s="322"/>
      <c r="AL92" s="514"/>
      <c r="AM92" s="322"/>
      <c r="AN92" s="514"/>
      <c r="AO92" s="322"/>
      <c r="AP92" s="514"/>
      <c r="AQ92" s="322"/>
      <c r="AR92" s="514"/>
      <c r="AS92" s="322"/>
      <c r="AT92" s="514"/>
      <c r="AU92" s="322"/>
      <c r="AV92" s="514"/>
      <c r="AW92" s="322"/>
      <c r="AX92" s="514"/>
      <c r="AY92" s="322"/>
      <c r="AZ92" s="324"/>
      <c r="BA92" s="322"/>
      <c r="BB92" s="324"/>
      <c r="BC92" s="322"/>
      <c r="BD92" s="324"/>
      <c r="BE92" s="322"/>
      <c r="BF92" s="324"/>
      <c r="BG92" s="322"/>
      <c r="BH92" s="324"/>
      <c r="BI92" s="322"/>
      <c r="BJ92" s="324"/>
      <c r="BK92" s="322"/>
      <c r="BL92" s="324"/>
      <c r="BM92" s="322"/>
      <c r="BN92" s="324"/>
      <c r="BO92" s="322"/>
    </row>
    <row r="93" spans="1:67" s="344" customFormat="1" ht="36">
      <c r="B93" s="344" t="s">
        <v>1021</v>
      </c>
      <c r="C93" s="545"/>
      <c r="D93" s="537" t="s">
        <v>2433</v>
      </c>
      <c r="E93" s="441"/>
      <c r="F93" s="548">
        <v>0</v>
      </c>
      <c r="G93" s="344">
        <f>F93</f>
        <v>0</v>
      </c>
      <c r="J93" s="344" t="s">
        <v>1146</v>
      </c>
      <c r="K93" s="365">
        <f>1-(G93+G94+G95+G96+G97+G102+G103+G104+G136+G106)/10</f>
        <v>0.7</v>
      </c>
      <c r="M93" s="344" t="s">
        <v>1611</v>
      </c>
      <c r="N93" s="514"/>
      <c r="P93" s="514"/>
      <c r="Q93" s="546"/>
      <c r="R93" s="517"/>
      <c r="T93" s="514"/>
      <c r="U93" s="546"/>
      <c r="V93" s="517"/>
      <c r="W93" s="546"/>
      <c r="X93" s="517"/>
      <c r="Y93" s="546"/>
      <c r="Z93" s="517"/>
      <c r="AA93" s="546"/>
      <c r="AB93" s="517"/>
      <c r="AC93" s="546"/>
      <c r="AD93" s="517"/>
      <c r="AE93" s="546"/>
      <c r="AF93" s="517"/>
      <c r="AG93" s="546"/>
      <c r="AH93" s="517"/>
      <c r="AI93" s="546"/>
      <c r="AJ93" s="514"/>
      <c r="AL93" s="514"/>
      <c r="AN93" s="514"/>
      <c r="AP93" s="514"/>
      <c r="AR93" s="514"/>
      <c r="AT93" s="514"/>
      <c r="AV93" s="514"/>
      <c r="AX93" s="514"/>
      <c r="AZ93" s="324"/>
      <c r="BB93" s="324"/>
      <c r="BD93" s="324"/>
      <c r="BF93" s="324"/>
      <c r="BH93" s="324"/>
      <c r="BJ93" s="324"/>
      <c r="BL93" s="324"/>
      <c r="BM93" s="322"/>
      <c r="BN93" s="324"/>
      <c r="BO93" s="322"/>
    </row>
    <row r="94" spans="1:67">
      <c r="A94" s="524">
        <v>1</v>
      </c>
      <c r="B94" s="344" t="s">
        <v>1021</v>
      </c>
      <c r="C94" s="440" t="s">
        <v>2235</v>
      </c>
      <c r="D94" s="529" t="s">
        <v>2434</v>
      </c>
      <c r="E94" s="441" t="s">
        <v>1500</v>
      </c>
      <c r="F94" s="548">
        <v>0</v>
      </c>
      <c r="G94" s="344">
        <f t="shared" ref="G94:G99" si="20">F94</f>
        <v>0</v>
      </c>
      <c r="Q94" s="343"/>
      <c r="R94" s="517"/>
      <c r="U94" s="343"/>
      <c r="V94" s="517"/>
      <c r="W94" s="343"/>
      <c r="X94" s="517"/>
      <c r="Y94" s="343"/>
      <c r="Z94" s="517"/>
      <c r="AA94" s="343"/>
      <c r="AB94" s="517"/>
      <c r="AC94" s="343"/>
      <c r="AD94" s="517"/>
      <c r="AE94" s="343"/>
      <c r="AF94" s="517"/>
      <c r="AG94" s="343"/>
      <c r="AH94" s="517"/>
      <c r="AI94" s="343"/>
      <c r="AQ94" s="322">
        <f>$G94</f>
        <v>0</v>
      </c>
    </row>
    <row r="95" spans="1:67">
      <c r="A95" s="524">
        <v>1</v>
      </c>
      <c r="B95" s="344" t="s">
        <v>1021</v>
      </c>
      <c r="C95" s="440" t="s">
        <v>2235</v>
      </c>
      <c r="D95" s="529" t="s">
        <v>2435</v>
      </c>
      <c r="E95" s="441" t="s">
        <v>1501</v>
      </c>
      <c r="F95" s="548">
        <v>1</v>
      </c>
      <c r="G95" s="344">
        <f t="shared" si="20"/>
        <v>1</v>
      </c>
      <c r="AR95" s="514">
        <f>$G95</f>
        <v>1</v>
      </c>
    </row>
    <row r="96" spans="1:67" ht="36">
      <c r="A96" s="524">
        <v>1</v>
      </c>
      <c r="B96" s="344" t="s">
        <v>1021</v>
      </c>
      <c r="C96" s="440" t="s">
        <v>2235</v>
      </c>
      <c r="D96" s="529" t="s">
        <v>2436</v>
      </c>
      <c r="E96" s="441" t="s">
        <v>1502</v>
      </c>
      <c r="F96" s="548">
        <v>0</v>
      </c>
      <c r="G96" s="344">
        <f t="shared" si="20"/>
        <v>0</v>
      </c>
      <c r="H96" s="322">
        <f>IF(G96=1,0.5,1)</f>
        <v>1</v>
      </c>
      <c r="J96" s="325" t="s">
        <v>1172</v>
      </c>
      <c r="K96" s="325">
        <f>(G105+H68+G21+H86)</f>
        <v>0</v>
      </c>
      <c r="L96" s="325">
        <f>IF(K96&gt;2,1.2,1)</f>
        <v>1</v>
      </c>
      <c r="M96" s="325"/>
      <c r="AH96" s="514">
        <f>$H$96</f>
        <v>1</v>
      </c>
      <c r="AS96" s="344"/>
    </row>
    <row r="97" spans="1:68">
      <c r="A97" s="524">
        <v>1</v>
      </c>
      <c r="B97" s="344" t="s">
        <v>1021</v>
      </c>
      <c r="C97" s="440" t="s">
        <v>2235</v>
      </c>
      <c r="D97" s="529" t="s">
        <v>2437</v>
      </c>
      <c r="E97" s="441" t="s">
        <v>1503</v>
      </c>
      <c r="F97" s="548">
        <v>1</v>
      </c>
      <c r="G97" s="344">
        <f t="shared" si="20"/>
        <v>1</v>
      </c>
      <c r="H97" s="322">
        <f>IF(G97=1,1.1,0.8)</f>
        <v>1.1000000000000001</v>
      </c>
      <c r="AF97" s="516">
        <f>$H97</f>
        <v>1.1000000000000001</v>
      </c>
    </row>
    <row r="98" spans="1:68">
      <c r="A98" s="524">
        <v>1</v>
      </c>
      <c r="B98" s="344" t="s">
        <v>1021</v>
      </c>
      <c r="C98" s="440" t="s">
        <v>2236</v>
      </c>
      <c r="D98" s="529" t="s">
        <v>2438</v>
      </c>
      <c r="E98" s="441" t="s">
        <v>1504</v>
      </c>
      <c r="F98" s="548">
        <v>0</v>
      </c>
      <c r="G98" s="344">
        <f t="shared" si="20"/>
        <v>0</v>
      </c>
      <c r="H98" s="322">
        <f>IF(G98=1,1.1,0.8)</f>
        <v>0.8</v>
      </c>
      <c r="AF98" s="516"/>
      <c r="AK98" s="516"/>
    </row>
    <row r="99" spans="1:68">
      <c r="A99" s="524">
        <v>1</v>
      </c>
      <c r="B99" s="344" t="s">
        <v>1021</v>
      </c>
      <c r="C99" s="440" t="s">
        <v>2237</v>
      </c>
      <c r="D99" s="529" t="s">
        <v>2439</v>
      </c>
      <c r="F99" s="548">
        <v>0</v>
      </c>
      <c r="G99" s="344">
        <f t="shared" si="20"/>
        <v>0</v>
      </c>
      <c r="H99" s="322">
        <f>IF(G99=1,1.2,0.8)</f>
        <v>0.8</v>
      </c>
      <c r="AH99" s="514">
        <f>$H$99</f>
        <v>0.8</v>
      </c>
    </row>
    <row r="100" spans="1:68">
      <c r="A100" s="524">
        <v>1</v>
      </c>
      <c r="B100" s="344" t="s">
        <v>1021</v>
      </c>
      <c r="C100" s="440" t="s">
        <v>2235</v>
      </c>
      <c r="D100" s="529" t="s">
        <v>2440</v>
      </c>
      <c r="F100" s="548">
        <v>0</v>
      </c>
      <c r="G100" s="324">
        <f>IF(F100=1,1.2,1)</f>
        <v>1</v>
      </c>
      <c r="H100" s="324">
        <f>IF(F100=1,0,1)</f>
        <v>1</v>
      </c>
      <c r="I100" s="322">
        <f>IF(F100=1,1,0)</f>
        <v>0</v>
      </c>
      <c r="BM100" s="340">
        <f>$I100</f>
        <v>0</v>
      </c>
    </row>
    <row r="101" spans="1:68">
      <c r="A101" s="524">
        <v>1</v>
      </c>
      <c r="B101" s="344" t="s">
        <v>1021</v>
      </c>
      <c r="C101" s="440" t="s">
        <v>2236</v>
      </c>
      <c r="D101" s="529" t="s">
        <v>2441</v>
      </c>
      <c r="E101" s="441" t="s">
        <v>1505</v>
      </c>
      <c r="F101" s="548">
        <v>0</v>
      </c>
      <c r="G101" s="324">
        <f>IF(F101=1,1,0)</f>
        <v>0</v>
      </c>
    </row>
    <row r="102" spans="1:68">
      <c r="A102" s="524">
        <v>1</v>
      </c>
      <c r="B102" s="344" t="s">
        <v>1021</v>
      </c>
      <c r="C102" s="440" t="s">
        <v>2235</v>
      </c>
      <c r="D102" s="529" t="s">
        <v>2472</v>
      </c>
      <c r="F102" s="548">
        <v>0</v>
      </c>
      <c r="G102" s="344">
        <f t="shared" ref="G102:G108" si="21">F102</f>
        <v>0</v>
      </c>
      <c r="AI102" s="322">
        <f>$G102</f>
        <v>0</v>
      </c>
    </row>
    <row r="103" spans="1:68" ht="36">
      <c r="A103" s="524">
        <v>1</v>
      </c>
      <c r="B103" s="344" t="s">
        <v>1021</v>
      </c>
      <c r="C103" s="440" t="s">
        <v>2235</v>
      </c>
      <c r="D103" s="529" t="s">
        <v>2471</v>
      </c>
      <c r="F103" s="548">
        <v>0</v>
      </c>
      <c r="G103" s="344">
        <f t="shared" si="21"/>
        <v>0</v>
      </c>
    </row>
    <row r="104" spans="1:68">
      <c r="A104" s="524">
        <v>1</v>
      </c>
      <c r="B104" s="344" t="s">
        <v>1021</v>
      </c>
      <c r="C104" s="440" t="s">
        <v>2235</v>
      </c>
      <c r="D104" s="529" t="s">
        <v>2470</v>
      </c>
      <c r="F104" s="548">
        <v>0</v>
      </c>
      <c r="G104" s="344">
        <f t="shared" si="21"/>
        <v>0</v>
      </c>
      <c r="AJ104" s="514">
        <f>$G104</f>
        <v>0</v>
      </c>
    </row>
    <row r="105" spans="1:68">
      <c r="A105" s="524">
        <v>1</v>
      </c>
      <c r="B105" s="344" t="s">
        <v>1021</v>
      </c>
      <c r="C105" s="440" t="s">
        <v>2235</v>
      </c>
      <c r="D105" s="529" t="s">
        <v>2469</v>
      </c>
      <c r="E105" s="441" t="s">
        <v>1506</v>
      </c>
      <c r="F105" s="548">
        <v>0</v>
      </c>
      <c r="G105" s="344">
        <f t="shared" si="21"/>
        <v>0</v>
      </c>
    </row>
    <row r="106" spans="1:68" s="323" customFormat="1">
      <c r="A106" s="524">
        <v>1</v>
      </c>
      <c r="B106" s="344" t="s">
        <v>1021</v>
      </c>
      <c r="C106" s="440" t="s">
        <v>2235</v>
      </c>
      <c r="D106" s="529" t="s">
        <v>2468</v>
      </c>
      <c r="E106" s="441"/>
      <c r="F106" s="548">
        <v>0</v>
      </c>
      <c r="G106" s="344">
        <f t="shared" si="21"/>
        <v>0</v>
      </c>
      <c r="H106" s="322"/>
      <c r="I106" s="322"/>
      <c r="J106" s="322"/>
      <c r="K106" s="322"/>
      <c r="N106" s="514"/>
      <c r="O106" s="322"/>
      <c r="P106" s="514"/>
      <c r="Q106" s="322"/>
      <c r="R106" s="514"/>
      <c r="S106" s="322"/>
      <c r="T106" s="514"/>
      <c r="U106" s="322"/>
      <c r="V106" s="514"/>
      <c r="W106" s="322"/>
      <c r="X106" s="514"/>
      <c r="Y106" s="322"/>
      <c r="Z106" s="514"/>
      <c r="AA106" s="322"/>
      <c r="AB106" s="514"/>
      <c r="AC106" s="322"/>
      <c r="AD106" s="514"/>
      <c r="AE106" s="322"/>
      <c r="AF106" s="514"/>
      <c r="AG106" s="322"/>
      <c r="AH106" s="514"/>
      <c r="AI106" s="322"/>
      <c r="AJ106" s="514"/>
      <c r="AK106" s="322"/>
      <c r="AL106" s="514"/>
      <c r="AM106" s="322"/>
      <c r="AN106" s="514"/>
      <c r="AO106" s="322"/>
      <c r="AP106" s="514"/>
      <c r="AQ106" s="322"/>
      <c r="AR106" s="514"/>
      <c r="AS106" s="322"/>
      <c r="AT106" s="514"/>
      <c r="AU106" s="322"/>
      <c r="AV106" s="514"/>
      <c r="AW106" s="322"/>
      <c r="AX106" s="514"/>
      <c r="AY106" s="322"/>
      <c r="AZ106" s="324"/>
      <c r="BA106" s="322"/>
      <c r="BB106" s="324"/>
      <c r="BC106" s="322"/>
      <c r="BD106" s="324"/>
      <c r="BE106" s="322"/>
      <c r="BF106" s="324"/>
      <c r="BG106" s="322"/>
      <c r="BH106" s="324"/>
      <c r="BI106" s="322"/>
      <c r="BJ106" s="324"/>
      <c r="BK106" s="322"/>
      <c r="BL106" s="324"/>
      <c r="BM106" s="322"/>
      <c r="BN106" s="324"/>
      <c r="BO106" s="322">
        <f>$G106</f>
        <v>0</v>
      </c>
    </row>
    <row r="107" spans="1:68" s="323" customFormat="1">
      <c r="B107" s="345" t="s">
        <v>1022</v>
      </c>
      <c r="C107" s="440" t="s">
        <v>2238</v>
      </c>
      <c r="D107" s="538" t="s">
        <v>2467</v>
      </c>
      <c r="E107" s="441" t="s">
        <v>1507</v>
      </c>
      <c r="F107" s="548">
        <v>0</v>
      </c>
      <c r="G107" s="344">
        <f t="shared" si="21"/>
        <v>0</v>
      </c>
      <c r="H107" s="322"/>
      <c r="I107" s="322"/>
      <c r="J107" s="322"/>
      <c r="K107" s="322"/>
      <c r="N107" s="514"/>
      <c r="O107" s="322"/>
      <c r="P107" s="514"/>
      <c r="Q107" s="322"/>
      <c r="R107" s="514"/>
      <c r="S107" s="322"/>
      <c r="T107" s="514"/>
      <c r="U107" s="322"/>
      <c r="V107" s="514"/>
      <c r="W107" s="322"/>
      <c r="X107" s="514"/>
      <c r="Y107" s="322"/>
      <c r="Z107" s="514"/>
      <c r="AA107" s="322"/>
      <c r="AB107" s="514"/>
      <c r="AC107" s="322"/>
      <c r="AD107" s="514"/>
      <c r="AE107" s="322"/>
      <c r="AF107" s="514"/>
      <c r="AG107" s="322"/>
      <c r="AH107" s="514"/>
      <c r="AI107" s="322"/>
      <c r="AJ107" s="514"/>
      <c r="AK107" s="322"/>
      <c r="AL107" s="514"/>
      <c r="AM107" s="322"/>
      <c r="AN107" s="514"/>
      <c r="AO107" s="322"/>
      <c r="AP107" s="514"/>
      <c r="AQ107" s="322"/>
      <c r="AR107" s="514"/>
      <c r="AS107" s="322"/>
      <c r="AT107" s="514"/>
      <c r="AU107" s="322"/>
      <c r="AV107" s="514"/>
      <c r="AW107" s="322"/>
      <c r="AX107" s="514"/>
      <c r="AY107" s="322"/>
      <c r="AZ107" s="324"/>
      <c r="BA107" s="322"/>
      <c r="BB107" s="324"/>
      <c r="BC107" s="322"/>
      <c r="BD107" s="324"/>
      <c r="BE107" s="322"/>
      <c r="BF107" s="324"/>
      <c r="BG107" s="322"/>
      <c r="BH107" s="324"/>
      <c r="BI107" s="322"/>
      <c r="BJ107" s="324"/>
      <c r="BK107" s="322"/>
      <c r="BL107" s="324"/>
      <c r="BM107" s="322"/>
      <c r="BN107" s="324"/>
      <c r="BO107" s="322"/>
    </row>
    <row r="108" spans="1:68" s="345" customFormat="1">
      <c r="B108" s="345" t="s">
        <v>1022</v>
      </c>
      <c r="C108" s="440" t="s">
        <v>2238</v>
      </c>
      <c r="D108" s="538" t="s">
        <v>2466</v>
      </c>
      <c r="E108" s="441" t="s">
        <v>1507</v>
      </c>
      <c r="F108" s="548">
        <v>0</v>
      </c>
      <c r="G108" s="344">
        <f t="shared" si="21"/>
        <v>0</v>
      </c>
      <c r="H108" s="322">
        <f>IF(F108=1,1.2,0.9)</f>
        <v>0.9</v>
      </c>
      <c r="I108" s="322">
        <f>F108</f>
        <v>0</v>
      </c>
      <c r="J108" s="345" t="s">
        <v>2044</v>
      </c>
      <c r="K108" s="518">
        <f>G107+G108+G115</f>
        <v>0</v>
      </c>
      <c r="M108" s="345" t="s">
        <v>87</v>
      </c>
      <c r="N108" s="659"/>
      <c r="O108" s="659"/>
      <c r="P108" s="659"/>
      <c r="Q108" s="659"/>
      <c r="R108" s="659"/>
      <c r="S108" s="352"/>
      <c r="T108" s="352"/>
      <c r="U108" s="352"/>
      <c r="V108" s="352"/>
      <c r="W108" s="352"/>
      <c r="X108" s="352"/>
      <c r="Y108" s="352"/>
      <c r="Z108" s="352"/>
      <c r="AA108" s="352"/>
      <c r="AB108" s="352"/>
      <c r="AC108" s="352"/>
      <c r="AF108" s="352"/>
      <c r="AH108" s="352"/>
      <c r="AI108" s="352"/>
      <c r="AJ108" s="352"/>
      <c r="AK108" s="352"/>
      <c r="AL108" s="352"/>
      <c r="AQ108" s="352"/>
      <c r="AV108" s="352"/>
      <c r="AZ108" s="352"/>
    </row>
    <row r="109" spans="1:68">
      <c r="A109" s="514"/>
      <c r="B109" s="539" t="s">
        <v>1022</v>
      </c>
      <c r="C109" s="440" t="s">
        <v>2239</v>
      </c>
      <c r="D109" s="540" t="s">
        <v>2465</v>
      </c>
      <c r="E109" s="441" t="s">
        <v>1508</v>
      </c>
      <c r="F109" s="548">
        <v>0</v>
      </c>
      <c r="G109" s="325">
        <f>IF($F$108=1,F109,0)</f>
        <v>0</v>
      </c>
      <c r="H109" s="322">
        <f>IF(G109=1,1.2,0.9)</f>
        <v>0.9</v>
      </c>
      <c r="I109" s="322">
        <f t="shared" ref="I109:I113" si="22">F109</f>
        <v>0</v>
      </c>
      <c r="J109" s="345" t="s">
        <v>1147</v>
      </c>
      <c r="K109" s="345">
        <f>G114</f>
        <v>0</v>
      </c>
      <c r="M109" s="345"/>
      <c r="N109" s="658"/>
      <c r="O109" s="658"/>
      <c r="P109" s="658"/>
      <c r="Q109" s="658"/>
      <c r="R109" s="658"/>
      <c r="S109" s="345">
        <f>$H$124</f>
        <v>0.9</v>
      </c>
      <c r="T109" s="345">
        <f>$H$128</f>
        <v>0.9</v>
      </c>
      <c r="U109" s="345">
        <f>$H$128</f>
        <v>0.9</v>
      </c>
      <c r="V109" s="345"/>
      <c r="W109" s="345"/>
      <c r="X109" s="345">
        <f>$H$121</f>
        <v>0.9</v>
      </c>
      <c r="Y109" s="345"/>
      <c r="Z109" s="345"/>
      <c r="AA109" s="345"/>
      <c r="AB109" s="345"/>
      <c r="AC109" s="345"/>
      <c r="AD109" s="345"/>
      <c r="AE109" s="345"/>
      <c r="AF109" s="345">
        <f>$H$122</f>
        <v>0.9</v>
      </c>
      <c r="AG109" s="345"/>
      <c r="AH109" s="345">
        <f>$H$125</f>
        <v>0.9</v>
      </c>
      <c r="AI109" s="345">
        <f>$H$123</f>
        <v>0.9</v>
      </c>
      <c r="AJ109" s="345">
        <f>$H$131</f>
        <v>0.9</v>
      </c>
      <c r="AK109" s="345">
        <f>$H$122</f>
        <v>0.9</v>
      </c>
      <c r="AL109" s="345"/>
      <c r="AM109" s="345">
        <f>H131</f>
        <v>0.9</v>
      </c>
      <c r="AN109" s="345"/>
      <c r="AO109" s="345"/>
      <c r="AP109" s="345"/>
      <c r="AQ109" s="345">
        <f>$H$126</f>
        <v>0.9</v>
      </c>
      <c r="AR109" s="345">
        <f>$H$127</f>
        <v>0.9</v>
      </c>
      <c r="AS109" s="345"/>
      <c r="AT109" s="345"/>
      <c r="AU109" s="345"/>
      <c r="AV109" s="345">
        <f>$H$130</f>
        <v>0.9</v>
      </c>
      <c r="AW109" s="345">
        <f>$H$129</f>
        <v>0.9</v>
      </c>
      <c r="AX109" s="345"/>
      <c r="AY109" s="345">
        <f>$H$129</f>
        <v>0.9</v>
      </c>
      <c r="AZ109" s="345">
        <f>MAX(H109,H116,H117,H112)</f>
        <v>0.9</v>
      </c>
      <c r="BA109" s="345">
        <f>MAX(H110,H120)</f>
        <v>0.9</v>
      </c>
      <c r="BB109" s="345">
        <f>MAX(H110,H120)</f>
        <v>0.9</v>
      </c>
      <c r="BC109" s="345"/>
      <c r="BD109" s="345"/>
      <c r="BE109" s="345">
        <f>MAX(H112,H117)</f>
        <v>0.9</v>
      </c>
      <c r="BF109" s="345">
        <f>MAX(H112,H117)</f>
        <v>0.9</v>
      </c>
      <c r="BG109" s="345"/>
      <c r="BH109" s="345"/>
      <c r="BI109" s="345"/>
      <c r="BJ109" s="345">
        <f>MAX(H118,H111)</f>
        <v>0.9</v>
      </c>
      <c r="BK109" s="345">
        <f>MAX(H113,H119)</f>
        <v>0.9</v>
      </c>
      <c r="BL109" s="345">
        <f>MAX(H120,H110)</f>
        <v>0.9</v>
      </c>
      <c r="BM109" s="345">
        <f>H111</f>
        <v>0.9</v>
      </c>
      <c r="BN109" s="345"/>
      <c r="BO109" s="345"/>
      <c r="BP109" s="345"/>
    </row>
    <row r="110" spans="1:68">
      <c r="A110" s="514"/>
      <c r="B110" s="539" t="s">
        <v>1022</v>
      </c>
      <c r="C110" s="440" t="s">
        <v>2240</v>
      </c>
      <c r="D110" s="540" t="s">
        <v>2464</v>
      </c>
      <c r="E110" s="441" t="s">
        <v>1540</v>
      </c>
      <c r="F110" s="548">
        <v>0</v>
      </c>
      <c r="G110" s="325">
        <f>IF($F$108=1,F110,0)</f>
        <v>0</v>
      </c>
      <c r="H110" s="322">
        <f t="shared" ref="H110:H113" si="23">IF(G110=1,1.2,0.9)</f>
        <v>0.9</v>
      </c>
      <c r="I110" s="322">
        <f t="shared" si="22"/>
        <v>0</v>
      </c>
      <c r="J110" s="345" t="s">
        <v>2045</v>
      </c>
      <c r="K110" s="345">
        <f>IF(K108&gt;1.9,1.2,0.9)</f>
        <v>0.9</v>
      </c>
      <c r="N110" s="322"/>
      <c r="P110" s="322"/>
      <c r="R110" s="322"/>
      <c r="T110" s="322"/>
      <c r="V110" s="322"/>
      <c r="X110" s="322"/>
      <c r="Z110" s="322"/>
      <c r="AB110" s="322"/>
      <c r="AD110" s="322"/>
      <c r="AF110" s="322"/>
      <c r="AH110" s="322"/>
      <c r="AJ110" s="322"/>
      <c r="AL110" s="322"/>
      <c r="AN110" s="322"/>
      <c r="AP110" s="322"/>
      <c r="AR110" s="322"/>
      <c r="AT110" s="322"/>
      <c r="AV110" s="322"/>
      <c r="AX110" s="322"/>
      <c r="AZ110" s="322">
        <f>$K$110</f>
        <v>0.9</v>
      </c>
      <c r="BA110" s="322">
        <f t="shared" ref="BA110:BB110" si="24">$K$110</f>
        <v>0.9</v>
      </c>
      <c r="BB110" s="322">
        <f t="shared" si="24"/>
        <v>0.9</v>
      </c>
      <c r="BD110" s="322">
        <f t="shared" ref="BD110:BF110" si="25">$K$110</f>
        <v>0.9</v>
      </c>
      <c r="BE110" s="322">
        <f t="shared" si="25"/>
        <v>0.9</v>
      </c>
      <c r="BF110" s="322">
        <f t="shared" si="25"/>
        <v>0.9</v>
      </c>
      <c r="BH110" s="322">
        <f>$K$110</f>
        <v>0.9</v>
      </c>
      <c r="BJ110" s="322"/>
      <c r="BK110" s="322">
        <f>$K$110</f>
        <v>0.9</v>
      </c>
      <c r="BL110" s="322">
        <f t="shared" ref="BL110:BM110" si="26">$K$110</f>
        <v>0.9</v>
      </c>
      <c r="BM110" s="322">
        <f t="shared" si="26"/>
        <v>0.9</v>
      </c>
      <c r="BN110" s="322"/>
    </row>
    <row r="111" spans="1:68">
      <c r="A111" s="514"/>
      <c r="B111" s="539" t="s">
        <v>1022</v>
      </c>
      <c r="C111" s="440" t="s">
        <v>2240</v>
      </c>
      <c r="D111" s="540" t="s">
        <v>2463</v>
      </c>
      <c r="E111" s="441" t="s">
        <v>1541</v>
      </c>
      <c r="F111" s="548">
        <v>0</v>
      </c>
      <c r="G111" s="325">
        <f t="shared" ref="G111:G113" si="27">IF($F$108=1,F111,0)</f>
        <v>0</v>
      </c>
      <c r="H111" s="322">
        <f t="shared" si="23"/>
        <v>0.9</v>
      </c>
      <c r="I111" s="322">
        <f t="shared" si="22"/>
        <v>0</v>
      </c>
      <c r="N111" s="659"/>
      <c r="O111" s="659"/>
      <c r="P111" s="659"/>
      <c r="Q111" s="659"/>
      <c r="R111" s="659"/>
      <c r="S111" s="659"/>
      <c r="T111" s="659"/>
      <c r="U111" s="659"/>
      <c r="V111" s="659"/>
      <c r="W111" s="659"/>
      <c r="X111" s="659"/>
      <c r="Y111" s="659"/>
      <c r="Z111" s="659"/>
      <c r="AA111" s="659"/>
      <c r="AB111" s="659"/>
      <c r="AC111" s="659"/>
      <c r="AD111" s="658"/>
      <c r="AE111" s="658"/>
      <c r="AF111" s="658"/>
      <c r="AG111" s="658"/>
      <c r="AH111" s="658"/>
      <c r="AI111" s="658"/>
      <c r="AJ111" s="658"/>
      <c r="AK111" s="658"/>
      <c r="AL111" s="658"/>
      <c r="AM111" s="658"/>
      <c r="AN111" s="658"/>
      <c r="AO111" s="658"/>
      <c r="AP111" s="658"/>
      <c r="AQ111" s="658"/>
      <c r="AR111" s="658"/>
      <c r="AS111" s="658"/>
      <c r="AT111" s="658"/>
      <c r="AU111" s="658"/>
      <c r="AV111" s="658"/>
      <c r="AW111" s="658"/>
      <c r="AX111" s="658"/>
      <c r="AY111" s="658"/>
      <c r="AZ111" s="658"/>
      <c r="BA111" s="658"/>
      <c r="BB111" s="658"/>
      <c r="BC111" s="658"/>
      <c r="BD111" s="658"/>
      <c r="BE111" s="658"/>
      <c r="BF111" s="658"/>
      <c r="BG111" s="658"/>
      <c r="BH111" s="658"/>
      <c r="BI111" s="658"/>
      <c r="BJ111" s="658"/>
      <c r="BK111" s="658"/>
      <c r="BL111" s="658"/>
      <c r="BM111" s="658"/>
      <c r="BN111" s="658"/>
      <c r="BO111" s="658"/>
      <c r="BP111" s="658"/>
    </row>
    <row r="112" spans="1:68">
      <c r="A112" s="514"/>
      <c r="B112" s="539" t="s">
        <v>1022</v>
      </c>
      <c r="C112" s="440" t="s">
        <v>2240</v>
      </c>
      <c r="D112" s="540" t="s">
        <v>2462</v>
      </c>
      <c r="E112" s="441" t="s">
        <v>1509</v>
      </c>
      <c r="F112" s="548">
        <v>0</v>
      </c>
      <c r="G112" s="325">
        <f t="shared" si="27"/>
        <v>0</v>
      </c>
      <c r="H112" s="322">
        <f t="shared" si="23"/>
        <v>0.9</v>
      </c>
      <c r="I112" s="322">
        <f t="shared" si="22"/>
        <v>0</v>
      </c>
      <c r="N112" s="658"/>
      <c r="O112" s="658"/>
      <c r="P112" s="658"/>
      <c r="Q112" s="658"/>
      <c r="R112" s="658"/>
      <c r="S112" s="658"/>
      <c r="T112" s="658"/>
      <c r="U112" s="658"/>
      <c r="V112" s="658"/>
      <c r="W112" s="658"/>
      <c r="X112" s="658"/>
      <c r="Y112" s="658"/>
      <c r="Z112" s="658"/>
      <c r="AA112" s="658"/>
      <c r="AB112" s="658"/>
      <c r="AC112" s="658"/>
      <c r="AD112" s="658"/>
      <c r="AE112" s="658"/>
      <c r="AF112" s="658"/>
      <c r="AG112" s="658"/>
      <c r="AH112" s="658"/>
      <c r="AI112" s="658"/>
      <c r="AJ112" s="658"/>
      <c r="AK112" s="658"/>
      <c r="AL112" s="658"/>
      <c r="AM112" s="658"/>
      <c r="AN112" s="658"/>
      <c r="AO112" s="658"/>
      <c r="AP112" s="658"/>
      <c r="AQ112" s="658"/>
      <c r="AR112" s="658"/>
      <c r="AS112" s="658"/>
      <c r="AT112" s="658"/>
      <c r="AU112" s="658"/>
      <c r="AV112" s="658"/>
      <c r="AW112" s="658"/>
      <c r="AX112" s="658"/>
      <c r="AY112" s="658"/>
      <c r="AZ112" s="658"/>
      <c r="BA112" s="658"/>
      <c r="BB112" s="658"/>
      <c r="BC112" s="658"/>
      <c r="BD112" s="658"/>
      <c r="BE112" s="658"/>
      <c r="BF112" s="658"/>
      <c r="BG112" s="658"/>
      <c r="BH112" s="658"/>
      <c r="BI112" s="658"/>
      <c r="BJ112" s="658"/>
      <c r="BK112" s="658"/>
      <c r="BL112" s="658"/>
      <c r="BM112" s="658"/>
      <c r="BN112" s="658"/>
      <c r="BO112" s="658"/>
      <c r="BP112" s="658"/>
    </row>
    <row r="113" spans="1:68">
      <c r="B113" s="539" t="s">
        <v>1022</v>
      </c>
      <c r="C113" s="440" t="s">
        <v>2240</v>
      </c>
      <c r="D113" s="540" t="s">
        <v>2461</v>
      </c>
      <c r="F113" s="548">
        <v>0</v>
      </c>
      <c r="G113" s="325">
        <f t="shared" si="27"/>
        <v>0</v>
      </c>
      <c r="H113" s="322">
        <f t="shared" si="23"/>
        <v>0.9</v>
      </c>
      <c r="I113" s="322">
        <f t="shared" si="22"/>
        <v>0</v>
      </c>
      <c r="N113" s="658"/>
      <c r="O113" s="658"/>
      <c r="P113" s="658"/>
      <c r="Q113" s="658"/>
      <c r="R113" s="658"/>
      <c r="S113" s="658"/>
      <c r="T113" s="658"/>
      <c r="U113" s="658"/>
      <c r="V113" s="658"/>
      <c r="W113" s="658"/>
      <c r="X113" s="658"/>
      <c r="Y113" s="658"/>
      <c r="Z113" s="658"/>
      <c r="AA113" s="658"/>
      <c r="AB113" s="658"/>
      <c r="AC113" s="658"/>
      <c r="AD113" s="658"/>
      <c r="AE113" s="658"/>
      <c r="AF113" s="658"/>
      <c r="AG113" s="658"/>
      <c r="AH113" s="658"/>
      <c r="AI113" s="658"/>
      <c r="AJ113" s="658"/>
      <c r="AK113" s="658"/>
      <c r="AL113" s="658"/>
      <c r="AM113" s="658"/>
      <c r="AN113" s="658"/>
      <c r="AO113" s="658"/>
      <c r="AP113" s="658"/>
      <c r="AQ113" s="658"/>
      <c r="AR113" s="658"/>
      <c r="AS113" s="658"/>
      <c r="AT113" s="658"/>
      <c r="AU113" s="658"/>
      <c r="AV113" s="658"/>
      <c r="AW113" s="658"/>
      <c r="AX113" s="658"/>
      <c r="AY113" s="658"/>
      <c r="AZ113" s="658"/>
      <c r="BA113" s="658"/>
      <c r="BB113" s="658"/>
      <c r="BC113" s="658"/>
      <c r="BD113" s="658"/>
      <c r="BE113" s="658"/>
      <c r="BF113" s="658"/>
      <c r="BG113" s="658"/>
      <c r="BH113" s="658"/>
      <c r="BI113" s="658"/>
      <c r="BJ113" s="658"/>
      <c r="BK113" s="658"/>
      <c r="BL113" s="658"/>
      <c r="BM113" s="658"/>
      <c r="BN113" s="658"/>
      <c r="BO113" s="658"/>
      <c r="BP113" s="658"/>
    </row>
    <row r="114" spans="1:68">
      <c r="B114" s="539" t="s">
        <v>1022</v>
      </c>
      <c r="D114" s="538" t="s">
        <v>2460</v>
      </c>
      <c r="E114" s="441" t="s">
        <v>1539</v>
      </c>
      <c r="F114" s="317">
        <v>0</v>
      </c>
      <c r="G114" s="322">
        <f>IF(F114=2,2,F114)</f>
        <v>0</v>
      </c>
      <c r="H114" s="322">
        <f>IF(G114=0,0.8,1)</f>
        <v>0.8</v>
      </c>
      <c r="N114" s="658"/>
      <c r="O114" s="658"/>
      <c r="P114" s="658"/>
      <c r="Q114" s="658"/>
      <c r="R114" s="658"/>
      <c r="S114" s="658"/>
      <c r="T114" s="658"/>
      <c r="U114" s="658"/>
      <c r="V114" s="658"/>
      <c r="W114" s="658"/>
      <c r="X114" s="658"/>
      <c r="Y114" s="658"/>
      <c r="Z114" s="658"/>
      <c r="AA114" s="658"/>
      <c r="AB114" s="658"/>
      <c r="AC114" s="658"/>
      <c r="AD114" s="658"/>
      <c r="AE114" s="658"/>
      <c r="AF114" s="658"/>
      <c r="AG114" s="658"/>
      <c r="AH114" s="658"/>
      <c r="AI114" s="658"/>
      <c r="AJ114" s="658"/>
      <c r="AK114" s="658"/>
      <c r="AL114" s="658"/>
      <c r="AM114" s="658"/>
      <c r="AN114" s="658"/>
      <c r="AO114" s="658"/>
      <c r="AP114" s="658"/>
      <c r="AQ114" s="658"/>
      <c r="AR114" s="658"/>
      <c r="AS114" s="658"/>
      <c r="AT114" s="658"/>
      <c r="AU114" s="658"/>
      <c r="AV114" s="658"/>
      <c r="AW114" s="658"/>
      <c r="AX114" s="658"/>
      <c r="AY114" s="658"/>
      <c r="AZ114" s="658"/>
      <c r="BA114" s="658"/>
      <c r="BB114" s="658"/>
      <c r="BC114" s="658"/>
      <c r="BD114" s="658"/>
      <c r="BE114" s="658"/>
      <c r="BF114" s="658"/>
      <c r="BG114" s="658"/>
      <c r="BH114" s="658"/>
      <c r="BI114" s="658"/>
      <c r="BJ114" s="658"/>
      <c r="BK114" s="658"/>
      <c r="BL114" s="658"/>
      <c r="BM114" s="658"/>
      <c r="BN114" s="658"/>
      <c r="BO114" s="658"/>
      <c r="BP114" s="658"/>
    </row>
    <row r="115" spans="1:68">
      <c r="B115" s="539" t="s">
        <v>1022</v>
      </c>
      <c r="C115" s="440" t="s">
        <v>2238</v>
      </c>
      <c r="D115" s="538" t="s">
        <v>2459</v>
      </c>
      <c r="F115" s="317">
        <v>0</v>
      </c>
      <c r="G115" s="322">
        <f>IF(F115=2,2,F115)</f>
        <v>0</v>
      </c>
      <c r="H115" s="322">
        <f>IF(G115=0,0.9,G115)</f>
        <v>0.9</v>
      </c>
      <c r="N115" s="658"/>
      <c r="O115" s="658"/>
      <c r="P115" s="658"/>
      <c r="Q115" s="658"/>
      <c r="R115" s="658"/>
      <c r="S115" s="658"/>
      <c r="T115" s="658"/>
      <c r="U115" s="658"/>
      <c r="V115" s="658"/>
      <c r="W115" s="658"/>
      <c r="X115" s="658"/>
      <c r="Y115" s="658"/>
      <c r="Z115" s="658"/>
      <c r="AA115" s="658"/>
      <c r="AB115" s="658"/>
      <c r="AC115" s="658"/>
      <c r="AD115" s="658"/>
      <c r="AE115" s="658"/>
      <c r="AF115" s="658"/>
      <c r="AG115" s="658"/>
      <c r="AH115" s="658"/>
      <c r="AI115" s="658"/>
      <c r="AJ115" s="658"/>
      <c r="AK115" s="658"/>
      <c r="AL115" s="658"/>
      <c r="AM115" s="658"/>
      <c r="AN115" s="658"/>
      <c r="AO115" s="658"/>
      <c r="AP115" s="658"/>
      <c r="AQ115" s="658"/>
      <c r="AR115" s="658"/>
      <c r="AS115" s="658"/>
      <c r="AT115" s="658"/>
      <c r="AU115" s="658"/>
      <c r="AV115" s="658"/>
      <c r="AW115" s="658"/>
      <c r="AX115" s="658"/>
      <c r="AY115" s="658"/>
      <c r="AZ115" s="658"/>
      <c r="BA115" s="658"/>
      <c r="BB115" s="658"/>
      <c r="BC115" s="658"/>
      <c r="BD115" s="658"/>
      <c r="BE115" s="658"/>
      <c r="BF115" s="658"/>
      <c r="BG115" s="658"/>
      <c r="BH115" s="658"/>
      <c r="BI115" s="658"/>
      <c r="BJ115" s="658"/>
      <c r="BK115" s="658"/>
      <c r="BL115" s="658"/>
      <c r="BM115" s="658"/>
      <c r="BN115" s="658"/>
      <c r="BO115" s="658"/>
      <c r="BP115" s="658"/>
    </row>
    <row r="116" spans="1:68">
      <c r="A116" s="514"/>
      <c r="B116" s="539" t="s">
        <v>1022</v>
      </c>
      <c r="C116" s="440" t="s">
        <v>2241</v>
      </c>
      <c r="D116" s="540" t="s">
        <v>2458</v>
      </c>
      <c r="E116" s="441" t="s">
        <v>1486</v>
      </c>
      <c r="F116" s="317">
        <v>0</v>
      </c>
      <c r="H116" s="322">
        <f>IF(F116=0,0.9,IF(F116=1,1.2,2.5))</f>
        <v>0.9</v>
      </c>
      <c r="I116" s="322">
        <f>IF(F116=0,0,1)</f>
        <v>0</v>
      </c>
      <c r="J116" s="330"/>
      <c r="K116" s="330"/>
      <c r="N116" s="658"/>
      <c r="O116" s="658"/>
      <c r="P116" s="658"/>
      <c r="Q116" s="658"/>
      <c r="R116" s="658"/>
      <c r="S116" s="658"/>
      <c r="T116" s="658"/>
      <c r="U116" s="658"/>
      <c r="V116" s="658"/>
      <c r="W116" s="658"/>
      <c r="X116" s="658"/>
      <c r="Y116" s="658"/>
      <c r="Z116" s="658"/>
      <c r="AA116" s="658"/>
      <c r="AB116" s="658"/>
      <c r="AC116" s="658"/>
      <c r="AD116" s="658"/>
      <c r="AE116" s="658"/>
      <c r="AF116" s="658"/>
      <c r="AG116" s="658"/>
      <c r="AH116" s="658"/>
      <c r="AI116" s="658"/>
      <c r="AJ116" s="658"/>
      <c r="AK116" s="658"/>
      <c r="AL116" s="658"/>
      <c r="AM116" s="658"/>
      <c r="AN116" s="658"/>
      <c r="AO116" s="658"/>
      <c r="AP116" s="658"/>
      <c r="AQ116" s="658"/>
      <c r="AR116" s="658"/>
      <c r="AS116" s="658"/>
      <c r="AT116" s="658"/>
      <c r="AU116" s="658"/>
      <c r="AV116" s="658"/>
      <c r="AW116" s="658"/>
      <c r="AX116" s="658"/>
      <c r="AY116" s="658"/>
      <c r="AZ116" s="658"/>
      <c r="BA116" s="658"/>
      <c r="BB116" s="658"/>
      <c r="BC116" s="658"/>
      <c r="BD116" s="658"/>
      <c r="BE116" s="658"/>
      <c r="BF116" s="658"/>
      <c r="BG116" s="658"/>
      <c r="BH116" s="658"/>
      <c r="BI116" s="658"/>
      <c r="BJ116" s="658"/>
      <c r="BK116" s="658"/>
      <c r="BL116" s="658"/>
      <c r="BM116" s="658"/>
      <c r="BN116" s="658"/>
      <c r="BO116" s="658"/>
      <c r="BP116" s="658"/>
    </row>
    <row r="117" spans="1:68" ht="36">
      <c r="A117" s="514"/>
      <c r="B117" s="539" t="s">
        <v>1022</v>
      </c>
      <c r="C117" s="440" t="s">
        <v>2241</v>
      </c>
      <c r="D117" s="540" t="s">
        <v>2457</v>
      </c>
      <c r="E117" s="441" t="s">
        <v>1510</v>
      </c>
      <c r="F117" s="317">
        <v>0</v>
      </c>
      <c r="H117" s="322">
        <f t="shared" ref="H117:H120" si="28">IF(F117=0,0.9,IF(F117=1,1.2,2.5))</f>
        <v>0.9</v>
      </c>
      <c r="I117" s="322">
        <f t="shared" ref="I117:I120" si="29">IF(F117=0,0,1)</f>
        <v>0</v>
      </c>
      <c r="N117" s="658"/>
      <c r="O117" s="658"/>
      <c r="P117" s="658"/>
      <c r="Q117" s="658"/>
      <c r="R117" s="658"/>
      <c r="S117" s="658"/>
      <c r="T117" s="658"/>
      <c r="U117" s="658"/>
      <c r="V117" s="658"/>
      <c r="W117" s="658"/>
      <c r="X117" s="658"/>
      <c r="Y117" s="658"/>
      <c r="Z117" s="658"/>
      <c r="AA117" s="658"/>
      <c r="AB117" s="658"/>
      <c r="AC117" s="658"/>
      <c r="AD117" s="658"/>
      <c r="AE117" s="658"/>
      <c r="AF117" s="658"/>
      <c r="AG117" s="658"/>
      <c r="AH117" s="658"/>
      <c r="AI117" s="658"/>
      <c r="AJ117" s="658"/>
      <c r="AK117" s="658"/>
      <c r="AL117" s="658"/>
      <c r="AM117" s="658"/>
      <c r="AN117" s="658"/>
      <c r="AO117" s="658"/>
      <c r="AP117" s="658"/>
      <c r="AQ117" s="658"/>
      <c r="AR117" s="658"/>
      <c r="AS117" s="658"/>
      <c r="AT117" s="658"/>
      <c r="AU117" s="658"/>
      <c r="AV117" s="658"/>
      <c r="AW117" s="658"/>
      <c r="AX117" s="658"/>
      <c r="AY117" s="658"/>
      <c r="AZ117" s="658"/>
      <c r="BA117" s="658"/>
      <c r="BB117" s="658"/>
      <c r="BC117" s="658"/>
      <c r="BD117" s="658"/>
      <c r="BE117" s="658"/>
      <c r="BF117" s="658"/>
      <c r="BG117" s="658"/>
      <c r="BH117" s="658"/>
      <c r="BI117" s="658"/>
      <c r="BJ117" s="658"/>
      <c r="BK117" s="658"/>
      <c r="BL117" s="658"/>
      <c r="BM117" s="658"/>
      <c r="BN117" s="658"/>
      <c r="BO117" s="658"/>
      <c r="BP117" s="658"/>
    </row>
    <row r="118" spans="1:68">
      <c r="A118" s="514"/>
      <c r="B118" s="539" t="s">
        <v>1022</v>
      </c>
      <c r="C118" s="440" t="s">
        <v>2241</v>
      </c>
      <c r="D118" s="540" t="s">
        <v>2456</v>
      </c>
      <c r="E118" s="441" t="s">
        <v>1511</v>
      </c>
      <c r="F118" s="317">
        <v>0</v>
      </c>
      <c r="H118" s="322">
        <f t="shared" si="28"/>
        <v>0.9</v>
      </c>
      <c r="I118" s="322">
        <f t="shared" si="29"/>
        <v>0</v>
      </c>
      <c r="N118" s="658"/>
      <c r="O118" s="658"/>
      <c r="P118" s="658"/>
      <c r="Q118" s="658"/>
      <c r="R118" s="658"/>
      <c r="S118" s="658"/>
      <c r="T118" s="658"/>
      <c r="U118" s="658"/>
      <c r="V118" s="658"/>
      <c r="W118" s="658"/>
      <c r="X118" s="658"/>
      <c r="Y118" s="658"/>
      <c r="Z118" s="658"/>
      <c r="AA118" s="658"/>
      <c r="AB118" s="658"/>
      <c r="AC118" s="658"/>
      <c r="AD118" s="658"/>
      <c r="AE118" s="658"/>
      <c r="AF118" s="658"/>
      <c r="AG118" s="658"/>
      <c r="AH118" s="658"/>
      <c r="AI118" s="658"/>
      <c r="AJ118" s="658"/>
      <c r="AK118" s="658"/>
      <c r="AL118" s="658"/>
      <c r="AM118" s="658"/>
      <c r="AN118" s="658"/>
      <c r="AO118" s="658"/>
      <c r="AP118" s="658"/>
      <c r="AQ118" s="658"/>
      <c r="AR118" s="658"/>
      <c r="AS118" s="658"/>
      <c r="AT118" s="658"/>
      <c r="AU118" s="658"/>
      <c r="AV118" s="658"/>
      <c r="AW118" s="658"/>
      <c r="AX118" s="658"/>
      <c r="AY118" s="658"/>
      <c r="AZ118" s="658"/>
      <c r="BA118" s="658"/>
      <c r="BB118" s="658"/>
      <c r="BC118" s="658"/>
      <c r="BD118" s="658"/>
      <c r="BE118" s="658"/>
      <c r="BF118" s="658"/>
      <c r="BG118" s="658"/>
      <c r="BH118" s="658"/>
      <c r="BI118" s="658"/>
      <c r="BJ118" s="658"/>
      <c r="BK118" s="658"/>
      <c r="BL118" s="658"/>
      <c r="BM118" s="658"/>
      <c r="BN118" s="658"/>
      <c r="BO118" s="658"/>
      <c r="BP118" s="658"/>
    </row>
    <row r="119" spans="1:68">
      <c r="B119" s="539" t="s">
        <v>1022</v>
      </c>
      <c r="C119" s="440" t="s">
        <v>2241</v>
      </c>
      <c r="D119" s="540" t="s">
        <v>2455</v>
      </c>
      <c r="F119" s="317">
        <v>0</v>
      </c>
      <c r="H119" s="322">
        <f t="shared" si="28"/>
        <v>0.9</v>
      </c>
      <c r="I119" s="322">
        <f t="shared" si="29"/>
        <v>0</v>
      </c>
      <c r="N119" s="658"/>
      <c r="O119" s="658"/>
      <c r="P119" s="658"/>
      <c r="Q119" s="658"/>
      <c r="R119" s="658"/>
      <c r="S119" s="658"/>
      <c r="T119" s="658"/>
      <c r="U119" s="658"/>
      <c r="V119" s="658"/>
      <c r="W119" s="658"/>
      <c r="X119" s="658"/>
      <c r="Y119" s="658"/>
      <c r="Z119" s="658"/>
      <c r="AA119" s="658"/>
      <c r="AB119" s="658"/>
      <c r="AC119" s="658"/>
      <c r="AD119" s="658"/>
      <c r="AE119" s="658"/>
      <c r="AF119" s="658"/>
      <c r="AG119" s="658"/>
      <c r="AH119" s="658"/>
      <c r="AI119" s="658"/>
      <c r="AJ119" s="658"/>
      <c r="AK119" s="658"/>
      <c r="AL119" s="658"/>
      <c r="AM119" s="658"/>
      <c r="AN119" s="658"/>
      <c r="AO119" s="658"/>
      <c r="AP119" s="658"/>
      <c r="AQ119" s="658"/>
      <c r="AR119" s="658"/>
      <c r="AS119" s="658"/>
      <c r="AT119" s="658"/>
      <c r="AU119" s="658"/>
      <c r="AV119" s="658"/>
      <c r="AW119" s="658"/>
      <c r="AX119" s="658"/>
      <c r="AY119" s="658"/>
      <c r="AZ119" s="658"/>
      <c r="BA119" s="658"/>
      <c r="BB119" s="658"/>
      <c r="BC119" s="658"/>
      <c r="BD119" s="658"/>
      <c r="BE119" s="658"/>
      <c r="BF119" s="658"/>
      <c r="BG119" s="658"/>
      <c r="BH119" s="658"/>
      <c r="BI119" s="658"/>
      <c r="BJ119" s="658"/>
      <c r="BK119" s="658"/>
      <c r="BL119" s="658"/>
      <c r="BM119" s="658"/>
      <c r="BN119" s="658"/>
      <c r="BO119" s="658"/>
      <c r="BP119" s="658"/>
    </row>
    <row r="120" spans="1:68">
      <c r="A120" s="514"/>
      <c r="B120" s="539" t="s">
        <v>1022</v>
      </c>
      <c r="C120" s="440" t="s">
        <v>2241</v>
      </c>
      <c r="D120" s="540" t="s">
        <v>2454</v>
      </c>
      <c r="E120" s="441" t="s">
        <v>1512</v>
      </c>
      <c r="F120" s="317">
        <v>0</v>
      </c>
      <c r="H120" s="322">
        <f t="shared" si="28"/>
        <v>0.9</v>
      </c>
      <c r="I120" s="322">
        <f t="shared" si="29"/>
        <v>0</v>
      </c>
      <c r="N120" s="658"/>
      <c r="O120" s="658"/>
      <c r="P120" s="658"/>
      <c r="Q120" s="658"/>
      <c r="R120" s="658"/>
      <c r="S120" s="658"/>
      <c r="T120" s="658"/>
      <c r="U120" s="658"/>
      <c r="V120" s="658"/>
      <c r="W120" s="658"/>
      <c r="X120" s="658"/>
      <c r="Y120" s="658"/>
      <c r="Z120" s="658"/>
      <c r="AA120" s="658"/>
      <c r="AB120" s="658"/>
      <c r="AC120" s="658"/>
      <c r="AD120" s="658"/>
      <c r="AE120" s="658"/>
      <c r="AF120" s="658"/>
      <c r="AG120" s="658"/>
      <c r="AH120" s="658"/>
      <c r="AI120" s="658"/>
      <c r="AJ120" s="658"/>
      <c r="AK120" s="658"/>
      <c r="AL120" s="658"/>
      <c r="AM120" s="658"/>
      <c r="AN120" s="658"/>
      <c r="AO120" s="658"/>
      <c r="AP120" s="658"/>
      <c r="AQ120" s="658"/>
      <c r="AR120" s="658"/>
      <c r="AS120" s="658"/>
      <c r="AT120" s="658"/>
      <c r="AU120" s="658"/>
      <c r="AV120" s="658"/>
      <c r="AW120" s="658"/>
      <c r="AX120" s="658"/>
      <c r="AY120" s="658"/>
      <c r="AZ120" s="658"/>
      <c r="BA120" s="658"/>
      <c r="BB120" s="658"/>
      <c r="BC120" s="658"/>
      <c r="BD120" s="658"/>
      <c r="BE120" s="658"/>
      <c r="BF120" s="658"/>
      <c r="BG120" s="658"/>
      <c r="BH120" s="658"/>
      <c r="BI120" s="658"/>
      <c r="BJ120" s="658"/>
      <c r="BK120" s="658"/>
      <c r="BL120" s="658"/>
      <c r="BM120" s="658"/>
      <c r="BN120" s="658"/>
      <c r="BO120" s="658"/>
      <c r="BP120" s="658"/>
    </row>
    <row r="121" spans="1:68" ht="36">
      <c r="A121" s="524"/>
      <c r="B121" s="539" t="s">
        <v>1022</v>
      </c>
      <c r="D121" s="538" t="s">
        <v>2453</v>
      </c>
      <c r="E121" s="441" t="s">
        <v>1513</v>
      </c>
      <c r="F121" s="315">
        <v>0</v>
      </c>
      <c r="H121" s="322">
        <f>IF(F121=1,1.2,0.9)</f>
        <v>0.9</v>
      </c>
      <c r="I121" s="322">
        <f>IF(F121=0,0,1)</f>
        <v>0</v>
      </c>
      <c r="N121" s="658"/>
      <c r="O121" s="658"/>
      <c r="P121" s="658"/>
      <c r="Q121" s="658"/>
      <c r="R121" s="658"/>
      <c r="S121" s="658"/>
      <c r="T121" s="658"/>
      <c r="U121" s="658"/>
      <c r="V121" s="658"/>
      <c r="W121" s="658"/>
      <c r="X121" s="658"/>
      <c r="Y121" s="658"/>
      <c r="Z121" s="658"/>
      <c r="AA121" s="658"/>
      <c r="AB121" s="658"/>
      <c r="AC121" s="658"/>
      <c r="AD121" s="658"/>
      <c r="AE121" s="658"/>
      <c r="AF121" s="658"/>
      <c r="AG121" s="658"/>
      <c r="AH121" s="658"/>
      <c r="AI121" s="658"/>
      <c r="AJ121" s="658"/>
      <c r="AK121" s="658"/>
      <c r="AL121" s="658"/>
      <c r="AM121" s="658"/>
      <c r="AN121" s="658"/>
      <c r="AO121" s="658"/>
      <c r="AP121" s="658"/>
      <c r="AQ121" s="658"/>
      <c r="AR121" s="658"/>
      <c r="AS121" s="658"/>
      <c r="AT121" s="658"/>
      <c r="AU121" s="658"/>
      <c r="AV121" s="658"/>
      <c r="AW121" s="658"/>
      <c r="AX121" s="658"/>
      <c r="AY121" s="658"/>
      <c r="AZ121" s="658"/>
      <c r="BA121" s="658"/>
      <c r="BB121" s="658"/>
      <c r="BC121" s="658"/>
      <c r="BD121" s="658"/>
      <c r="BE121" s="658"/>
      <c r="BF121" s="658"/>
      <c r="BG121" s="658"/>
      <c r="BH121" s="658"/>
      <c r="BI121" s="658"/>
      <c r="BJ121" s="658"/>
      <c r="BK121" s="658"/>
      <c r="BL121" s="658"/>
      <c r="BM121" s="658"/>
      <c r="BN121" s="658"/>
      <c r="BO121" s="658"/>
      <c r="BP121" s="658"/>
    </row>
    <row r="122" spans="1:68" ht="36">
      <c r="A122" s="524"/>
      <c r="B122" s="539" t="s">
        <v>1022</v>
      </c>
      <c r="D122" s="538" t="s">
        <v>2452</v>
      </c>
      <c r="E122" s="441" t="s">
        <v>1514</v>
      </c>
      <c r="F122" s="315">
        <v>0</v>
      </c>
      <c r="G122" s="325">
        <f>IF($F$121=1,F122,0)</f>
        <v>0</v>
      </c>
      <c r="H122" s="322">
        <f>IF(G122=1,1.2,0.9)</f>
        <v>0.9</v>
      </c>
      <c r="I122" s="322">
        <f t="shared" ref="I122:I131" si="30">IF(F122=0,0,1)</f>
        <v>0</v>
      </c>
      <c r="N122" s="658"/>
      <c r="O122" s="658"/>
      <c r="P122" s="658"/>
      <c r="Q122" s="658"/>
      <c r="R122" s="658"/>
      <c r="S122" s="658"/>
      <c r="T122" s="658"/>
      <c r="U122" s="658"/>
      <c r="V122" s="658"/>
      <c r="W122" s="658"/>
      <c r="X122" s="658"/>
      <c r="Y122" s="658"/>
      <c r="Z122" s="658"/>
      <c r="AA122" s="658"/>
      <c r="AB122" s="658"/>
      <c r="AC122" s="658"/>
      <c r="AD122" s="658"/>
      <c r="AE122" s="658"/>
      <c r="AF122" s="658"/>
      <c r="AG122" s="658"/>
      <c r="AH122" s="658"/>
      <c r="AI122" s="658"/>
      <c r="AJ122" s="658"/>
      <c r="AK122" s="658"/>
      <c r="AL122" s="658"/>
      <c r="AM122" s="658"/>
      <c r="AN122" s="658"/>
      <c r="AO122" s="658"/>
      <c r="AP122" s="658"/>
      <c r="AQ122" s="658"/>
      <c r="AR122" s="658"/>
      <c r="AS122" s="658"/>
      <c r="AT122" s="658"/>
      <c r="AU122" s="658"/>
      <c r="AV122" s="658"/>
      <c r="AW122" s="658"/>
      <c r="AX122" s="658"/>
      <c r="AY122" s="658"/>
      <c r="AZ122" s="658"/>
      <c r="BA122" s="658"/>
      <c r="BB122" s="658"/>
      <c r="BC122" s="658"/>
      <c r="BD122" s="658"/>
      <c r="BE122" s="658"/>
      <c r="BF122" s="658"/>
      <c r="BG122" s="658"/>
      <c r="BH122" s="658"/>
      <c r="BI122" s="658"/>
      <c r="BJ122" s="658"/>
      <c r="BK122" s="658"/>
      <c r="BL122" s="658"/>
      <c r="BM122" s="658"/>
      <c r="BN122" s="658"/>
      <c r="BO122" s="658"/>
      <c r="BP122" s="658"/>
    </row>
    <row r="123" spans="1:68" ht="36">
      <c r="B123" s="539" t="s">
        <v>1022</v>
      </c>
      <c r="D123" s="538" t="s">
        <v>2451</v>
      </c>
      <c r="F123" s="315">
        <v>0</v>
      </c>
      <c r="G123" s="325">
        <f t="shared" ref="G123:G131" si="31">IF($F$121=1,F123,0)</f>
        <v>0</v>
      </c>
      <c r="H123" s="322">
        <f t="shared" ref="H123:H131" si="32">IF(G123=1,1.2,0.9)</f>
        <v>0.9</v>
      </c>
      <c r="I123" s="322">
        <f t="shared" si="30"/>
        <v>0</v>
      </c>
      <c r="N123" s="658"/>
      <c r="O123" s="658"/>
      <c r="P123" s="658"/>
      <c r="Q123" s="658"/>
      <c r="R123" s="658"/>
      <c r="S123" s="658"/>
      <c r="T123" s="658"/>
      <c r="U123" s="658"/>
      <c r="V123" s="658"/>
      <c r="W123" s="658"/>
      <c r="X123" s="658"/>
      <c r="Y123" s="658"/>
      <c r="Z123" s="658"/>
      <c r="AA123" s="658"/>
      <c r="AB123" s="658"/>
      <c r="AC123" s="658"/>
      <c r="AD123" s="658"/>
      <c r="AE123" s="658"/>
      <c r="AF123" s="658"/>
      <c r="AG123" s="658"/>
      <c r="AH123" s="658"/>
      <c r="AI123" s="658"/>
      <c r="AJ123" s="658"/>
      <c r="AK123" s="658"/>
      <c r="AL123" s="658"/>
      <c r="AM123" s="658"/>
      <c r="AN123" s="658"/>
      <c r="AO123" s="658"/>
      <c r="AP123" s="658"/>
      <c r="AQ123" s="658"/>
      <c r="AR123" s="658"/>
      <c r="AS123" s="658"/>
      <c r="AT123" s="658"/>
      <c r="AU123" s="658"/>
      <c r="AV123" s="658"/>
      <c r="AW123" s="658"/>
      <c r="AX123" s="658"/>
      <c r="AY123" s="658"/>
      <c r="AZ123" s="658"/>
      <c r="BA123" s="658"/>
      <c r="BB123" s="658"/>
      <c r="BC123" s="658"/>
      <c r="BD123" s="658"/>
      <c r="BE123" s="658"/>
      <c r="BF123" s="658"/>
      <c r="BG123" s="658"/>
      <c r="BH123" s="658"/>
      <c r="BI123" s="658"/>
      <c r="BJ123" s="658"/>
      <c r="BK123" s="658"/>
      <c r="BL123" s="658"/>
      <c r="BM123" s="658"/>
      <c r="BN123" s="658"/>
      <c r="BO123" s="658"/>
      <c r="BP123" s="658"/>
    </row>
    <row r="124" spans="1:68">
      <c r="A124" s="524"/>
      <c r="B124" s="539" t="s">
        <v>1022</v>
      </c>
      <c r="D124" s="538" t="s">
        <v>2450</v>
      </c>
      <c r="E124" s="441" t="s">
        <v>1515</v>
      </c>
      <c r="F124" s="315">
        <v>0</v>
      </c>
      <c r="G124" s="325">
        <f t="shared" si="31"/>
        <v>0</v>
      </c>
      <c r="H124" s="322">
        <f t="shared" si="32"/>
        <v>0.9</v>
      </c>
      <c r="I124" s="322">
        <f t="shared" si="30"/>
        <v>0</v>
      </c>
      <c r="N124" s="658"/>
      <c r="O124" s="658"/>
      <c r="P124" s="658"/>
      <c r="Q124" s="658"/>
      <c r="R124" s="658"/>
      <c r="S124" s="658"/>
      <c r="T124" s="658"/>
      <c r="U124" s="658"/>
      <c r="V124" s="658"/>
      <c r="W124" s="658"/>
      <c r="X124" s="658"/>
      <c r="Y124" s="658"/>
      <c r="Z124" s="658"/>
      <c r="AA124" s="658"/>
      <c r="AB124" s="658"/>
      <c r="AC124" s="658"/>
      <c r="AD124" s="658"/>
      <c r="AE124" s="658"/>
      <c r="AF124" s="658"/>
      <c r="AG124" s="658"/>
      <c r="AH124" s="658"/>
      <c r="AI124" s="658"/>
      <c r="AJ124" s="658"/>
      <c r="AK124" s="658"/>
      <c r="AL124" s="658"/>
      <c r="AM124" s="658"/>
      <c r="AN124" s="658"/>
      <c r="AO124" s="658"/>
      <c r="AP124" s="658"/>
      <c r="AQ124" s="658"/>
      <c r="AR124" s="658"/>
      <c r="AS124" s="658"/>
      <c r="AT124" s="658"/>
      <c r="AU124" s="658"/>
      <c r="AV124" s="658"/>
      <c r="AW124" s="658"/>
      <c r="AX124" s="658"/>
      <c r="AY124" s="658"/>
      <c r="AZ124" s="658"/>
      <c r="BA124" s="658"/>
      <c r="BB124" s="658"/>
      <c r="BC124" s="658"/>
      <c r="BD124" s="658"/>
      <c r="BE124" s="658"/>
      <c r="BF124" s="658"/>
      <c r="BG124" s="658"/>
      <c r="BH124" s="658"/>
      <c r="BI124" s="658"/>
      <c r="BJ124" s="658"/>
      <c r="BK124" s="658"/>
      <c r="BL124" s="658"/>
      <c r="BM124" s="658"/>
      <c r="BN124" s="658"/>
      <c r="BO124" s="658"/>
      <c r="BP124" s="658"/>
    </row>
    <row r="125" spans="1:68" ht="36">
      <c r="A125" s="524"/>
      <c r="B125" s="539" t="s">
        <v>1022</v>
      </c>
      <c r="D125" s="538" t="s">
        <v>2449</v>
      </c>
      <c r="E125" s="441" t="s">
        <v>1516</v>
      </c>
      <c r="F125" s="315">
        <v>0</v>
      </c>
      <c r="G125" s="325">
        <f t="shared" si="31"/>
        <v>0</v>
      </c>
      <c r="H125" s="322">
        <f t="shared" si="32"/>
        <v>0.9</v>
      </c>
      <c r="I125" s="322">
        <f t="shared" si="30"/>
        <v>0</v>
      </c>
      <c r="N125" s="658"/>
      <c r="O125" s="658"/>
      <c r="P125" s="658"/>
      <c r="Q125" s="658"/>
      <c r="R125" s="658"/>
      <c r="S125" s="658"/>
      <c r="T125" s="658"/>
      <c r="U125" s="658"/>
      <c r="V125" s="658"/>
      <c r="W125" s="658"/>
      <c r="X125" s="658"/>
      <c r="Y125" s="658"/>
      <c r="Z125" s="658"/>
      <c r="AA125" s="658"/>
      <c r="AB125" s="658"/>
      <c r="AC125" s="658"/>
      <c r="AD125" s="658"/>
      <c r="AE125" s="658"/>
      <c r="AF125" s="658"/>
      <c r="AG125" s="658"/>
      <c r="AH125" s="658"/>
      <c r="AI125" s="658"/>
      <c r="AJ125" s="658"/>
      <c r="AK125" s="658"/>
      <c r="AL125" s="658"/>
      <c r="AM125" s="658"/>
      <c r="AN125" s="658"/>
      <c r="AO125" s="658"/>
      <c r="AP125" s="658"/>
      <c r="AQ125" s="658"/>
      <c r="AR125" s="658"/>
      <c r="AS125" s="658"/>
      <c r="AT125" s="658"/>
      <c r="AU125" s="658"/>
      <c r="AV125" s="658"/>
      <c r="AW125" s="658"/>
      <c r="AX125" s="658"/>
      <c r="AY125" s="658"/>
      <c r="AZ125" s="658"/>
      <c r="BA125" s="658"/>
      <c r="BB125" s="658"/>
      <c r="BC125" s="658"/>
      <c r="BD125" s="658"/>
      <c r="BE125" s="658"/>
      <c r="BF125" s="658"/>
      <c r="BG125" s="658"/>
      <c r="BH125" s="658"/>
      <c r="BI125" s="658"/>
      <c r="BJ125" s="658"/>
      <c r="BK125" s="658"/>
      <c r="BL125" s="658"/>
      <c r="BM125" s="658"/>
      <c r="BN125" s="658"/>
      <c r="BO125" s="658"/>
      <c r="BP125" s="658"/>
    </row>
    <row r="126" spans="1:68">
      <c r="A126" s="524"/>
      <c r="B126" s="539" t="s">
        <v>1022</v>
      </c>
      <c r="D126" s="538" t="s">
        <v>2448</v>
      </c>
      <c r="E126" s="441" t="s">
        <v>1517</v>
      </c>
      <c r="F126" s="315">
        <v>0</v>
      </c>
      <c r="G126" s="325">
        <f t="shared" si="31"/>
        <v>0</v>
      </c>
      <c r="H126" s="322">
        <f t="shared" si="32"/>
        <v>0.9</v>
      </c>
      <c r="I126" s="322">
        <f t="shared" si="30"/>
        <v>0</v>
      </c>
      <c r="N126" s="658"/>
      <c r="O126" s="658"/>
      <c r="P126" s="658"/>
      <c r="Q126" s="658"/>
      <c r="R126" s="658"/>
      <c r="S126" s="658"/>
      <c r="T126" s="658"/>
      <c r="U126" s="658"/>
      <c r="V126" s="658"/>
      <c r="W126" s="658"/>
      <c r="X126" s="658"/>
      <c r="Y126" s="658"/>
      <c r="Z126" s="658"/>
      <c r="AA126" s="658"/>
      <c r="AB126" s="658"/>
      <c r="AC126" s="658"/>
      <c r="AD126" s="658"/>
      <c r="AE126" s="658"/>
      <c r="AF126" s="658"/>
      <c r="AG126" s="658"/>
      <c r="AH126" s="658"/>
      <c r="AI126" s="658"/>
      <c r="AJ126" s="658"/>
      <c r="AK126" s="658"/>
      <c r="AL126" s="658"/>
      <c r="AM126" s="658"/>
      <c r="AN126" s="658"/>
      <c r="AO126" s="658"/>
      <c r="AP126" s="658"/>
      <c r="AQ126" s="658"/>
      <c r="AR126" s="658"/>
      <c r="AS126" s="658"/>
      <c r="AT126" s="658"/>
      <c r="AU126" s="658"/>
      <c r="AV126" s="658"/>
      <c r="AW126" s="658"/>
      <c r="AX126" s="658"/>
      <c r="AY126" s="658"/>
      <c r="AZ126" s="658"/>
      <c r="BA126" s="658"/>
      <c r="BB126" s="658"/>
      <c r="BC126" s="658"/>
      <c r="BD126" s="658"/>
      <c r="BE126" s="658"/>
      <c r="BF126" s="658"/>
      <c r="BG126" s="658"/>
      <c r="BH126" s="658"/>
      <c r="BI126" s="658"/>
      <c r="BJ126" s="658"/>
      <c r="BK126" s="658"/>
      <c r="BL126" s="658"/>
      <c r="BM126" s="658"/>
      <c r="BN126" s="658"/>
      <c r="BO126" s="658"/>
      <c r="BP126" s="658"/>
    </row>
    <row r="127" spans="1:68" ht="36">
      <c r="A127" s="524"/>
      <c r="B127" s="539" t="s">
        <v>1022</v>
      </c>
      <c r="D127" s="538" t="s">
        <v>2447</v>
      </c>
      <c r="E127" s="441" t="s">
        <v>1518</v>
      </c>
      <c r="F127" s="315">
        <v>0</v>
      </c>
      <c r="G127" s="325">
        <f t="shared" si="31"/>
        <v>0</v>
      </c>
      <c r="H127" s="322">
        <f t="shared" si="32"/>
        <v>0.9</v>
      </c>
      <c r="I127" s="322">
        <f t="shared" si="30"/>
        <v>0</v>
      </c>
      <c r="N127" s="658"/>
      <c r="O127" s="658"/>
      <c r="P127" s="658"/>
      <c r="Q127" s="658"/>
      <c r="R127" s="658"/>
      <c r="S127" s="658"/>
      <c r="T127" s="658"/>
      <c r="U127" s="658"/>
      <c r="V127" s="658"/>
      <c r="W127" s="658"/>
      <c r="X127" s="658"/>
      <c r="Y127" s="658"/>
      <c r="Z127" s="658"/>
      <c r="AA127" s="658"/>
      <c r="AB127" s="658"/>
      <c r="AC127" s="658"/>
      <c r="AD127" s="658"/>
      <c r="AE127" s="658"/>
      <c r="AF127" s="658"/>
      <c r="AG127" s="658"/>
      <c r="AH127" s="658"/>
      <c r="AI127" s="658"/>
      <c r="AJ127" s="658"/>
      <c r="AK127" s="658"/>
      <c r="AL127" s="658"/>
      <c r="AM127" s="658"/>
      <c r="AN127" s="658"/>
      <c r="AO127" s="658"/>
      <c r="AP127" s="658"/>
      <c r="AQ127" s="658"/>
      <c r="AR127" s="658"/>
      <c r="AS127" s="658"/>
      <c r="AT127" s="658"/>
      <c r="AU127" s="658"/>
      <c r="AV127" s="658"/>
      <c r="AW127" s="658"/>
      <c r="AX127" s="658"/>
      <c r="AY127" s="658"/>
      <c r="AZ127" s="658"/>
      <c r="BA127" s="658"/>
      <c r="BB127" s="658"/>
      <c r="BC127" s="658"/>
      <c r="BD127" s="658"/>
      <c r="BE127" s="658"/>
      <c r="BF127" s="658"/>
      <c r="BG127" s="658"/>
      <c r="BH127" s="658"/>
      <c r="BI127" s="658"/>
      <c r="BJ127" s="658"/>
      <c r="BK127" s="658"/>
      <c r="BL127" s="658"/>
      <c r="BM127" s="658"/>
      <c r="BN127" s="658"/>
      <c r="BO127" s="658"/>
      <c r="BP127" s="658"/>
    </row>
    <row r="128" spans="1:68" ht="36">
      <c r="B128" s="539" t="s">
        <v>1022</v>
      </c>
      <c r="D128" s="538" t="s">
        <v>2446</v>
      </c>
      <c r="F128" s="315">
        <v>0</v>
      </c>
      <c r="G128" s="325">
        <f t="shared" si="31"/>
        <v>0</v>
      </c>
      <c r="H128" s="322">
        <f t="shared" si="32"/>
        <v>0.9</v>
      </c>
      <c r="I128" s="322">
        <f t="shared" si="30"/>
        <v>0</v>
      </c>
      <c r="N128" s="658"/>
      <c r="O128" s="658"/>
      <c r="P128" s="658"/>
      <c r="Q128" s="658"/>
      <c r="R128" s="658"/>
      <c r="S128" s="658"/>
      <c r="T128" s="658"/>
      <c r="U128" s="658"/>
      <c r="V128" s="658"/>
      <c r="W128" s="658"/>
      <c r="X128" s="658"/>
      <c r="Y128" s="658"/>
      <c r="Z128" s="658"/>
      <c r="AA128" s="658"/>
      <c r="AB128" s="658"/>
      <c r="AC128" s="658"/>
      <c r="AD128" s="658"/>
      <c r="AE128" s="658"/>
      <c r="AF128" s="658"/>
      <c r="AG128" s="658"/>
      <c r="AH128" s="658"/>
      <c r="AI128" s="658"/>
      <c r="AJ128" s="658"/>
      <c r="AK128" s="658"/>
      <c r="AL128" s="658"/>
      <c r="AM128" s="658"/>
      <c r="AN128" s="658"/>
      <c r="AO128" s="658"/>
      <c r="AP128" s="658"/>
      <c r="AQ128" s="658"/>
      <c r="AR128" s="658"/>
      <c r="AS128" s="658"/>
      <c r="AT128" s="658"/>
      <c r="AU128" s="658"/>
      <c r="AV128" s="658"/>
      <c r="AW128" s="658"/>
      <c r="AX128" s="658"/>
      <c r="AY128" s="658"/>
      <c r="AZ128" s="658"/>
      <c r="BA128" s="658"/>
      <c r="BB128" s="658"/>
      <c r="BC128" s="658"/>
      <c r="BD128" s="658"/>
      <c r="BE128" s="658"/>
      <c r="BF128" s="658"/>
      <c r="BG128" s="658"/>
      <c r="BH128" s="658"/>
      <c r="BI128" s="658"/>
      <c r="BJ128" s="658"/>
      <c r="BK128" s="658"/>
      <c r="BL128" s="658"/>
      <c r="BM128" s="658"/>
      <c r="BN128" s="658"/>
      <c r="BO128" s="658"/>
      <c r="BP128" s="658"/>
    </row>
    <row r="129" spans="1:68" ht="54">
      <c r="A129" s="524"/>
      <c r="B129" s="539" t="s">
        <v>1022</v>
      </c>
      <c r="D129" s="538" t="s">
        <v>2445</v>
      </c>
      <c r="E129" s="441" t="s">
        <v>1519</v>
      </c>
      <c r="F129" s="315">
        <v>0</v>
      </c>
      <c r="G129" s="325">
        <f t="shared" si="31"/>
        <v>0</v>
      </c>
      <c r="H129" s="322">
        <f t="shared" si="32"/>
        <v>0.9</v>
      </c>
      <c r="I129" s="322">
        <f t="shared" si="30"/>
        <v>0</v>
      </c>
      <c r="N129" s="658"/>
      <c r="O129" s="658"/>
      <c r="P129" s="658"/>
      <c r="Q129" s="658"/>
      <c r="R129" s="658"/>
      <c r="S129" s="658"/>
      <c r="T129" s="658"/>
      <c r="U129" s="658"/>
      <c r="V129" s="658"/>
      <c r="W129" s="658"/>
      <c r="X129" s="658"/>
      <c r="Y129" s="658"/>
      <c r="Z129" s="658"/>
      <c r="AA129" s="658"/>
      <c r="AB129" s="658"/>
      <c r="AC129" s="658"/>
      <c r="AD129" s="658"/>
      <c r="AE129" s="658"/>
      <c r="AF129" s="658"/>
      <c r="AG129" s="658"/>
      <c r="AH129" s="658"/>
      <c r="AI129" s="658"/>
      <c r="AJ129" s="658"/>
      <c r="AK129" s="658"/>
      <c r="AL129" s="658"/>
      <c r="AM129" s="658"/>
      <c r="AN129" s="658"/>
      <c r="AO129" s="658"/>
      <c r="AP129" s="658"/>
      <c r="AQ129" s="658"/>
      <c r="AR129" s="658"/>
      <c r="AS129" s="658"/>
      <c r="AT129" s="658"/>
      <c r="AU129" s="658"/>
      <c r="AV129" s="658"/>
      <c r="AW129" s="658"/>
      <c r="AX129" s="658"/>
      <c r="AY129" s="658"/>
      <c r="AZ129" s="658"/>
      <c r="BA129" s="658"/>
      <c r="BB129" s="658"/>
      <c r="BC129" s="658"/>
      <c r="BD129" s="658"/>
      <c r="BE129" s="658"/>
      <c r="BF129" s="658"/>
      <c r="BG129" s="658"/>
      <c r="BH129" s="658"/>
      <c r="BI129" s="658"/>
      <c r="BJ129" s="658"/>
      <c r="BK129" s="658"/>
      <c r="BL129" s="658"/>
      <c r="BM129" s="658"/>
      <c r="BN129" s="658"/>
      <c r="BO129" s="658"/>
      <c r="BP129" s="658"/>
    </row>
    <row r="130" spans="1:68" ht="36">
      <c r="B130" s="539" t="s">
        <v>1022</v>
      </c>
      <c r="D130" s="538" t="s">
        <v>2444</v>
      </c>
      <c r="F130" s="315">
        <v>0</v>
      </c>
      <c r="G130" s="325">
        <f t="shared" si="31"/>
        <v>0</v>
      </c>
      <c r="H130" s="322">
        <f t="shared" si="32"/>
        <v>0.9</v>
      </c>
      <c r="I130" s="322">
        <f t="shared" si="30"/>
        <v>0</v>
      </c>
      <c r="N130" s="658"/>
      <c r="O130" s="658"/>
      <c r="P130" s="658"/>
      <c r="Q130" s="658"/>
      <c r="R130" s="658"/>
      <c r="S130" s="658"/>
      <c r="T130" s="658"/>
      <c r="U130" s="658"/>
      <c r="V130" s="658"/>
      <c r="W130" s="658"/>
      <c r="X130" s="658"/>
      <c r="Y130" s="658"/>
      <c r="Z130" s="658"/>
      <c r="AA130" s="658"/>
      <c r="AB130" s="658"/>
      <c r="AC130" s="658"/>
      <c r="AD130" s="658"/>
      <c r="AE130" s="658"/>
      <c r="AF130" s="658"/>
      <c r="AG130" s="658"/>
      <c r="AH130" s="658"/>
      <c r="AI130" s="658"/>
      <c r="AJ130" s="658"/>
      <c r="AK130" s="658"/>
      <c r="AL130" s="658"/>
      <c r="AM130" s="658"/>
      <c r="AN130" s="658"/>
      <c r="AO130" s="658"/>
      <c r="AP130" s="658"/>
      <c r="AQ130" s="658"/>
      <c r="AR130" s="658"/>
      <c r="AS130" s="658"/>
      <c r="AT130" s="658"/>
      <c r="AU130" s="658"/>
      <c r="AV130" s="658"/>
      <c r="AW130" s="658"/>
      <c r="AX130" s="658"/>
      <c r="AY130" s="658"/>
      <c r="AZ130" s="658"/>
      <c r="BA130" s="658"/>
      <c r="BB130" s="658"/>
      <c r="BC130" s="658"/>
      <c r="BD130" s="658"/>
      <c r="BE130" s="658"/>
      <c r="BF130" s="658"/>
      <c r="BG130" s="658"/>
      <c r="BH130" s="658"/>
      <c r="BI130" s="658"/>
      <c r="BJ130" s="658"/>
      <c r="BK130" s="658"/>
      <c r="BL130" s="658"/>
      <c r="BM130" s="658"/>
      <c r="BN130" s="658"/>
      <c r="BO130" s="658"/>
      <c r="BP130" s="658"/>
    </row>
    <row r="131" spans="1:68" ht="36">
      <c r="B131" s="539" t="s">
        <v>1022</v>
      </c>
      <c r="D131" s="538" t="s">
        <v>2443</v>
      </c>
      <c r="F131" s="315">
        <v>0</v>
      </c>
      <c r="G131" s="325">
        <f t="shared" si="31"/>
        <v>0</v>
      </c>
      <c r="H131" s="322">
        <f t="shared" si="32"/>
        <v>0.9</v>
      </c>
      <c r="I131" s="322">
        <f t="shared" si="30"/>
        <v>0</v>
      </c>
      <c r="N131" s="658"/>
      <c r="O131" s="658"/>
      <c r="P131" s="658"/>
      <c r="Q131" s="658"/>
      <c r="R131" s="658"/>
      <c r="S131" s="658"/>
      <c r="T131" s="658"/>
      <c r="U131" s="658"/>
      <c r="V131" s="658"/>
      <c r="W131" s="658"/>
      <c r="X131" s="658"/>
      <c r="Y131" s="658"/>
      <c r="Z131" s="658"/>
      <c r="AA131" s="658"/>
      <c r="AB131" s="658"/>
      <c r="AC131" s="658"/>
      <c r="AD131" s="658"/>
      <c r="AE131" s="658"/>
      <c r="AF131" s="658"/>
      <c r="AG131" s="658"/>
      <c r="AH131" s="658"/>
      <c r="AI131" s="658"/>
      <c r="AJ131" s="658"/>
      <c r="AK131" s="658"/>
      <c r="AL131" s="658"/>
      <c r="AM131" s="658"/>
      <c r="AN131" s="658"/>
      <c r="AO131" s="658"/>
      <c r="AP131" s="658"/>
      <c r="AQ131" s="658"/>
      <c r="AR131" s="658"/>
      <c r="AS131" s="658"/>
      <c r="AT131" s="658"/>
      <c r="AU131" s="658"/>
      <c r="AV131" s="658"/>
      <c r="AW131" s="658"/>
      <c r="AX131" s="658"/>
      <c r="AY131" s="658"/>
      <c r="AZ131" s="658"/>
      <c r="BA131" s="658"/>
      <c r="BB131" s="658"/>
      <c r="BC131" s="658"/>
      <c r="BD131" s="658"/>
      <c r="BE131" s="658"/>
      <c r="BF131" s="658"/>
      <c r="BG131" s="658"/>
      <c r="BH131" s="658"/>
      <c r="BI131" s="658"/>
      <c r="BJ131" s="658"/>
      <c r="BK131" s="658"/>
      <c r="BL131" s="658"/>
      <c r="BM131" s="658"/>
      <c r="BN131" s="658"/>
      <c r="BO131" s="658"/>
      <c r="BP131" s="658"/>
    </row>
    <row r="132" spans="1:68" s="323" customFormat="1" ht="36">
      <c r="B132" s="539" t="s">
        <v>1022</v>
      </c>
      <c r="C132" s="440"/>
      <c r="D132" s="538" t="s">
        <v>2442</v>
      </c>
      <c r="E132" s="441"/>
      <c r="F132" s="315">
        <v>0</v>
      </c>
      <c r="H132" s="322"/>
      <c r="I132" s="322"/>
      <c r="J132" s="322"/>
      <c r="K132" s="322"/>
      <c r="N132" s="658"/>
      <c r="O132" s="658"/>
      <c r="P132" s="658"/>
      <c r="Q132" s="658"/>
      <c r="R132" s="658"/>
      <c r="S132" s="658"/>
      <c r="T132" s="658"/>
      <c r="U132" s="658"/>
      <c r="V132" s="658"/>
      <c r="W132" s="658"/>
      <c r="X132" s="658"/>
      <c r="Y132" s="658"/>
      <c r="Z132" s="658"/>
      <c r="AA132" s="658"/>
      <c r="AB132" s="658"/>
      <c r="AC132" s="658"/>
      <c r="AD132" s="658"/>
      <c r="AE132" s="658"/>
      <c r="AF132" s="658"/>
      <c r="AG132" s="658"/>
      <c r="AH132" s="658"/>
      <c r="AI132" s="658"/>
      <c r="AJ132" s="658"/>
      <c r="AK132" s="658"/>
      <c r="AL132" s="658"/>
      <c r="AM132" s="658"/>
      <c r="AN132" s="658"/>
      <c r="AO132" s="658"/>
      <c r="AP132" s="658"/>
      <c r="AQ132" s="658"/>
      <c r="AR132" s="658"/>
      <c r="AS132" s="658"/>
      <c r="AT132" s="658"/>
      <c r="AU132" s="658"/>
      <c r="AV132" s="658"/>
      <c r="AW132" s="658"/>
      <c r="AX132" s="658"/>
      <c r="AY132" s="658"/>
      <c r="AZ132" s="658"/>
      <c r="BA132" s="658"/>
      <c r="BB132" s="658"/>
      <c r="BC132" s="658"/>
      <c r="BD132" s="658"/>
      <c r="BE132" s="658"/>
      <c r="BF132" s="658"/>
      <c r="BG132" s="658"/>
      <c r="BH132" s="658"/>
      <c r="BI132" s="658"/>
      <c r="BJ132" s="658"/>
      <c r="BK132" s="658"/>
      <c r="BL132" s="658"/>
      <c r="BM132" s="658"/>
      <c r="BN132" s="658"/>
      <c r="BO132" s="658"/>
      <c r="BP132" s="658"/>
    </row>
    <row r="133" spans="1:68" s="347" customFormat="1">
      <c r="C133" s="553"/>
      <c r="D133" s="554"/>
      <c r="E133" s="441"/>
      <c r="F133" s="555"/>
      <c r="M133" s="347" t="s">
        <v>1612</v>
      </c>
      <c r="N133" s="514"/>
      <c r="P133" s="514"/>
      <c r="R133" s="514"/>
      <c r="T133" s="514"/>
      <c r="V133" s="514"/>
      <c r="X133" s="514"/>
      <c r="Z133" s="514"/>
      <c r="AB133" s="514"/>
      <c r="AD133" s="514"/>
      <c r="AF133" s="514"/>
      <c r="AH133" s="514"/>
      <c r="AJ133" s="514"/>
      <c r="AL133" s="514"/>
      <c r="AN133" s="514"/>
      <c r="AP133" s="514"/>
      <c r="AR133" s="514"/>
      <c r="AT133" s="514"/>
      <c r="AV133" s="514"/>
      <c r="AX133" s="514"/>
      <c r="AZ133" s="324"/>
      <c r="BB133" s="324"/>
      <c r="BD133" s="324"/>
      <c r="BF133" s="324"/>
      <c r="BH133" s="324"/>
      <c r="BJ133" s="324"/>
      <c r="BL133" s="324"/>
      <c r="BM133" s="322"/>
      <c r="BN133" s="324"/>
      <c r="BO133" s="322"/>
    </row>
    <row r="134" spans="1:68" ht="54">
      <c r="A134" s="524">
        <v>1</v>
      </c>
      <c r="B134" s="348" t="s">
        <v>240</v>
      </c>
      <c r="D134" s="529" t="s">
        <v>2635</v>
      </c>
      <c r="F134" s="318">
        <v>1</v>
      </c>
      <c r="G134" s="322">
        <f>F134</f>
        <v>1</v>
      </c>
      <c r="H134" s="322">
        <f>1-(G134/3)</f>
        <v>0.66666666666666674</v>
      </c>
      <c r="I134" s="330">
        <f>IF(G134&gt;2,1.5,IF(G134&lt;2.1,0.8,1.2))</f>
        <v>0.8</v>
      </c>
      <c r="J134" s="346" t="s">
        <v>1148</v>
      </c>
      <c r="K134" s="364">
        <f>1-((G134+G135+G143+G144+G145+G146+G152+G153)/17)</f>
        <v>0.82352941176470584</v>
      </c>
      <c r="L134" s="360"/>
      <c r="M134" s="360"/>
    </row>
    <row r="135" spans="1:68">
      <c r="A135" s="524">
        <v>1</v>
      </c>
      <c r="B135" s="348" t="s">
        <v>240</v>
      </c>
      <c r="D135" s="844" t="s">
        <v>2481</v>
      </c>
      <c r="F135" s="548">
        <v>0</v>
      </c>
      <c r="G135" s="324">
        <f>F135</f>
        <v>0</v>
      </c>
      <c r="I135" s="330">
        <f>IF(G135&gt;2,1.5,IF(G135&lt;2,0.8,1.2))</f>
        <v>0.8</v>
      </c>
      <c r="J135" s="330"/>
      <c r="K135" s="330"/>
      <c r="L135" s="360"/>
      <c r="M135" s="360"/>
      <c r="AJ135" s="514">
        <f>$I135</f>
        <v>0.8</v>
      </c>
      <c r="AM135" s="322">
        <f t="shared" ref="AM135:AM136" si="33">$I135</f>
        <v>0.8</v>
      </c>
    </row>
    <row r="136" spans="1:68">
      <c r="A136" s="524">
        <v>1</v>
      </c>
      <c r="B136" s="348"/>
      <c r="C136" s="440" t="s">
        <v>2242</v>
      </c>
      <c r="D136" s="844" t="s">
        <v>2480</v>
      </c>
      <c r="F136" s="548">
        <v>1</v>
      </c>
      <c r="G136" s="324">
        <f>F136</f>
        <v>1</v>
      </c>
      <c r="I136" s="330">
        <f>IF(G136&gt;2,1.5,IF(G136&lt;2,0.8,1.2))</f>
        <v>0.8</v>
      </c>
      <c r="J136" s="330"/>
      <c r="K136" s="330"/>
      <c r="L136" s="360"/>
      <c r="M136" s="360"/>
      <c r="AJ136" s="514">
        <f t="shared" ref="AJ136" si="34">$I136</f>
        <v>0.8</v>
      </c>
      <c r="AM136" s="322">
        <f t="shared" si="33"/>
        <v>0.8</v>
      </c>
    </row>
    <row r="137" spans="1:68">
      <c r="A137" s="524">
        <v>1</v>
      </c>
      <c r="B137" s="348" t="s">
        <v>240</v>
      </c>
      <c r="D137" s="541" t="s">
        <v>2479</v>
      </c>
      <c r="E137" s="441" t="s">
        <v>1520</v>
      </c>
      <c r="F137" s="548">
        <v>0</v>
      </c>
      <c r="G137" s="324">
        <f>IF(F137=1,1.2,1)</f>
        <v>1</v>
      </c>
      <c r="H137" s="324">
        <f>F137</f>
        <v>0</v>
      </c>
      <c r="J137" s="347" t="s">
        <v>1149</v>
      </c>
      <c r="K137" s="363">
        <f>1-((G135+G136+H138+H140+H141+G15+G162+G147)/8)</f>
        <v>0.5</v>
      </c>
      <c r="AJ137" s="516">
        <f>$K137</f>
        <v>0.5</v>
      </c>
      <c r="AM137" s="340">
        <f>$K137</f>
        <v>0.5</v>
      </c>
    </row>
    <row r="138" spans="1:68">
      <c r="A138" s="524">
        <v>1</v>
      </c>
      <c r="B138" s="348" t="s">
        <v>240</v>
      </c>
      <c r="C138" s="440" t="s">
        <v>2242</v>
      </c>
      <c r="D138" s="541" t="s">
        <v>2478</v>
      </c>
      <c r="E138" s="441" t="s">
        <v>1521</v>
      </c>
      <c r="F138" s="548">
        <v>0</v>
      </c>
      <c r="G138" s="324">
        <f t="shared" ref="G138:G142" si="35">IF(F138=1,1.2,1)</f>
        <v>1</v>
      </c>
      <c r="H138" s="324">
        <f t="shared" ref="H138:H142" si="36">F138</f>
        <v>0</v>
      </c>
    </row>
    <row r="139" spans="1:68">
      <c r="A139" s="524">
        <v>1</v>
      </c>
      <c r="B139" s="348" t="s">
        <v>240</v>
      </c>
      <c r="D139" s="541" t="s">
        <v>2477</v>
      </c>
      <c r="E139" s="441" t="s">
        <v>1522</v>
      </c>
      <c r="F139" s="548">
        <v>1</v>
      </c>
      <c r="G139" s="324">
        <f t="shared" si="35"/>
        <v>1.2</v>
      </c>
      <c r="H139" s="324">
        <f t="shared" si="36"/>
        <v>1</v>
      </c>
      <c r="J139" s="348" t="s">
        <v>1150</v>
      </c>
      <c r="K139" s="417">
        <f>SUM(H137,H138,H139,H140,H141,H142)/6</f>
        <v>0.5</v>
      </c>
      <c r="L139" s="326">
        <f>IF(K139&gt;0.79,2,(IF(K139&lt;0.66,0.8,1.2)))</f>
        <v>0.8</v>
      </c>
      <c r="AF139" s="938">
        <f>$L139</f>
        <v>0.8</v>
      </c>
      <c r="AK139" s="516">
        <f>$L139</f>
        <v>0.8</v>
      </c>
      <c r="AL139" s="516">
        <f>$L139</f>
        <v>0.8</v>
      </c>
    </row>
    <row r="140" spans="1:68">
      <c r="A140" s="524">
        <v>1</v>
      </c>
      <c r="B140" s="348" t="s">
        <v>240</v>
      </c>
      <c r="D140" s="541" t="s">
        <v>2476</v>
      </c>
      <c r="E140" s="441" t="s">
        <v>1523</v>
      </c>
      <c r="F140" s="548">
        <v>0</v>
      </c>
      <c r="G140" s="324">
        <f t="shared" si="35"/>
        <v>1</v>
      </c>
      <c r="H140" s="324">
        <f t="shared" si="36"/>
        <v>0</v>
      </c>
    </row>
    <row r="141" spans="1:68">
      <c r="A141" s="524">
        <v>1</v>
      </c>
      <c r="B141" s="348" t="s">
        <v>240</v>
      </c>
      <c r="D141" s="541" t="s">
        <v>2475</v>
      </c>
      <c r="E141" s="441" t="s">
        <v>1524</v>
      </c>
      <c r="F141" s="548">
        <v>1</v>
      </c>
      <c r="G141" s="324">
        <f t="shared" si="35"/>
        <v>1.2</v>
      </c>
      <c r="H141" s="324">
        <f t="shared" si="36"/>
        <v>1</v>
      </c>
      <c r="J141" s="322" t="s">
        <v>2659</v>
      </c>
      <c r="K141" s="322">
        <f>(F134+F166+F167)/9</f>
        <v>0.1111111111111111</v>
      </c>
    </row>
    <row r="142" spans="1:68">
      <c r="A142" s="524">
        <v>1</v>
      </c>
      <c r="B142" s="348" t="s">
        <v>240</v>
      </c>
      <c r="D142" s="541" t="s">
        <v>2474</v>
      </c>
      <c r="E142" s="441" t="s">
        <v>1525</v>
      </c>
      <c r="F142" s="548">
        <v>1</v>
      </c>
      <c r="G142" s="324">
        <f t="shared" si="35"/>
        <v>1.2</v>
      </c>
      <c r="H142" s="324">
        <f t="shared" si="36"/>
        <v>1</v>
      </c>
      <c r="J142" s="322" t="s">
        <v>2656</v>
      </c>
      <c r="K142" s="322">
        <f>(F143+(F98*3)+(F159*3))/9</f>
        <v>0</v>
      </c>
    </row>
    <row r="143" spans="1:68" ht="54">
      <c r="A143" s="524">
        <v>1</v>
      </c>
      <c r="B143" s="348" t="s">
        <v>240</v>
      </c>
      <c r="D143" s="529" t="s">
        <v>2636</v>
      </c>
      <c r="E143" s="441" t="s">
        <v>1526</v>
      </c>
      <c r="F143" s="318">
        <v>0</v>
      </c>
      <c r="G143" s="322">
        <f>F143</f>
        <v>0</v>
      </c>
      <c r="H143" s="322">
        <f t="shared" ref="H143:H145" si="37">1-(G143/3)</f>
        <v>1</v>
      </c>
      <c r="I143" s="330">
        <f>IF(G143&gt;2,1.5,IF(G143&lt;2.1,0.8,1.2))</f>
        <v>0.8</v>
      </c>
      <c r="J143" s="330" t="s">
        <v>2657</v>
      </c>
      <c r="K143" s="330">
        <f>(F144+(F160*3)+(F161*3)+(F165*3)+(F169*3))/15</f>
        <v>6.6666666666666666E-2</v>
      </c>
      <c r="R143" s="514">
        <f>$I143</f>
        <v>0.8</v>
      </c>
    </row>
    <row r="144" spans="1:68" ht="54">
      <c r="A144" s="524">
        <v>1</v>
      </c>
      <c r="B144" s="348" t="s">
        <v>240</v>
      </c>
      <c r="D144" s="529" t="s">
        <v>2637</v>
      </c>
      <c r="E144" s="441" t="s">
        <v>1527</v>
      </c>
      <c r="F144" s="318">
        <v>1</v>
      </c>
      <c r="G144" s="322">
        <f t="shared" ref="G144:G146" si="38">F144</f>
        <v>1</v>
      </c>
      <c r="H144" s="322">
        <f t="shared" si="37"/>
        <v>0.66666666666666674</v>
      </c>
      <c r="I144" s="330">
        <f t="shared" ref="I144:I146" si="39">IF(G144&gt;2,1.5,IF(G144&lt;2.1,0.8,1.2))</f>
        <v>0.8</v>
      </c>
      <c r="J144" s="322" t="s">
        <v>2658</v>
      </c>
      <c r="K144" s="322">
        <f>(F145+(F157*3)+(F173*3))/9</f>
        <v>0</v>
      </c>
      <c r="AB144" s="514">
        <f>$I144</f>
        <v>0.8</v>
      </c>
      <c r="BA144" s="514">
        <f>$I144</f>
        <v>0.8</v>
      </c>
    </row>
    <row r="145" spans="1:67" ht="54">
      <c r="A145" s="524">
        <v>1</v>
      </c>
      <c r="B145" s="348" t="s">
        <v>240</v>
      </c>
      <c r="D145" s="529" t="s">
        <v>2638</v>
      </c>
      <c r="E145" s="441" t="s">
        <v>1528</v>
      </c>
      <c r="F145" s="318">
        <v>0</v>
      </c>
      <c r="G145" s="322">
        <f t="shared" si="38"/>
        <v>0</v>
      </c>
      <c r="H145" s="322">
        <f t="shared" si="37"/>
        <v>1</v>
      </c>
      <c r="I145" s="330">
        <f t="shared" si="39"/>
        <v>0.8</v>
      </c>
      <c r="J145" s="322" t="s">
        <v>2660</v>
      </c>
      <c r="K145" s="322">
        <f>(F146+(F155*3)+(F162*3)+(F164*3)+(F170*3)+(F171*3)+(F172*3)+(F174*3))/24</f>
        <v>0.125</v>
      </c>
      <c r="AU145" s="514">
        <f>$I145</f>
        <v>0.8</v>
      </c>
      <c r="AV145" s="514">
        <f>$I145</f>
        <v>0.8</v>
      </c>
    </row>
    <row r="146" spans="1:67" ht="54">
      <c r="A146" s="524">
        <v>1</v>
      </c>
      <c r="B146" s="348" t="s">
        <v>240</v>
      </c>
      <c r="D146" s="529" t="s">
        <v>2322</v>
      </c>
      <c r="E146" s="441" t="s">
        <v>1529</v>
      </c>
      <c r="F146" s="318">
        <v>0</v>
      </c>
      <c r="G146" s="322">
        <f t="shared" si="38"/>
        <v>0</v>
      </c>
      <c r="H146" s="322">
        <f>1-(G146/3)</f>
        <v>1</v>
      </c>
      <c r="I146" s="330">
        <f t="shared" si="39"/>
        <v>0.8</v>
      </c>
      <c r="J146" s="322" t="s">
        <v>2661</v>
      </c>
      <c r="K146" s="322">
        <f>IF(F152=1,0.5,1)</f>
        <v>1</v>
      </c>
      <c r="AJ146" s="514">
        <f>$I146</f>
        <v>0.8</v>
      </c>
      <c r="AM146" s="514">
        <f>$I146</f>
        <v>0.8</v>
      </c>
    </row>
    <row r="147" spans="1:67" s="323" customFormat="1" ht="54">
      <c r="A147" s="524">
        <v>1</v>
      </c>
      <c r="B147" s="348" t="s">
        <v>240</v>
      </c>
      <c r="C147" s="440"/>
      <c r="D147" s="529" t="s">
        <v>2473</v>
      </c>
      <c r="E147" s="441"/>
      <c r="F147" s="319">
        <v>2</v>
      </c>
      <c r="G147" s="322">
        <f>IF(F147=2,1,0)</f>
        <v>1</v>
      </c>
      <c r="H147" s="322">
        <f>1-(G147/3)</f>
        <v>0.66666666666666674</v>
      </c>
      <c r="I147" s="322"/>
      <c r="J147" s="322" t="s">
        <v>2662</v>
      </c>
      <c r="K147" s="322">
        <f>IF(F153=1,0.5,1)</f>
        <v>1</v>
      </c>
      <c r="N147" s="514"/>
      <c r="O147" s="322"/>
      <c r="P147" s="514"/>
      <c r="Q147" s="322"/>
      <c r="R147" s="514"/>
      <c r="S147" s="322"/>
      <c r="T147" s="514"/>
      <c r="U147" s="322"/>
      <c r="V147" s="514"/>
      <c r="W147" s="322"/>
      <c r="X147" s="514"/>
      <c r="Y147" s="322"/>
      <c r="Z147" s="514"/>
      <c r="AA147" s="322"/>
      <c r="AB147" s="514"/>
      <c r="AC147" s="322"/>
      <c r="AD147" s="514"/>
      <c r="AE147" s="322"/>
      <c r="AF147" s="514"/>
      <c r="AG147" s="322"/>
      <c r="AH147" s="514"/>
      <c r="AI147" s="322"/>
      <c r="AJ147" s="514"/>
      <c r="AK147" s="322"/>
      <c r="AL147" s="514"/>
      <c r="AM147" s="322"/>
      <c r="AN147" s="514"/>
      <c r="AO147" s="322"/>
      <c r="AP147" s="514"/>
      <c r="AQ147" s="322"/>
      <c r="AR147" s="514"/>
      <c r="AS147" s="322"/>
      <c r="AT147" s="514"/>
      <c r="AU147" s="322"/>
      <c r="AV147" s="514"/>
      <c r="AW147" s="322"/>
      <c r="AX147" s="514"/>
      <c r="AY147" s="322"/>
      <c r="AZ147" s="324"/>
      <c r="BA147" s="322"/>
      <c r="BB147" s="324"/>
      <c r="BC147" s="322"/>
      <c r="BD147" s="324"/>
      <c r="BE147" s="322"/>
      <c r="BF147" s="324"/>
      <c r="BG147" s="322"/>
      <c r="BH147" s="324"/>
      <c r="BI147" s="322"/>
      <c r="BJ147" s="324"/>
      <c r="BK147" s="322"/>
      <c r="BL147" s="324"/>
      <c r="BM147" s="322"/>
      <c r="BN147" s="324"/>
      <c r="BO147" s="322"/>
    </row>
    <row r="148" spans="1:67" s="521" customFormat="1">
      <c r="C148" s="519"/>
      <c r="D148" s="542"/>
      <c r="E148" s="441"/>
      <c r="F148" s="520"/>
      <c r="M148" s="519" t="s">
        <v>1613</v>
      </c>
      <c r="N148" s="514"/>
      <c r="P148" s="514"/>
      <c r="R148" s="514"/>
      <c r="T148" s="514"/>
      <c r="V148" s="514"/>
      <c r="X148" s="514"/>
      <c r="Z148" s="514"/>
      <c r="AB148" s="514"/>
      <c r="AD148" s="514"/>
      <c r="AF148" s="514"/>
      <c r="AH148" s="514"/>
      <c r="AJ148" s="514"/>
      <c r="AL148" s="514"/>
      <c r="AN148" s="514"/>
      <c r="AP148" s="514"/>
      <c r="AR148" s="514"/>
      <c r="AT148" s="514"/>
      <c r="AV148" s="514"/>
      <c r="AX148" s="514"/>
      <c r="AZ148" s="324"/>
      <c r="BB148" s="324"/>
      <c r="BD148" s="324"/>
      <c r="BF148" s="324"/>
      <c r="BH148" s="324"/>
      <c r="BJ148" s="324"/>
      <c r="BL148" s="324"/>
      <c r="BM148" s="322"/>
      <c r="BN148" s="324"/>
      <c r="BO148" s="322"/>
    </row>
    <row r="149" spans="1:67">
      <c r="B149" s="543" t="s">
        <v>1023</v>
      </c>
      <c r="D149" s="328" t="s">
        <v>2482</v>
      </c>
      <c r="F149" s="548">
        <v>0</v>
      </c>
      <c r="G149" s="324">
        <f>IF(F149=1,2,0)</f>
        <v>0</v>
      </c>
      <c r="H149" s="324">
        <f>IF(G149=1,1.2,0.8)</f>
        <v>0.8</v>
      </c>
      <c r="J149" s="24" t="s">
        <v>1151</v>
      </c>
      <c r="K149" s="349">
        <f>1-(SUM(G149:G169,G172,G173)/28)</f>
        <v>0.8928571428571429</v>
      </c>
    </row>
    <row r="150" spans="1:67">
      <c r="A150" s="524">
        <v>1</v>
      </c>
      <c r="B150" s="543" t="s">
        <v>1023</v>
      </c>
      <c r="D150" s="328" t="s">
        <v>2483</v>
      </c>
      <c r="E150" s="441" t="s">
        <v>1530</v>
      </c>
      <c r="F150" s="548">
        <v>0</v>
      </c>
      <c r="G150" s="324">
        <f>IF(F150=1,2,0)</f>
        <v>0</v>
      </c>
      <c r="H150" s="324">
        <f>IF(G150=1,1.2,0.8)</f>
        <v>0.8</v>
      </c>
      <c r="AF150" s="514">
        <f>H150</f>
        <v>0.8</v>
      </c>
      <c r="AW150" s="322">
        <f t="shared" ref="AW150:AX150" si="40">$H150</f>
        <v>0.8</v>
      </c>
      <c r="AX150" s="514">
        <f t="shared" si="40"/>
        <v>0.8</v>
      </c>
    </row>
    <row r="151" spans="1:67">
      <c r="A151" s="524">
        <v>1</v>
      </c>
      <c r="B151" s="543" t="s">
        <v>1023</v>
      </c>
      <c r="D151" s="328" t="s">
        <v>2484</v>
      </c>
      <c r="E151" s="441" t="s">
        <v>1531</v>
      </c>
      <c r="F151" s="548">
        <v>1</v>
      </c>
      <c r="G151" s="326">
        <f>F151</f>
        <v>1</v>
      </c>
      <c r="H151" s="324">
        <f t="shared" ref="H151:H174" si="41">IF(G151=1,1.2,0.8)</f>
        <v>1.2</v>
      </c>
      <c r="J151" s="544"/>
      <c r="AX151" s="514">
        <f>$H151</f>
        <v>1.2</v>
      </c>
      <c r="BH151" s="324">
        <f>$H151</f>
        <v>1.2</v>
      </c>
    </row>
    <row r="152" spans="1:67">
      <c r="B152" s="543" t="s">
        <v>1023</v>
      </c>
      <c r="D152" s="328" t="s">
        <v>2485</v>
      </c>
      <c r="E152" s="441" t="s">
        <v>1532</v>
      </c>
      <c r="F152" s="548">
        <v>0</v>
      </c>
      <c r="G152" s="326">
        <f>IF(F152=1,1.5,0.5)</f>
        <v>0.5</v>
      </c>
      <c r="H152" s="324">
        <f t="shared" si="41"/>
        <v>0.8</v>
      </c>
      <c r="J152" s="149"/>
    </row>
    <row r="153" spans="1:67" ht="36">
      <c r="B153" s="543" t="s">
        <v>1023</v>
      </c>
      <c r="D153" s="834" t="s">
        <v>2486</v>
      </c>
      <c r="E153" s="441" t="s">
        <v>1533</v>
      </c>
      <c r="F153" s="548">
        <v>0</v>
      </c>
      <c r="G153" s="326">
        <f>IF(F153=1,1.5,0.5)</f>
        <v>0.5</v>
      </c>
      <c r="H153" s="324">
        <f t="shared" si="41"/>
        <v>0.8</v>
      </c>
      <c r="J153" s="322" t="s">
        <v>2353</v>
      </c>
      <c r="K153" s="322">
        <f>(MAX(J235,G152)+G153)</f>
        <v>2</v>
      </c>
    </row>
    <row r="154" spans="1:67">
      <c r="B154" s="543" t="s">
        <v>1023</v>
      </c>
      <c r="D154" s="328" t="s">
        <v>2487</v>
      </c>
      <c r="E154" s="441" t="s">
        <v>1534</v>
      </c>
      <c r="F154" s="548">
        <v>0</v>
      </c>
      <c r="G154" s="326">
        <f>F154</f>
        <v>0</v>
      </c>
      <c r="H154" s="324">
        <f t="shared" si="41"/>
        <v>0.8</v>
      </c>
      <c r="I154" s="330"/>
      <c r="J154" s="149"/>
    </row>
    <row r="155" spans="1:67">
      <c r="B155" s="543" t="s">
        <v>1023</v>
      </c>
      <c r="D155" s="328" t="s">
        <v>2488</v>
      </c>
      <c r="E155" s="441" t="s">
        <v>1535</v>
      </c>
      <c r="F155" s="548">
        <v>0</v>
      </c>
      <c r="G155" s="326">
        <f>F155</f>
        <v>0</v>
      </c>
      <c r="H155" s="324">
        <f t="shared" si="41"/>
        <v>0.8</v>
      </c>
      <c r="J155" s="149"/>
      <c r="AO155" s="322">
        <f>$H155</f>
        <v>0.8</v>
      </c>
    </row>
    <row r="156" spans="1:67">
      <c r="A156" s="524"/>
      <c r="B156" s="543" t="s">
        <v>1023</v>
      </c>
      <c r="D156" s="328" t="s">
        <v>2489</v>
      </c>
      <c r="E156" s="441" t="s">
        <v>1536</v>
      </c>
      <c r="F156" s="548">
        <v>0</v>
      </c>
      <c r="G156" s="326">
        <f>F156</f>
        <v>0</v>
      </c>
      <c r="H156" s="324">
        <f t="shared" si="41"/>
        <v>0.8</v>
      </c>
      <c r="J156" s="149"/>
      <c r="P156" s="514">
        <f>$H156</f>
        <v>0.8</v>
      </c>
    </row>
    <row r="157" spans="1:67" ht="36">
      <c r="A157" s="524"/>
      <c r="B157" s="543" t="s">
        <v>1023</v>
      </c>
      <c r="D157" s="834" t="s">
        <v>2490</v>
      </c>
      <c r="F157" s="548">
        <v>0</v>
      </c>
      <c r="G157" s="326">
        <f>F157</f>
        <v>0</v>
      </c>
      <c r="H157" s="324">
        <f t="shared" si="41"/>
        <v>0.8</v>
      </c>
      <c r="J157" s="149"/>
      <c r="AU157" s="322">
        <f>$H157</f>
        <v>0.8</v>
      </c>
      <c r="AV157" s="514">
        <f>$H157</f>
        <v>0.8</v>
      </c>
    </row>
    <row r="158" spans="1:67">
      <c r="A158" s="524">
        <v>1</v>
      </c>
      <c r="B158" s="543" t="s">
        <v>1023</v>
      </c>
      <c r="D158" s="328" t="s">
        <v>2491</v>
      </c>
      <c r="F158" s="548">
        <v>0</v>
      </c>
      <c r="G158" s="326">
        <f t="shared" ref="G158:G165" si="42">F158</f>
        <v>0</v>
      </c>
      <c r="H158" s="324">
        <f t="shared" si="41"/>
        <v>0.8</v>
      </c>
      <c r="J158" s="149"/>
      <c r="AF158" s="514">
        <f>H158</f>
        <v>0.8</v>
      </c>
    </row>
    <row r="159" spans="1:67">
      <c r="A159" s="524">
        <v>1</v>
      </c>
      <c r="B159" s="543" t="s">
        <v>1023</v>
      </c>
      <c r="C159" s="442"/>
      <c r="D159" s="834" t="s">
        <v>2492</v>
      </c>
      <c r="F159" s="548">
        <v>0</v>
      </c>
      <c r="G159" s="326">
        <f t="shared" si="42"/>
        <v>0</v>
      </c>
      <c r="H159" s="324">
        <f t="shared" si="41"/>
        <v>0.8</v>
      </c>
      <c r="I159" s="316"/>
      <c r="J159" s="514" t="s">
        <v>2343</v>
      </c>
      <c r="K159" s="515">
        <f>1-((G174+G171+I170+G162+G135+G146+G155+G164)/12)</f>
        <v>0.75</v>
      </c>
      <c r="T159" s="514">
        <f>$H159</f>
        <v>0.8</v>
      </c>
      <c r="U159" s="322">
        <f>$H159</f>
        <v>0.8</v>
      </c>
    </row>
    <row r="160" spans="1:67">
      <c r="A160" s="524">
        <v>1</v>
      </c>
      <c r="B160" s="543" t="s">
        <v>1023</v>
      </c>
      <c r="C160" s="442"/>
      <c r="D160" s="328" t="s">
        <v>2493</v>
      </c>
      <c r="F160" s="548">
        <v>0</v>
      </c>
      <c r="G160" s="326">
        <f t="shared" si="42"/>
        <v>0</v>
      </c>
      <c r="H160" s="324">
        <f t="shared" si="41"/>
        <v>0.8</v>
      </c>
      <c r="J160" s="149"/>
      <c r="AB160" s="514">
        <f>$H160</f>
        <v>0.8</v>
      </c>
      <c r="BA160" s="322">
        <f>$H160</f>
        <v>0.8</v>
      </c>
    </row>
    <row r="161" spans="1:54" ht="36">
      <c r="A161" s="524">
        <v>1</v>
      </c>
      <c r="B161" s="543" t="s">
        <v>1023</v>
      </c>
      <c r="C161" s="442"/>
      <c r="D161" s="328" t="s">
        <v>2494</v>
      </c>
      <c r="F161" s="548">
        <v>0</v>
      </c>
      <c r="G161" s="326">
        <f t="shared" si="42"/>
        <v>0</v>
      </c>
      <c r="H161" s="324">
        <f t="shared" si="41"/>
        <v>0.8</v>
      </c>
      <c r="J161" s="149"/>
      <c r="X161" s="514">
        <f>$H161</f>
        <v>0.8</v>
      </c>
      <c r="Y161" s="322">
        <f>$H161</f>
        <v>0.8</v>
      </c>
      <c r="AB161" s="514">
        <f>$H161</f>
        <v>0.8</v>
      </c>
      <c r="BA161" s="322">
        <f>$H161</f>
        <v>0.8</v>
      </c>
    </row>
    <row r="162" spans="1:54" ht="36">
      <c r="A162" s="524">
        <v>1</v>
      </c>
      <c r="B162" s="543" t="s">
        <v>1023</v>
      </c>
      <c r="C162" s="442"/>
      <c r="D162" s="328" t="s">
        <v>2495</v>
      </c>
      <c r="F162" s="548">
        <v>0</v>
      </c>
      <c r="G162" s="326">
        <f t="shared" si="42"/>
        <v>0</v>
      </c>
      <c r="H162" s="324">
        <f t="shared" si="41"/>
        <v>0.8</v>
      </c>
      <c r="P162" s="514">
        <f>$H162</f>
        <v>0.8</v>
      </c>
    </row>
    <row r="163" spans="1:54" ht="36">
      <c r="A163" s="524">
        <v>1</v>
      </c>
      <c r="B163" s="543" t="s">
        <v>1023</v>
      </c>
      <c r="C163" s="442"/>
      <c r="D163" s="328" t="s">
        <v>2496</v>
      </c>
      <c r="F163" s="548">
        <v>0</v>
      </c>
      <c r="G163" s="326">
        <f t="shared" si="42"/>
        <v>0</v>
      </c>
      <c r="H163" s="324">
        <f t="shared" si="41"/>
        <v>0.8</v>
      </c>
    </row>
    <row r="164" spans="1:54">
      <c r="A164" s="524">
        <v>1</v>
      </c>
      <c r="B164" s="543" t="s">
        <v>1023</v>
      </c>
      <c r="D164" s="328" t="s">
        <v>2497</v>
      </c>
      <c r="F164" s="548">
        <v>0</v>
      </c>
      <c r="G164" s="326">
        <f t="shared" si="42"/>
        <v>0</v>
      </c>
      <c r="H164" s="324">
        <f t="shared" si="41"/>
        <v>0.8</v>
      </c>
      <c r="J164" s="622" t="s">
        <v>1922</v>
      </c>
      <c r="K164" s="322">
        <f>MAX(H155,H164,IF(F4&gt;75,1.1,0.8))</f>
        <v>0.8</v>
      </c>
      <c r="AO164" s="322">
        <f>$H164</f>
        <v>0.8</v>
      </c>
    </row>
    <row r="165" spans="1:54" ht="36">
      <c r="A165" s="524">
        <v>1</v>
      </c>
      <c r="B165" s="543" t="s">
        <v>1023</v>
      </c>
      <c r="D165" s="328" t="s">
        <v>2498</v>
      </c>
      <c r="F165" s="548">
        <v>0</v>
      </c>
      <c r="G165" s="326">
        <f t="shared" si="42"/>
        <v>0</v>
      </c>
      <c r="H165" s="324">
        <f t="shared" si="41"/>
        <v>0.8</v>
      </c>
      <c r="Z165" s="514">
        <f>$H165</f>
        <v>0.8</v>
      </c>
      <c r="AA165" s="322">
        <f>$H165</f>
        <v>0.8</v>
      </c>
      <c r="BB165" s="324">
        <f>$H165</f>
        <v>0.8</v>
      </c>
    </row>
    <row r="166" spans="1:54" ht="36">
      <c r="A166" s="524">
        <v>1</v>
      </c>
      <c r="B166" s="543" t="s">
        <v>1023</v>
      </c>
      <c r="D166" s="328" t="s">
        <v>2639</v>
      </c>
      <c r="E166" s="441" t="s">
        <v>1537</v>
      </c>
      <c r="F166" s="318">
        <v>0</v>
      </c>
      <c r="G166" s="322">
        <f t="shared" ref="G166:G167" si="43">F166</f>
        <v>0</v>
      </c>
      <c r="H166" s="324">
        <f t="shared" si="41"/>
        <v>0.8</v>
      </c>
      <c r="I166" s="330"/>
      <c r="J166" s="330"/>
      <c r="K166" s="330"/>
      <c r="L166" s="360"/>
      <c r="M166" s="360"/>
      <c r="Q166" s="322">
        <f>$H166</f>
        <v>0.8</v>
      </c>
    </row>
    <row r="167" spans="1:54" ht="36">
      <c r="A167" s="524">
        <v>1</v>
      </c>
      <c r="B167" s="543" t="s">
        <v>1023</v>
      </c>
      <c r="D167" s="328" t="s">
        <v>2640</v>
      </c>
      <c r="E167" s="441" t="s">
        <v>1538</v>
      </c>
      <c r="F167" s="318">
        <v>0</v>
      </c>
      <c r="G167" s="322">
        <f t="shared" si="43"/>
        <v>0</v>
      </c>
      <c r="H167" s="324">
        <f t="shared" si="41"/>
        <v>0.8</v>
      </c>
      <c r="I167" s="330"/>
      <c r="J167" s="330"/>
      <c r="K167" s="330"/>
      <c r="L167" s="360"/>
      <c r="M167" s="360"/>
      <c r="O167" s="322">
        <f>$H167</f>
        <v>0.8</v>
      </c>
    </row>
    <row r="168" spans="1:54" ht="36">
      <c r="A168" s="524">
        <v>1</v>
      </c>
      <c r="B168" s="543" t="s">
        <v>1023</v>
      </c>
      <c r="D168" s="328" t="s">
        <v>2499</v>
      </c>
      <c r="F168" s="548">
        <v>1</v>
      </c>
      <c r="G168" s="326">
        <f>F168</f>
        <v>1</v>
      </c>
      <c r="H168" s="324">
        <f t="shared" si="41"/>
        <v>1.2</v>
      </c>
    </row>
    <row r="169" spans="1:54">
      <c r="A169" s="524">
        <v>1</v>
      </c>
      <c r="B169" s="543" t="s">
        <v>1023</v>
      </c>
      <c r="D169" s="328" t="s">
        <v>2500</v>
      </c>
      <c r="F169" s="548">
        <v>0</v>
      </c>
      <c r="G169" s="326">
        <f t="shared" ref="G169:G174" si="44">F169</f>
        <v>0</v>
      </c>
      <c r="H169" s="324">
        <f t="shared" si="41"/>
        <v>0.8</v>
      </c>
    </row>
    <row r="170" spans="1:54">
      <c r="B170" s="543" t="s">
        <v>1023</v>
      </c>
      <c r="D170" s="835" t="s">
        <v>2501</v>
      </c>
      <c r="F170" s="548">
        <v>1</v>
      </c>
      <c r="G170" s="326">
        <f t="shared" si="44"/>
        <v>1</v>
      </c>
      <c r="H170" s="324">
        <f>IF(G170=1,2,0.8)</f>
        <v>2</v>
      </c>
      <c r="I170" s="322">
        <f>IF(F170=1,3,0)</f>
        <v>3</v>
      </c>
      <c r="AJ170" s="514">
        <f>$H170</f>
        <v>2</v>
      </c>
      <c r="AM170" s="322">
        <f>$H170</f>
        <v>2</v>
      </c>
    </row>
    <row r="171" spans="1:54">
      <c r="B171" s="543" t="s">
        <v>1023</v>
      </c>
      <c r="D171" s="835" t="s">
        <v>2502</v>
      </c>
      <c r="F171" s="548">
        <v>0</v>
      </c>
      <c r="G171" s="326">
        <f t="shared" si="44"/>
        <v>0</v>
      </c>
      <c r="H171" s="324">
        <f t="shared" si="41"/>
        <v>0.8</v>
      </c>
      <c r="AJ171" s="514">
        <f>$H171</f>
        <v>0.8</v>
      </c>
      <c r="AM171" s="322">
        <f>$H171</f>
        <v>0.8</v>
      </c>
    </row>
    <row r="172" spans="1:54" ht="36">
      <c r="B172" s="543" t="s">
        <v>1023</v>
      </c>
      <c r="D172" s="835" t="s">
        <v>2503</v>
      </c>
      <c r="F172" s="548">
        <v>0</v>
      </c>
      <c r="G172" s="326">
        <f t="shared" si="44"/>
        <v>0</v>
      </c>
      <c r="H172" s="324">
        <f t="shared" si="41"/>
        <v>0.8</v>
      </c>
      <c r="AN172" s="514">
        <f>$H172</f>
        <v>0.8</v>
      </c>
    </row>
    <row r="173" spans="1:54" ht="36">
      <c r="A173" s="524">
        <v>1</v>
      </c>
      <c r="B173" s="543" t="s">
        <v>1023</v>
      </c>
      <c r="D173" s="835" t="s">
        <v>2504</v>
      </c>
      <c r="F173" s="548">
        <v>0</v>
      </c>
      <c r="G173" s="326">
        <f t="shared" si="44"/>
        <v>0</v>
      </c>
      <c r="H173" s="324">
        <f t="shared" si="41"/>
        <v>0.8</v>
      </c>
      <c r="AD173" s="514">
        <f>$H173</f>
        <v>0.8</v>
      </c>
      <c r="AE173" s="322">
        <f>$H173</f>
        <v>0.8</v>
      </c>
      <c r="AF173" s="514">
        <f>$H173</f>
        <v>0.8</v>
      </c>
    </row>
    <row r="174" spans="1:54">
      <c r="B174" s="543" t="s">
        <v>1023</v>
      </c>
      <c r="D174" s="836" t="s">
        <v>2505</v>
      </c>
      <c r="F174" s="548">
        <v>0</v>
      </c>
      <c r="G174" s="326">
        <f t="shared" si="44"/>
        <v>0</v>
      </c>
      <c r="H174" s="324">
        <f t="shared" si="41"/>
        <v>0.8</v>
      </c>
      <c r="AJ174" s="514">
        <f>$H174</f>
        <v>0.8</v>
      </c>
      <c r="AM174" s="322">
        <f>$H174</f>
        <v>0.8</v>
      </c>
    </row>
    <row r="175" spans="1:54">
      <c r="C175" s="817"/>
      <c r="D175" s="845"/>
      <c r="E175" s="817"/>
      <c r="F175" s="332"/>
    </row>
    <row r="176" spans="1:54">
      <c r="B176" s="345" t="s">
        <v>1022</v>
      </c>
      <c r="D176" s="846" t="s">
        <v>2506</v>
      </c>
      <c r="F176" s="548">
        <v>0</v>
      </c>
    </row>
    <row r="177" spans="1:67">
      <c r="A177" s="524">
        <v>1</v>
      </c>
      <c r="B177" s="527" t="s">
        <v>1019</v>
      </c>
      <c r="D177" s="837" t="s">
        <v>2507</v>
      </c>
      <c r="F177" s="548">
        <v>0</v>
      </c>
      <c r="G177" s="326">
        <f>F177</f>
        <v>0</v>
      </c>
    </row>
    <row r="178" spans="1:67" ht="36">
      <c r="A178" s="524">
        <v>1</v>
      </c>
      <c r="B178" s="527" t="s">
        <v>1019</v>
      </c>
      <c r="D178" s="837" t="s">
        <v>2508</v>
      </c>
      <c r="F178" s="548">
        <v>0</v>
      </c>
      <c r="G178" s="326">
        <f>F178</f>
        <v>0</v>
      </c>
    </row>
    <row r="179" spans="1:67">
      <c r="B179" s="339" t="s">
        <v>1133</v>
      </c>
      <c r="C179" s="440" t="s">
        <v>2228</v>
      </c>
      <c r="D179" s="838" t="s">
        <v>2509</v>
      </c>
      <c r="F179" s="315">
        <v>1</v>
      </c>
      <c r="G179" s="326">
        <f>IF(F179=1,0,1)</f>
        <v>0</v>
      </c>
    </row>
    <row r="180" spans="1:67" ht="36">
      <c r="B180" s="339" t="s">
        <v>1133</v>
      </c>
      <c r="D180" s="838" t="s">
        <v>2510</v>
      </c>
      <c r="F180" s="548">
        <v>0</v>
      </c>
      <c r="G180" s="326">
        <f>F180</f>
        <v>0</v>
      </c>
      <c r="AE180" s="1027"/>
      <c r="BH180" s="324">
        <f>$I$251</f>
        <v>0</v>
      </c>
      <c r="BL180" s="324">
        <f>$I$251</f>
        <v>0</v>
      </c>
    </row>
    <row r="181" spans="1:67">
      <c r="C181" s="817"/>
      <c r="D181" s="845"/>
      <c r="E181" s="817"/>
      <c r="F181" s="332"/>
      <c r="L181" s="325" t="s">
        <v>1674</v>
      </c>
      <c r="M181" s="325"/>
      <c r="N181" s="325">
        <f t="shared" ref="N181:AB181" si="45">MAX(N2:N174)</f>
        <v>0.9</v>
      </c>
      <c r="O181" s="339">
        <f t="shared" si="45"/>
        <v>0.8</v>
      </c>
      <c r="P181" s="339">
        <f t="shared" si="45"/>
        <v>0.8</v>
      </c>
      <c r="Q181" s="325">
        <f t="shared" si="45"/>
        <v>0.8</v>
      </c>
      <c r="R181" s="325">
        <f t="shared" si="45"/>
        <v>1.2</v>
      </c>
      <c r="S181" s="339">
        <f t="shared" si="45"/>
        <v>1.5</v>
      </c>
      <c r="T181" s="325">
        <f t="shared" si="45"/>
        <v>1.2</v>
      </c>
      <c r="U181" s="325">
        <f t="shared" si="45"/>
        <v>1.2</v>
      </c>
      <c r="V181" s="325">
        <f t="shared" si="45"/>
        <v>1.2</v>
      </c>
      <c r="W181" s="325">
        <f t="shared" si="45"/>
        <v>1.2</v>
      </c>
      <c r="X181" s="325">
        <f t="shared" si="45"/>
        <v>1.2</v>
      </c>
      <c r="Y181" s="325">
        <f t="shared" si="45"/>
        <v>1.2</v>
      </c>
      <c r="Z181" s="325">
        <f t="shared" si="45"/>
        <v>0.8</v>
      </c>
      <c r="AA181" s="325">
        <f t="shared" si="45"/>
        <v>1.2</v>
      </c>
      <c r="AB181" s="325">
        <f t="shared" si="45"/>
        <v>0.8</v>
      </c>
      <c r="AC181" s="325">
        <v>1</v>
      </c>
      <c r="AD181" s="326">
        <f t="shared" ref="AD181:BO181" si="46">MAX(AD2:AD174)</f>
        <v>0.8</v>
      </c>
      <c r="AE181" s="326">
        <f t="shared" si="46"/>
        <v>1.2</v>
      </c>
      <c r="AF181" s="339">
        <f t="shared" si="46"/>
        <v>1.2</v>
      </c>
      <c r="AG181" s="325">
        <f>MEDIAN(AG2:AG174)</f>
        <v>1.2</v>
      </c>
      <c r="AH181" s="339">
        <f t="shared" si="46"/>
        <v>1</v>
      </c>
      <c r="AI181" s="325">
        <f t="shared" si="46"/>
        <v>0.9</v>
      </c>
      <c r="AJ181" s="325">
        <f t="shared" si="46"/>
        <v>2</v>
      </c>
      <c r="AK181" s="339">
        <f t="shared" si="46"/>
        <v>1.2</v>
      </c>
      <c r="AL181" s="325">
        <f t="shared" si="46"/>
        <v>1.2</v>
      </c>
      <c r="AM181" s="325">
        <f t="shared" si="46"/>
        <v>2</v>
      </c>
      <c r="AN181" s="325">
        <f t="shared" si="46"/>
        <v>0.8</v>
      </c>
      <c r="AO181" s="325">
        <f t="shared" si="46"/>
        <v>0.8</v>
      </c>
      <c r="AP181" s="341">
        <f t="shared" si="46"/>
        <v>1.2</v>
      </c>
      <c r="AQ181" s="341">
        <f t="shared" si="46"/>
        <v>1.2</v>
      </c>
      <c r="AR181" s="339">
        <f t="shared" si="46"/>
        <v>1.2</v>
      </c>
      <c r="AS181" s="339">
        <f t="shared" si="46"/>
        <v>1.2</v>
      </c>
      <c r="AT181" s="325">
        <f t="shared" si="46"/>
        <v>1.2</v>
      </c>
      <c r="AU181" s="325">
        <f t="shared" si="46"/>
        <v>1.2</v>
      </c>
      <c r="AV181" s="325">
        <f t="shared" si="46"/>
        <v>0.9</v>
      </c>
      <c r="AW181" s="339">
        <f t="shared" si="46"/>
        <v>0.9</v>
      </c>
      <c r="AX181" s="339">
        <f t="shared" si="46"/>
        <v>1.2</v>
      </c>
      <c r="AY181" s="325">
        <f t="shared" si="46"/>
        <v>0.9</v>
      </c>
      <c r="AZ181" s="339">
        <f t="shared" si="46"/>
        <v>1.2</v>
      </c>
      <c r="BA181" s="339">
        <f t="shared" si="46"/>
        <v>1.2</v>
      </c>
      <c r="BB181" s="325">
        <f t="shared" si="46"/>
        <v>0.9</v>
      </c>
      <c r="BC181" s="325">
        <f t="shared" si="46"/>
        <v>0.9</v>
      </c>
      <c r="BD181" s="325">
        <f t="shared" si="46"/>
        <v>1.1000000000000001</v>
      </c>
      <c r="BE181" s="325">
        <f t="shared" si="46"/>
        <v>1.2</v>
      </c>
      <c r="BF181" s="326">
        <f t="shared" si="46"/>
        <v>0.9</v>
      </c>
      <c r="BG181" s="325">
        <f t="shared" si="46"/>
        <v>0.9</v>
      </c>
      <c r="BH181" s="339">
        <f>MAX(BH2:BH180)</f>
        <v>1.2</v>
      </c>
      <c r="BI181" s="339">
        <f t="shared" si="46"/>
        <v>1.05</v>
      </c>
      <c r="BJ181" s="339">
        <f t="shared" si="46"/>
        <v>0.9</v>
      </c>
      <c r="BK181" s="325">
        <f t="shared" si="46"/>
        <v>1.2</v>
      </c>
      <c r="BL181" s="339">
        <f>MAX(BL2:BL180)</f>
        <v>0.9</v>
      </c>
      <c r="BM181" s="326">
        <f t="shared" si="46"/>
        <v>1.1000000000000001</v>
      </c>
      <c r="BN181" s="325">
        <f t="shared" si="46"/>
        <v>0.9</v>
      </c>
      <c r="BO181" s="325">
        <f t="shared" si="46"/>
        <v>1.1000000000000001</v>
      </c>
    </row>
    <row r="182" spans="1:67">
      <c r="A182" s="524">
        <v>1</v>
      </c>
      <c r="B182" s="322" t="s">
        <v>1654</v>
      </c>
      <c r="D182" s="847" t="s">
        <v>2511</v>
      </c>
      <c r="F182" s="548">
        <v>0</v>
      </c>
      <c r="G182" s="322">
        <f>F182</f>
        <v>0</v>
      </c>
      <c r="L182" s="345" t="s">
        <v>1675</v>
      </c>
      <c r="M182" s="345"/>
      <c r="N182" s="358">
        <v>1</v>
      </c>
      <c r="O182" s="345">
        <f>IF($F101=1,1000,1)</f>
        <v>1</v>
      </c>
      <c r="P182" s="358">
        <v>1</v>
      </c>
      <c r="Q182" s="358">
        <v>1</v>
      </c>
      <c r="R182" s="345">
        <f>IF(F98=1,1000,1)</f>
        <v>1</v>
      </c>
      <c r="S182" s="358">
        <v>1</v>
      </c>
      <c r="T182" s="358">
        <v>1</v>
      </c>
      <c r="U182" s="358">
        <v>1</v>
      </c>
      <c r="V182" s="358">
        <v>1</v>
      </c>
      <c r="W182" s="358">
        <v>1</v>
      </c>
      <c r="X182" s="345">
        <f>IF($F34=1,1000,1)</f>
        <v>1000</v>
      </c>
      <c r="Y182" s="358">
        <v>1</v>
      </c>
      <c r="Z182" s="345">
        <f>IF($F35=1,1000,1)</f>
        <v>1</v>
      </c>
      <c r="AA182" s="345">
        <f>IF($F50=1,1000,1)</f>
        <v>1</v>
      </c>
      <c r="AB182" s="358">
        <v>1</v>
      </c>
      <c r="AC182" s="345">
        <f>IF($F46=1,1000,1)</f>
        <v>1</v>
      </c>
      <c r="AD182" s="345">
        <f>IF($F33=1,1000,1)</f>
        <v>1</v>
      </c>
      <c r="AE182" s="345">
        <f>IF($F33=1,1000,1)</f>
        <v>1</v>
      </c>
      <c r="AF182" s="345">
        <f>IF($F36=1,1000,1)</f>
        <v>1</v>
      </c>
      <c r="AG182" s="345">
        <f>IF($F97=1,1000,1)</f>
        <v>1000</v>
      </c>
      <c r="AH182" s="345">
        <f>IF($F96=1,1000,1)</f>
        <v>1</v>
      </c>
      <c r="AI182" s="345">
        <f>IF($F102=1,1000,1)</f>
        <v>1</v>
      </c>
      <c r="AJ182" s="345">
        <f>IF($F104=1,1000,1)</f>
        <v>1</v>
      </c>
      <c r="AK182" s="345">
        <f>IF($F36=1,1000,1)</f>
        <v>1</v>
      </c>
      <c r="AL182" s="358">
        <v>1</v>
      </c>
      <c r="AM182" s="358">
        <v>1</v>
      </c>
      <c r="AN182" s="358">
        <v>1</v>
      </c>
      <c r="AO182" s="358">
        <v>1</v>
      </c>
      <c r="AP182" s="358">
        <v>1</v>
      </c>
      <c r="AQ182" s="345">
        <f>IF($F94=1,1000,1)</f>
        <v>1</v>
      </c>
      <c r="AR182" s="345">
        <f>IF($F95=1,1000,1)</f>
        <v>1000</v>
      </c>
      <c r="AS182" s="345">
        <f>IF($F42=1,1000,1)</f>
        <v>1</v>
      </c>
      <c r="AT182" s="358">
        <v>1</v>
      </c>
      <c r="AU182" s="358">
        <v>1</v>
      </c>
      <c r="AV182" s="345">
        <f>IF($F41=1,1000,1)</f>
        <v>1</v>
      </c>
      <c r="AW182" s="345">
        <f>IF($F43=1,1000,1)</f>
        <v>1</v>
      </c>
      <c r="AX182" s="358">
        <v>1</v>
      </c>
      <c r="AY182" s="345">
        <f>IF($F43=1,1000,1)</f>
        <v>1</v>
      </c>
      <c r="AZ182" s="345">
        <f>IF($F23=1,1000,1)</f>
        <v>1</v>
      </c>
      <c r="BA182" s="345">
        <f>IF($F24=1,1000,1)</f>
        <v>1</v>
      </c>
      <c r="BB182" s="345">
        <f>IF($F30=1,1000,1)</f>
        <v>1</v>
      </c>
      <c r="BC182" s="358">
        <v>1</v>
      </c>
      <c r="BD182" s="358">
        <v>1</v>
      </c>
      <c r="BE182" s="345">
        <f>IF($F27=1,1000,1)</f>
        <v>1</v>
      </c>
      <c r="BF182" s="345">
        <f>IF($F28=1,1000,1)</f>
        <v>1</v>
      </c>
      <c r="BG182" s="358">
        <v>1</v>
      </c>
      <c r="BH182" s="345">
        <f>IF($F26=1,1000,1)</f>
        <v>1</v>
      </c>
      <c r="BI182" s="345">
        <f>IF($F31=1,1000,1)</f>
        <v>1</v>
      </c>
      <c r="BJ182" s="345">
        <f>IF($F25=1,1000,1)</f>
        <v>1</v>
      </c>
      <c r="BK182" s="345">
        <f>IF($F29=1,1000,1)</f>
        <v>1</v>
      </c>
      <c r="BL182" s="345">
        <f>IF($F32=1,1000,1)</f>
        <v>1</v>
      </c>
      <c r="BM182" s="358">
        <v>1</v>
      </c>
      <c r="BN182" s="358">
        <v>1</v>
      </c>
      <c r="BO182" s="345">
        <f>IF($F106=1,1000,1)</f>
        <v>1</v>
      </c>
    </row>
    <row r="183" spans="1:67">
      <c r="A183" s="524">
        <v>1</v>
      </c>
      <c r="B183" s="322" t="s">
        <v>1654</v>
      </c>
      <c r="C183" s="440" t="s">
        <v>2245</v>
      </c>
      <c r="D183" s="645" t="s">
        <v>2512</v>
      </c>
      <c r="F183" s="548">
        <v>0</v>
      </c>
      <c r="G183" s="326">
        <f>F183</f>
        <v>0</v>
      </c>
      <c r="J183" s="322" t="s">
        <v>1926</v>
      </c>
      <c r="K183" s="322">
        <f>G158+G183+G184</f>
        <v>0</v>
      </c>
      <c r="L183" s="339" t="s">
        <v>1676</v>
      </c>
      <c r="M183" s="339"/>
      <c r="N183" s="345">
        <f>IF($F61=1,0.5,1)</f>
        <v>0.5</v>
      </c>
      <c r="O183" s="358">
        <v>1</v>
      </c>
      <c r="P183" s="358">
        <v>1</v>
      </c>
      <c r="Q183" s="358">
        <v>1</v>
      </c>
      <c r="R183" s="358">
        <v>1</v>
      </c>
      <c r="S183" s="358">
        <v>1</v>
      </c>
      <c r="T183" s="358">
        <v>1</v>
      </c>
      <c r="U183" s="358">
        <v>1</v>
      </c>
      <c r="V183" s="358">
        <v>1</v>
      </c>
      <c r="W183" s="358">
        <v>1</v>
      </c>
      <c r="X183" s="358">
        <v>1</v>
      </c>
      <c r="Y183" s="358">
        <v>1</v>
      </c>
      <c r="Z183" s="358">
        <v>1</v>
      </c>
      <c r="AA183" s="358">
        <v>1</v>
      </c>
      <c r="AB183" s="358">
        <v>1</v>
      </c>
      <c r="AC183" s="358">
        <v>1</v>
      </c>
      <c r="AD183" s="358">
        <v>1</v>
      </c>
      <c r="AE183" s="358">
        <v>1</v>
      </c>
      <c r="AF183" s="345">
        <f>IF($F56=1,0.5,1)</f>
        <v>1</v>
      </c>
      <c r="AG183" s="358">
        <v>1</v>
      </c>
      <c r="AH183" s="358">
        <v>1</v>
      </c>
      <c r="AI183" s="358">
        <v>1</v>
      </c>
      <c r="AJ183" s="358">
        <v>1</v>
      </c>
      <c r="AK183" s="358">
        <v>1</v>
      </c>
      <c r="AL183" s="358">
        <v>1</v>
      </c>
      <c r="AM183" s="358">
        <v>1</v>
      </c>
      <c r="AN183" s="358">
        <v>1</v>
      </c>
      <c r="AO183" s="358">
        <v>1</v>
      </c>
      <c r="AP183" s="358">
        <v>1</v>
      </c>
      <c r="AQ183" s="358">
        <v>1</v>
      </c>
      <c r="AR183" s="358">
        <v>1</v>
      </c>
      <c r="AS183" s="358">
        <v>1</v>
      </c>
      <c r="AT183" s="358">
        <v>1</v>
      </c>
      <c r="AU183" s="358">
        <v>1</v>
      </c>
      <c r="AV183" s="358">
        <v>1</v>
      </c>
      <c r="AW183" s="358">
        <v>1</v>
      </c>
      <c r="AX183" s="358">
        <v>1</v>
      </c>
      <c r="AY183" s="358">
        <v>1</v>
      </c>
      <c r="AZ183" s="345">
        <f>IF($F53=1,0.5,1)</f>
        <v>1</v>
      </c>
      <c r="BA183" s="345">
        <f>IF($F58=1,0.5,1)</f>
        <v>1</v>
      </c>
      <c r="BB183" s="358">
        <v>1</v>
      </c>
      <c r="BC183" s="345">
        <f>IF($F57=1,0.5,1)</f>
        <v>1</v>
      </c>
      <c r="BD183" s="345">
        <f>IF($F57=1,0.5,1)</f>
        <v>1</v>
      </c>
      <c r="BE183" s="345">
        <f>IF($F54=1,0.5,1)</f>
        <v>1</v>
      </c>
      <c r="BF183" s="345">
        <f>IF($F57=1,0.5,1)</f>
        <v>1</v>
      </c>
      <c r="BG183" s="345">
        <f>IF($F55=1,0.5,1)</f>
        <v>1</v>
      </c>
      <c r="BH183" s="345">
        <f>IF($F52=1,0.5,1)</f>
        <v>1</v>
      </c>
      <c r="BI183" s="345">
        <f>IF($F61=1,0.5,1)</f>
        <v>0.5</v>
      </c>
      <c r="BJ183" s="358">
        <v>1</v>
      </c>
      <c r="BK183" s="345">
        <f>IF($F57=1,0.5,1)</f>
        <v>1</v>
      </c>
      <c r="BL183" s="358">
        <v>1</v>
      </c>
      <c r="BM183" s="345">
        <f>IF($F65=1,0.5,1)</f>
        <v>1</v>
      </c>
      <c r="BN183" s="358">
        <v>1</v>
      </c>
      <c r="BO183" s="358">
        <v>1</v>
      </c>
    </row>
    <row r="184" spans="1:67" ht="36">
      <c r="A184" s="524">
        <v>1</v>
      </c>
      <c r="B184" s="322" t="s">
        <v>1654</v>
      </c>
      <c r="C184" s="440" t="s">
        <v>2245</v>
      </c>
      <c r="D184" s="645" t="s">
        <v>2513</v>
      </c>
      <c r="F184" s="548">
        <v>0</v>
      </c>
      <c r="G184" s="326">
        <f>F184</f>
        <v>0</v>
      </c>
      <c r="J184" s="322" t="s">
        <v>1925</v>
      </c>
      <c r="K184" s="322">
        <f>H68+G94+G95+G97+I122</f>
        <v>2</v>
      </c>
      <c r="L184" s="322" t="s">
        <v>602</v>
      </c>
      <c r="N184" s="322"/>
      <c r="O184" s="322">
        <f>$H$3</f>
        <v>1</v>
      </c>
      <c r="P184" s="322"/>
      <c r="R184" s="322">
        <f>$H$3</f>
        <v>1</v>
      </c>
      <c r="T184" s="322">
        <f>$I$3</f>
        <v>0</v>
      </c>
      <c r="U184" s="322">
        <f>$I$3</f>
        <v>0</v>
      </c>
      <c r="V184" s="322"/>
      <c r="X184" s="322"/>
      <c r="Z184" s="322"/>
      <c r="AB184" s="322"/>
      <c r="AD184" s="322"/>
      <c r="AF184" s="322"/>
      <c r="AH184" s="322"/>
      <c r="AJ184" s="322"/>
      <c r="AL184" s="322"/>
      <c r="AN184" s="322"/>
      <c r="AP184" s="322"/>
      <c r="AR184" s="322"/>
      <c r="AT184" s="322"/>
      <c r="AV184" s="322"/>
      <c r="AX184" s="322"/>
      <c r="AZ184" s="322">
        <f>$H$3</f>
        <v>1</v>
      </c>
      <c r="BB184" s="322"/>
      <c r="BD184" s="322"/>
      <c r="BE184" s="322">
        <f>IF(H3=1,0.01,1)</f>
        <v>0.01</v>
      </c>
      <c r="BF184" s="322">
        <f>$I$3</f>
        <v>0</v>
      </c>
      <c r="BG184" s="322">
        <f>$I$3</f>
        <v>0</v>
      </c>
      <c r="BH184" s="322"/>
      <c r="BJ184" s="322"/>
      <c r="BL184" s="322"/>
      <c r="BM184" s="322">
        <f>$I$3</f>
        <v>0</v>
      </c>
      <c r="BN184" s="322"/>
    </row>
    <row r="185" spans="1:67">
      <c r="A185" s="524">
        <v>1</v>
      </c>
      <c r="B185" s="527" t="s">
        <v>1019</v>
      </c>
      <c r="D185" s="641" t="s">
        <v>2514</v>
      </c>
      <c r="F185" s="548">
        <v>0</v>
      </c>
      <c r="G185" s="322" t="s">
        <v>1931</v>
      </c>
      <c r="J185" s="623" t="s">
        <v>1928</v>
      </c>
      <c r="K185" s="322">
        <f>-9.49+(0.058*F4)+(1.34*H3)+(0.83*K183)+(0.68*K184)</f>
        <v>-3.0200000000000005</v>
      </c>
      <c r="L185" s="512" t="s">
        <v>1678</v>
      </c>
      <c r="N185" s="340">
        <f>N181*N182*N183</f>
        <v>0.45</v>
      </c>
      <c r="O185" s="340">
        <f>(O181*O182*O183*O184)*IF(F4&lt;50,0.5,1)</f>
        <v>0.8</v>
      </c>
      <c r="P185" s="340">
        <f t="shared" ref="P185:BO185" si="47">P181*P182*P183</f>
        <v>0.8</v>
      </c>
      <c r="Q185" s="340">
        <f t="shared" si="47"/>
        <v>0.8</v>
      </c>
      <c r="R185" s="340">
        <f>R181*R182*R183*R184</f>
        <v>1.2</v>
      </c>
      <c r="S185" s="340">
        <f t="shared" si="47"/>
        <v>1.5</v>
      </c>
      <c r="T185" s="340">
        <f>T181*T182*T183*T184</f>
        <v>0</v>
      </c>
      <c r="U185" s="340">
        <f>U181*U182*U183*U184</f>
        <v>0</v>
      </c>
      <c r="V185" s="340">
        <f t="shared" si="47"/>
        <v>1.2</v>
      </c>
      <c r="W185" s="340">
        <f t="shared" si="47"/>
        <v>1.2</v>
      </c>
      <c r="X185" s="340">
        <f t="shared" si="47"/>
        <v>1200</v>
      </c>
      <c r="Y185" s="340">
        <f t="shared" si="47"/>
        <v>1.2</v>
      </c>
      <c r="Z185" s="340">
        <f t="shared" si="47"/>
        <v>0.8</v>
      </c>
      <c r="AA185" s="340">
        <f t="shared" si="47"/>
        <v>1.2</v>
      </c>
      <c r="AB185" s="340">
        <f t="shared" si="47"/>
        <v>0.8</v>
      </c>
      <c r="AC185" s="340">
        <f t="shared" si="47"/>
        <v>1</v>
      </c>
      <c r="AD185" s="340">
        <f t="shared" si="47"/>
        <v>0.8</v>
      </c>
      <c r="AE185" s="340">
        <f t="shared" si="47"/>
        <v>1.2</v>
      </c>
      <c r="AF185" s="340">
        <f t="shared" si="47"/>
        <v>1.2</v>
      </c>
      <c r="AG185" s="340">
        <f t="shared" si="47"/>
        <v>1200</v>
      </c>
      <c r="AH185" s="340">
        <f t="shared" si="47"/>
        <v>1</v>
      </c>
      <c r="AI185" s="340">
        <f t="shared" si="47"/>
        <v>0.9</v>
      </c>
      <c r="AJ185" s="340">
        <f t="shared" si="47"/>
        <v>2</v>
      </c>
      <c r="AK185" s="340">
        <f t="shared" si="47"/>
        <v>1.2</v>
      </c>
      <c r="AL185" s="340">
        <f t="shared" si="47"/>
        <v>1.2</v>
      </c>
      <c r="AM185" s="340">
        <f t="shared" si="47"/>
        <v>2</v>
      </c>
      <c r="AN185" s="340">
        <f t="shared" si="47"/>
        <v>0.8</v>
      </c>
      <c r="AO185" s="340">
        <f t="shared" si="47"/>
        <v>0.8</v>
      </c>
      <c r="AP185" s="340">
        <f t="shared" si="47"/>
        <v>1.2</v>
      </c>
      <c r="AQ185" s="340">
        <f t="shared" si="47"/>
        <v>1.2</v>
      </c>
      <c r="AR185" s="340">
        <f t="shared" si="47"/>
        <v>1200</v>
      </c>
      <c r="AS185" s="340">
        <f t="shared" si="47"/>
        <v>1.2</v>
      </c>
      <c r="AT185" s="340">
        <f t="shared" si="47"/>
        <v>1.2</v>
      </c>
      <c r="AU185" s="340">
        <f t="shared" si="47"/>
        <v>1.2</v>
      </c>
      <c r="AV185" s="340">
        <f t="shared" si="47"/>
        <v>0.9</v>
      </c>
      <c r="AW185" s="340">
        <f t="shared" si="47"/>
        <v>0.9</v>
      </c>
      <c r="AX185" s="340">
        <f t="shared" si="47"/>
        <v>1.2</v>
      </c>
      <c r="AY185" s="340">
        <f t="shared" si="47"/>
        <v>0.9</v>
      </c>
      <c r="AZ185" s="340">
        <f>AZ181*AZ182*AZ183*AZ184*AZ186</f>
        <v>1.2</v>
      </c>
      <c r="BA185" s="340">
        <f>BA181*BA182*BA183*BA186</f>
        <v>1.2</v>
      </c>
      <c r="BB185" s="340">
        <f>BB181*BB182*BB183*BB186</f>
        <v>0.9</v>
      </c>
      <c r="BC185" s="340">
        <f>BC181*BC182*BC183*BC186</f>
        <v>0.9</v>
      </c>
      <c r="BD185" s="340">
        <f>BD181*BD182*BD183*BD186</f>
        <v>1.1000000000000001</v>
      </c>
      <c r="BE185" s="340">
        <f>BE181*BE182*BE183*BE184*BE186</f>
        <v>1.2E-2</v>
      </c>
      <c r="BF185" s="340">
        <f>BF181*BF182*BF183*BF184*BF186</f>
        <v>0</v>
      </c>
      <c r="BG185" s="340">
        <f>BG181*BG182*BG183*BG184*BG186</f>
        <v>0</v>
      </c>
      <c r="BH185" s="340">
        <f>BH181*BH182*BH183*BH186</f>
        <v>1.2</v>
      </c>
      <c r="BI185" s="340">
        <f>BI181*BI182*BI183*BI186</f>
        <v>0.52500000000000002</v>
      </c>
      <c r="BJ185" s="340">
        <f>BJ181*BJ182*BJ183*BJ186</f>
        <v>0.9</v>
      </c>
      <c r="BK185" s="340">
        <f>BK181*BK182*BK183*BK186</f>
        <v>1.2</v>
      </c>
      <c r="BL185" s="340">
        <f>BL181*BL182*BL183*BL186</f>
        <v>0.9</v>
      </c>
      <c r="BM185" s="340">
        <f>BM181*BM182*BM183*BM184</f>
        <v>0</v>
      </c>
      <c r="BN185" s="340">
        <f t="shared" si="47"/>
        <v>0.9</v>
      </c>
      <c r="BO185" s="340">
        <f t="shared" si="47"/>
        <v>1.1000000000000001</v>
      </c>
    </row>
    <row r="186" spans="1:67">
      <c r="B186" s="322" t="s">
        <v>1654</v>
      </c>
      <c r="C186" s="440" t="s">
        <v>2247</v>
      </c>
      <c r="D186" s="642" t="s">
        <v>2515</v>
      </c>
      <c r="F186" s="548">
        <v>0</v>
      </c>
      <c r="G186" s="324">
        <f>IF(F186=1,0,1)</f>
        <v>1</v>
      </c>
      <c r="J186" s="322" t="s">
        <v>1929</v>
      </c>
      <c r="K186" s="322">
        <f>EXP(-K185)</f>
        <v>20.491291684192952</v>
      </c>
      <c r="L186" s="322" t="s">
        <v>1935</v>
      </c>
      <c r="M186" s="322">
        <f>IF($F$4&lt;50,0.5,1)</f>
        <v>1</v>
      </c>
      <c r="N186" s="322"/>
      <c r="P186" s="322"/>
      <c r="R186" s="322"/>
      <c r="T186" s="322"/>
      <c r="V186" s="322"/>
      <c r="X186" s="322"/>
      <c r="Z186" s="322"/>
      <c r="AB186" s="322"/>
      <c r="AD186" s="322"/>
      <c r="AF186" s="322"/>
      <c r="AH186" s="322"/>
      <c r="AJ186" s="322"/>
      <c r="AL186" s="322"/>
      <c r="AN186" s="322"/>
      <c r="AP186" s="322"/>
      <c r="AR186" s="322"/>
      <c r="AT186" s="322"/>
      <c r="AV186" s="322"/>
      <c r="AX186" s="322"/>
      <c r="AZ186" s="322">
        <f>$M$186</f>
        <v>1</v>
      </c>
      <c r="BA186" s="322">
        <f t="shared" ref="BA186:BO186" si="48">$M$186</f>
        <v>1</v>
      </c>
      <c r="BB186" s="322">
        <f t="shared" si="48"/>
        <v>1</v>
      </c>
      <c r="BC186" s="322">
        <f t="shared" si="48"/>
        <v>1</v>
      </c>
      <c r="BD186" s="322">
        <f>$M$186</f>
        <v>1</v>
      </c>
      <c r="BE186" s="322">
        <f t="shared" si="48"/>
        <v>1</v>
      </c>
      <c r="BF186" s="322">
        <f t="shared" si="48"/>
        <v>1</v>
      </c>
      <c r="BG186" s="322">
        <f t="shared" si="48"/>
        <v>1</v>
      </c>
      <c r="BH186" s="322">
        <f>$M$186</f>
        <v>1</v>
      </c>
      <c r="BI186" s="322">
        <f t="shared" si="48"/>
        <v>1</v>
      </c>
      <c r="BJ186" s="322">
        <f t="shared" si="48"/>
        <v>1</v>
      </c>
      <c r="BK186" s="322">
        <f t="shared" si="48"/>
        <v>1</v>
      </c>
      <c r="BL186" s="322">
        <f>$M$186</f>
        <v>1</v>
      </c>
      <c r="BM186" s="322">
        <f t="shared" si="48"/>
        <v>1</v>
      </c>
      <c r="BN186" s="322"/>
      <c r="BO186" s="322">
        <f t="shared" si="48"/>
        <v>1</v>
      </c>
    </row>
    <row r="187" spans="1:67" ht="36">
      <c r="B187" s="322" t="s">
        <v>1654</v>
      </c>
      <c r="D187" s="523" t="s">
        <v>2516</v>
      </c>
      <c r="F187" s="548">
        <v>0</v>
      </c>
      <c r="G187" s="324">
        <f>IF(F187=1,0,1)</f>
        <v>1</v>
      </c>
      <c r="J187" s="324" t="s">
        <v>1927</v>
      </c>
      <c r="K187" s="324">
        <f>1/(1+K186)</f>
        <v>4.6530474514731447E-2</v>
      </c>
      <c r="N187" s="322"/>
      <c r="P187" s="322"/>
      <c r="R187" s="322"/>
      <c r="T187" s="322"/>
      <c r="V187" s="322"/>
      <c r="X187" s="322"/>
      <c r="Z187" s="322"/>
      <c r="AB187" s="322"/>
      <c r="AD187" s="322"/>
      <c r="AF187" s="322"/>
      <c r="AH187" s="322"/>
      <c r="AJ187" s="322"/>
      <c r="AL187" s="322"/>
      <c r="AN187" s="322"/>
      <c r="AP187" s="322"/>
      <c r="AR187" s="322"/>
      <c r="AT187" s="322"/>
      <c r="AV187" s="322"/>
      <c r="AX187" s="322"/>
      <c r="AZ187" s="322"/>
      <c r="BB187" s="322"/>
      <c r="BD187" s="322"/>
      <c r="BF187" s="322"/>
      <c r="BH187" s="322"/>
      <c r="BJ187" s="322"/>
      <c r="BL187" s="322"/>
      <c r="BN187" s="322"/>
    </row>
    <row r="188" spans="1:67">
      <c r="B188" s="322" t="s">
        <v>1654</v>
      </c>
      <c r="C188" s="440" t="s">
        <v>2249</v>
      </c>
      <c r="D188" s="523" t="s">
        <v>2517</v>
      </c>
      <c r="F188" s="315">
        <v>1</v>
      </c>
      <c r="G188" s="324">
        <f t="shared" ref="G188:G191" si="49">IF(F188=1,0,1)</f>
        <v>0</v>
      </c>
      <c r="J188" s="324" t="s">
        <v>1930</v>
      </c>
      <c r="N188" s="322"/>
      <c r="P188" s="322"/>
      <c r="R188" s="322"/>
      <c r="T188" s="322"/>
      <c r="V188" s="322"/>
      <c r="X188" s="322"/>
      <c r="Z188" s="322"/>
      <c r="AB188" s="322"/>
      <c r="AD188" s="322"/>
      <c r="AF188" s="322"/>
      <c r="AH188" s="322"/>
      <c r="AJ188" s="322"/>
      <c r="AL188" s="322"/>
      <c r="AN188" s="322"/>
      <c r="AP188" s="322"/>
      <c r="AR188" s="322"/>
      <c r="AT188" s="322"/>
      <c r="AV188" s="322"/>
      <c r="AX188" s="322"/>
      <c r="AZ188" s="322"/>
      <c r="BB188" s="322"/>
      <c r="BD188" s="322"/>
      <c r="BF188" s="322"/>
      <c r="BH188" s="322"/>
      <c r="BJ188" s="322"/>
      <c r="BL188" s="322"/>
      <c r="BN188" s="322"/>
    </row>
    <row r="189" spans="1:67">
      <c r="B189" s="339" t="s">
        <v>1133</v>
      </c>
      <c r="C189" s="440" t="s">
        <v>2225</v>
      </c>
      <c r="D189" s="523" t="s">
        <v>2518</v>
      </c>
      <c r="F189" s="315">
        <v>1</v>
      </c>
      <c r="G189" s="324">
        <f t="shared" si="49"/>
        <v>0</v>
      </c>
      <c r="N189" s="322"/>
      <c r="P189" s="322"/>
      <c r="R189" s="322"/>
      <c r="T189" s="322"/>
      <c r="V189" s="322"/>
      <c r="X189" s="322"/>
      <c r="Z189" s="322"/>
      <c r="AB189" s="322"/>
      <c r="AD189" s="322"/>
      <c r="AF189" s="322"/>
      <c r="AH189" s="322"/>
      <c r="AJ189" s="322"/>
      <c r="AL189" s="322"/>
      <c r="AN189" s="322"/>
      <c r="AP189" s="322"/>
      <c r="AR189" s="322"/>
      <c r="AT189" s="322"/>
      <c r="AV189" s="322"/>
      <c r="AX189" s="322"/>
      <c r="AZ189" s="322"/>
      <c r="BB189" s="322"/>
      <c r="BD189" s="322"/>
      <c r="BF189" s="322"/>
      <c r="BH189" s="322"/>
      <c r="BJ189" s="322"/>
      <c r="BL189" s="322"/>
      <c r="BN189" s="322"/>
    </row>
    <row r="190" spans="1:67">
      <c r="B190" s="322" t="s">
        <v>1654</v>
      </c>
      <c r="C190" s="440" t="s">
        <v>2225</v>
      </c>
      <c r="D190" s="523" t="s">
        <v>2519</v>
      </c>
      <c r="F190" s="315">
        <v>1</v>
      </c>
      <c r="G190" s="324">
        <f t="shared" si="49"/>
        <v>0</v>
      </c>
      <c r="N190" s="322"/>
      <c r="P190" s="322"/>
      <c r="R190" s="322"/>
      <c r="T190" s="322"/>
      <c r="V190" s="322"/>
      <c r="X190" s="322"/>
      <c r="Z190" s="322"/>
      <c r="AB190" s="322"/>
      <c r="AD190" s="322"/>
      <c r="AF190" s="322"/>
      <c r="AH190" s="322"/>
      <c r="AJ190" s="322"/>
      <c r="AL190" s="322"/>
      <c r="AN190" s="322"/>
      <c r="AP190" s="322"/>
      <c r="AR190" s="322"/>
      <c r="AT190" s="322"/>
      <c r="AV190" s="322"/>
      <c r="AX190" s="322"/>
      <c r="AZ190" s="322"/>
      <c r="BB190" s="322"/>
      <c r="BD190" s="322"/>
      <c r="BF190" s="322"/>
      <c r="BH190" s="322"/>
      <c r="BJ190" s="322"/>
      <c r="BL190" s="322"/>
      <c r="BN190" s="322"/>
    </row>
    <row r="191" spans="1:67" s="323" customFormat="1">
      <c r="B191" s="679" t="s">
        <v>1133</v>
      </c>
      <c r="C191" s="440" t="s">
        <v>2229</v>
      </c>
      <c r="D191" s="523" t="s">
        <v>2693</v>
      </c>
      <c r="E191" s="441"/>
      <c r="F191" s="315">
        <v>1</v>
      </c>
      <c r="G191" s="324">
        <f t="shared" si="49"/>
        <v>0</v>
      </c>
      <c r="H191" s="332">
        <f>IF(F191=1,1,0)</f>
        <v>1</v>
      </c>
      <c r="I191" s="322"/>
      <c r="J191" s="322"/>
      <c r="K191" s="340"/>
      <c r="N191" s="514"/>
      <c r="O191" s="322"/>
      <c r="P191" s="514"/>
      <c r="Q191" s="322"/>
      <c r="R191" s="514"/>
      <c r="S191" s="322"/>
      <c r="T191" s="514"/>
      <c r="U191" s="322"/>
      <c r="V191" s="514"/>
      <c r="W191" s="322"/>
      <c r="X191" s="514"/>
      <c r="Y191" s="322"/>
      <c r="Z191" s="514"/>
      <c r="AA191" s="322"/>
      <c r="AB191" s="514"/>
      <c r="AC191" s="322"/>
      <c r="AD191" s="514"/>
      <c r="AE191" s="322"/>
      <c r="AF191" s="514"/>
      <c r="AG191" s="322"/>
      <c r="AH191" s="514"/>
      <c r="AI191" s="322"/>
      <c r="AJ191" s="514"/>
      <c r="AK191" s="322"/>
      <c r="AL191" s="514"/>
      <c r="AM191" s="322"/>
      <c r="AN191" s="514"/>
      <c r="AO191" s="322"/>
      <c r="AP191" s="514"/>
      <c r="AQ191" s="322"/>
      <c r="AR191" s="514"/>
      <c r="AS191" s="322"/>
      <c r="AT191" s="514"/>
      <c r="AU191" s="322"/>
      <c r="AV191" s="514"/>
      <c r="AW191" s="322"/>
      <c r="AX191" s="514"/>
      <c r="AY191" s="322"/>
      <c r="AZ191" s="324"/>
      <c r="BA191" s="322"/>
      <c r="BB191" s="324"/>
      <c r="BC191" s="322"/>
      <c r="BD191" s="324"/>
      <c r="BE191" s="322"/>
      <c r="BF191" s="324"/>
      <c r="BG191" s="322"/>
      <c r="BH191" s="324"/>
      <c r="BI191" s="322"/>
      <c r="BJ191" s="324"/>
      <c r="BK191" s="322"/>
      <c r="BL191" s="324"/>
      <c r="BM191" s="322"/>
      <c r="BN191" s="324"/>
      <c r="BO191" s="322"/>
    </row>
    <row r="192" spans="1:67" s="323" customFormat="1">
      <c r="B192" s="679" t="s">
        <v>1133</v>
      </c>
      <c r="C192" s="440" t="s">
        <v>2230</v>
      </c>
      <c r="D192" s="523" t="s">
        <v>2520</v>
      </c>
      <c r="E192" s="441"/>
      <c r="F192" s="315">
        <v>1</v>
      </c>
      <c r="G192" s="324">
        <f>IF(F192=1,0,1)</f>
        <v>0</v>
      </c>
      <c r="H192" s="332">
        <f>IF(F192=1,1,0)</f>
        <v>1</v>
      </c>
      <c r="I192" s="322"/>
      <c r="J192" s="322"/>
      <c r="K192" s="340"/>
      <c r="N192" s="514"/>
      <c r="O192" s="322"/>
      <c r="P192" s="514"/>
      <c r="Q192" s="322"/>
      <c r="R192" s="514"/>
      <c r="S192" s="322"/>
      <c r="T192" s="514"/>
      <c r="U192" s="322"/>
      <c r="V192" s="514"/>
      <c r="W192" s="322"/>
      <c r="X192" s="514"/>
      <c r="Y192" s="322"/>
      <c r="Z192" s="514"/>
      <c r="AA192" s="322"/>
      <c r="AB192" s="514"/>
      <c r="AC192" s="322"/>
      <c r="AD192" s="514"/>
      <c r="AE192" s="322"/>
      <c r="AF192" s="514"/>
      <c r="AG192" s="322"/>
      <c r="AH192" s="514"/>
      <c r="AI192" s="322"/>
      <c r="AJ192" s="514"/>
      <c r="AK192" s="322"/>
      <c r="AL192" s="514"/>
      <c r="AM192" s="322"/>
      <c r="AN192" s="514"/>
      <c r="AO192" s="322"/>
      <c r="AP192" s="514"/>
      <c r="AQ192" s="322"/>
      <c r="AR192" s="514"/>
      <c r="AS192" s="322"/>
      <c r="AT192" s="514"/>
      <c r="AU192" s="322"/>
      <c r="AV192" s="514"/>
      <c r="AW192" s="322"/>
      <c r="AX192" s="514"/>
      <c r="AY192" s="322"/>
      <c r="AZ192" s="324"/>
      <c r="BA192" s="322"/>
      <c r="BB192" s="324"/>
      <c r="BC192" s="322"/>
      <c r="BD192" s="324"/>
      <c r="BE192" s="322"/>
      <c r="BF192" s="324"/>
      <c r="BG192" s="322"/>
      <c r="BH192" s="324"/>
      <c r="BI192" s="322"/>
      <c r="BJ192" s="324"/>
      <c r="BK192" s="322"/>
      <c r="BL192" s="324"/>
      <c r="BM192" s="322"/>
      <c r="BN192" s="324"/>
      <c r="BO192" s="322"/>
    </row>
    <row r="193" spans="1:67" s="339" customFormat="1">
      <c r="A193" s="322"/>
      <c r="B193" s="679" t="s">
        <v>1133</v>
      </c>
      <c r="C193" s="440" t="s">
        <v>2229</v>
      </c>
      <c r="D193" s="523" t="s">
        <v>2694</v>
      </c>
      <c r="E193" s="441"/>
      <c r="F193" s="315">
        <v>1</v>
      </c>
      <c r="G193" s="324">
        <f t="shared" ref="G193" si="50">IF(F193=1,0,1)</f>
        <v>0</v>
      </c>
      <c r="H193" s="332">
        <f>IF(F193=1,1,0)</f>
        <v>1</v>
      </c>
      <c r="I193" s="322"/>
      <c r="M193" s="339" t="s">
        <v>1609</v>
      </c>
      <c r="N193" s="514"/>
      <c r="P193" s="514"/>
      <c r="R193" s="514"/>
      <c r="T193" s="514"/>
      <c r="V193" s="514"/>
      <c r="X193" s="514"/>
      <c r="Z193" s="514"/>
      <c r="AB193" s="514"/>
      <c r="AD193" s="514"/>
      <c r="AF193" s="514"/>
      <c r="AH193" s="514"/>
      <c r="AJ193" s="514"/>
      <c r="AL193" s="514"/>
      <c r="AN193" s="514"/>
      <c r="AP193" s="514"/>
      <c r="AR193" s="514"/>
      <c r="AT193" s="514"/>
      <c r="AV193" s="514"/>
      <c r="AX193" s="514"/>
      <c r="AZ193" s="324"/>
      <c r="BB193" s="324"/>
      <c r="BD193" s="324"/>
      <c r="BF193" s="324"/>
      <c r="BH193" s="324"/>
      <c r="BJ193" s="324"/>
      <c r="BL193" s="324"/>
      <c r="BM193" s="322"/>
      <c r="BN193" s="324"/>
      <c r="BO193" s="322"/>
    </row>
    <row r="194" spans="1:67" ht="36">
      <c r="B194" s="339" t="s">
        <v>1133</v>
      </c>
      <c r="D194" s="523" t="s">
        <v>2521</v>
      </c>
      <c r="F194" s="315">
        <v>2</v>
      </c>
      <c r="G194" s="326">
        <f>IF(F194=1,0,1)</f>
        <v>1</v>
      </c>
      <c r="I194" s="332"/>
      <c r="N194" s="322"/>
      <c r="P194" s="322"/>
      <c r="R194" s="322"/>
      <c r="T194" s="322"/>
      <c r="V194" s="322"/>
      <c r="X194" s="322"/>
      <c r="Z194" s="322"/>
      <c r="AB194" s="322"/>
      <c r="AD194" s="322"/>
      <c r="AF194" s="322"/>
      <c r="AH194" s="322"/>
      <c r="AJ194" s="322"/>
      <c r="AL194" s="322"/>
      <c r="AN194" s="322"/>
      <c r="AP194" s="322"/>
      <c r="AR194" s="322"/>
      <c r="AT194" s="322"/>
      <c r="AV194" s="322"/>
      <c r="AX194" s="322"/>
      <c r="AZ194" s="322"/>
      <c r="BB194" s="322"/>
      <c r="BD194" s="322"/>
      <c r="BF194" s="322"/>
      <c r="BH194" s="322"/>
      <c r="BJ194" s="322"/>
      <c r="BL194" s="322"/>
      <c r="BN194" s="322"/>
    </row>
    <row r="195" spans="1:67">
      <c r="A195" s="524">
        <v>1</v>
      </c>
      <c r="B195" s="322" t="s">
        <v>1655</v>
      </c>
      <c r="C195" s="440" t="s">
        <v>2250</v>
      </c>
      <c r="D195" s="530" t="s">
        <v>2522</v>
      </c>
      <c r="F195" s="548">
        <v>0</v>
      </c>
      <c r="G195" s="326">
        <f>IF(F195=1,1,0)</f>
        <v>0</v>
      </c>
      <c r="N195" s="322"/>
      <c r="P195" s="322"/>
      <c r="R195" s="322"/>
      <c r="T195" s="322"/>
      <c r="V195" s="322"/>
      <c r="X195" s="322"/>
      <c r="Z195" s="322"/>
      <c r="AB195" s="322"/>
      <c r="AD195" s="322"/>
      <c r="AF195" s="322"/>
      <c r="AH195" s="322"/>
      <c r="AJ195" s="322"/>
      <c r="AL195" s="322"/>
      <c r="AN195" s="322"/>
      <c r="AP195" s="322"/>
      <c r="AR195" s="322"/>
      <c r="AT195" s="322"/>
      <c r="AV195" s="322"/>
      <c r="AX195" s="322"/>
      <c r="AZ195" s="322"/>
      <c r="BB195" s="322"/>
      <c r="BD195" s="322"/>
      <c r="BF195" s="322"/>
      <c r="BH195" s="322"/>
      <c r="BJ195" s="322"/>
      <c r="BL195" s="322"/>
      <c r="BN195" s="322"/>
    </row>
    <row r="196" spans="1:67">
      <c r="A196" s="524">
        <v>1</v>
      </c>
      <c r="B196" s="322" t="s">
        <v>1655</v>
      </c>
      <c r="C196" s="440" t="s">
        <v>2251</v>
      </c>
      <c r="D196" s="530" t="s">
        <v>2523</v>
      </c>
      <c r="F196" s="548">
        <v>0</v>
      </c>
      <c r="G196" s="326">
        <f>F196</f>
        <v>0</v>
      </c>
      <c r="N196" s="322"/>
      <c r="P196" s="322"/>
      <c r="R196" s="322"/>
      <c r="T196" s="322"/>
      <c r="V196" s="322"/>
      <c r="X196" s="322"/>
      <c r="Z196" s="322"/>
      <c r="AB196" s="322"/>
      <c r="AD196" s="322"/>
      <c r="AF196" s="322"/>
      <c r="AH196" s="322"/>
      <c r="AJ196" s="322"/>
      <c r="AL196" s="322"/>
      <c r="AN196" s="322"/>
      <c r="AP196" s="322"/>
      <c r="AR196" s="322"/>
      <c r="AT196" s="322"/>
      <c r="AV196" s="322"/>
      <c r="AX196" s="322"/>
      <c r="AZ196" s="322"/>
      <c r="BB196" s="322"/>
      <c r="BD196" s="322"/>
      <c r="BF196" s="322"/>
      <c r="BH196" s="322"/>
      <c r="BJ196" s="322"/>
      <c r="BL196" s="322"/>
      <c r="BN196" s="322"/>
    </row>
    <row r="197" spans="1:67">
      <c r="A197" s="524">
        <v>1</v>
      </c>
      <c r="B197" s="322" t="s">
        <v>1655</v>
      </c>
      <c r="D197" s="530" t="s">
        <v>2524</v>
      </c>
      <c r="F197" s="548">
        <v>0</v>
      </c>
      <c r="G197" s="326">
        <f t="shared" ref="G197:G205" si="51">F197</f>
        <v>0</v>
      </c>
      <c r="N197" s="322"/>
      <c r="P197" s="322"/>
      <c r="R197" s="322"/>
      <c r="T197" s="322"/>
      <c r="V197" s="322"/>
      <c r="X197" s="322"/>
      <c r="Z197" s="322"/>
      <c r="AB197" s="322"/>
      <c r="AD197" s="322"/>
      <c r="AF197" s="322"/>
      <c r="AH197" s="322"/>
      <c r="AJ197" s="322"/>
      <c r="AL197" s="322"/>
      <c r="AN197" s="322"/>
      <c r="AP197" s="322"/>
      <c r="AR197" s="322"/>
      <c r="AT197" s="322"/>
      <c r="AV197" s="322"/>
      <c r="AX197" s="322"/>
      <c r="AZ197" s="322"/>
      <c r="BB197" s="322"/>
      <c r="BD197" s="322"/>
      <c r="BF197" s="322"/>
      <c r="BH197" s="322"/>
      <c r="BJ197" s="322"/>
      <c r="BL197" s="322"/>
      <c r="BN197" s="322"/>
    </row>
    <row r="198" spans="1:67" ht="36">
      <c r="A198" s="524">
        <v>1</v>
      </c>
      <c r="B198" s="322" t="s">
        <v>1655</v>
      </c>
      <c r="D198" s="530" t="s">
        <v>2525</v>
      </c>
      <c r="F198" s="548">
        <v>0</v>
      </c>
      <c r="G198" s="326">
        <f t="shared" si="51"/>
        <v>0</v>
      </c>
      <c r="N198" s="322"/>
      <c r="P198" s="322"/>
      <c r="R198" s="322"/>
      <c r="T198" s="322"/>
      <c r="V198" s="322"/>
      <c r="X198" s="322"/>
      <c r="Z198" s="322"/>
      <c r="AB198" s="322"/>
      <c r="AD198" s="322"/>
      <c r="AF198" s="322"/>
      <c r="AH198" s="322"/>
      <c r="AJ198" s="322"/>
      <c r="AL198" s="322"/>
      <c r="AN198" s="322"/>
      <c r="AP198" s="322"/>
      <c r="AR198" s="322"/>
      <c r="AT198" s="322"/>
      <c r="AV198" s="322"/>
      <c r="AX198" s="322"/>
      <c r="AZ198" s="322"/>
      <c r="BB198" s="322"/>
      <c r="BD198" s="322"/>
      <c r="BF198" s="322"/>
      <c r="BH198" s="322"/>
      <c r="BJ198" s="322"/>
      <c r="BL198" s="322"/>
      <c r="BN198" s="322"/>
    </row>
    <row r="199" spans="1:67">
      <c r="A199" s="524">
        <v>1</v>
      </c>
      <c r="B199" s="322" t="s">
        <v>1655</v>
      </c>
      <c r="D199" s="530" t="s">
        <v>2526</v>
      </c>
      <c r="F199" s="548">
        <v>0</v>
      </c>
      <c r="G199" s="326">
        <f t="shared" si="51"/>
        <v>0</v>
      </c>
      <c r="N199" s="322"/>
      <c r="P199" s="322"/>
      <c r="R199" s="322"/>
      <c r="T199" s="322"/>
      <c r="V199" s="322"/>
      <c r="X199" s="322"/>
      <c r="Z199" s="322"/>
      <c r="AB199" s="322"/>
      <c r="AD199" s="322"/>
      <c r="AF199" s="322"/>
      <c r="AH199" s="322"/>
      <c r="AJ199" s="322"/>
      <c r="AL199" s="322"/>
      <c r="AN199" s="322"/>
      <c r="AP199" s="322"/>
      <c r="AR199" s="322"/>
      <c r="AT199" s="322"/>
      <c r="AV199" s="322"/>
      <c r="AX199" s="322"/>
      <c r="AZ199" s="322"/>
      <c r="BB199" s="322"/>
      <c r="BD199" s="322"/>
      <c r="BF199" s="322"/>
      <c r="BH199" s="322"/>
      <c r="BJ199" s="322"/>
      <c r="BL199" s="322"/>
      <c r="BN199" s="322"/>
    </row>
    <row r="200" spans="1:67">
      <c r="A200" s="524">
        <v>1</v>
      </c>
      <c r="B200" s="322" t="s">
        <v>1655</v>
      </c>
      <c r="C200" s="440" t="s">
        <v>2224</v>
      </c>
      <c r="D200" s="530" t="s">
        <v>2527</v>
      </c>
      <c r="F200" s="548">
        <v>0</v>
      </c>
      <c r="G200" s="326">
        <f t="shared" si="51"/>
        <v>0</v>
      </c>
      <c r="N200" s="322"/>
      <c r="P200" s="322"/>
      <c r="R200" s="322"/>
      <c r="T200" s="322"/>
      <c r="V200" s="322"/>
      <c r="X200" s="322"/>
      <c r="Z200" s="322"/>
      <c r="AB200" s="322"/>
      <c r="AD200" s="322"/>
      <c r="AF200" s="322"/>
      <c r="AH200" s="322"/>
      <c r="AJ200" s="322"/>
      <c r="AL200" s="322"/>
      <c r="AN200" s="322"/>
      <c r="AP200" s="322"/>
      <c r="AR200" s="322"/>
      <c r="AT200" s="322"/>
      <c r="AV200" s="322"/>
      <c r="AX200" s="322"/>
      <c r="AZ200" s="322"/>
      <c r="BB200" s="322"/>
      <c r="BD200" s="322"/>
      <c r="BF200" s="322"/>
      <c r="BH200" s="322"/>
      <c r="BJ200" s="322"/>
      <c r="BL200" s="322"/>
      <c r="BN200" s="322"/>
    </row>
    <row r="201" spans="1:67">
      <c r="A201" s="524">
        <v>1</v>
      </c>
      <c r="B201" s="322" t="s">
        <v>1655</v>
      </c>
      <c r="C201" s="440" t="s">
        <v>2224</v>
      </c>
      <c r="D201" s="530" t="s">
        <v>2528</v>
      </c>
      <c r="F201" s="548">
        <v>0</v>
      </c>
      <c r="G201" s="326">
        <f t="shared" si="51"/>
        <v>0</v>
      </c>
      <c r="N201" s="322"/>
      <c r="P201" s="322"/>
      <c r="R201" s="322"/>
      <c r="T201" s="322"/>
      <c r="V201" s="322"/>
      <c r="X201" s="322"/>
      <c r="Z201" s="322"/>
      <c r="AB201" s="322"/>
      <c r="AD201" s="322"/>
      <c r="AF201" s="322"/>
      <c r="AH201" s="322"/>
      <c r="AJ201" s="322"/>
      <c r="AL201" s="322"/>
      <c r="AN201" s="322"/>
      <c r="AP201" s="322"/>
      <c r="AR201" s="322"/>
      <c r="AT201" s="322"/>
      <c r="AV201" s="322"/>
      <c r="AX201" s="322"/>
      <c r="AZ201" s="322"/>
      <c r="BB201" s="322"/>
      <c r="BD201" s="322"/>
      <c r="BF201" s="322"/>
      <c r="BH201" s="322"/>
      <c r="BJ201" s="322"/>
      <c r="BL201" s="322"/>
      <c r="BN201" s="322"/>
    </row>
    <row r="202" spans="1:67">
      <c r="A202" s="524">
        <v>1</v>
      </c>
      <c r="B202" s="322" t="s">
        <v>1655</v>
      </c>
      <c r="D202" s="530" t="s">
        <v>2529</v>
      </c>
      <c r="F202" s="548">
        <v>0</v>
      </c>
      <c r="G202" s="326">
        <f t="shared" si="51"/>
        <v>0</v>
      </c>
      <c r="N202" s="322"/>
      <c r="P202" s="322"/>
      <c r="R202" s="322"/>
      <c r="T202" s="322"/>
      <c r="V202" s="322"/>
      <c r="X202" s="322"/>
      <c r="Z202" s="322"/>
      <c r="AB202" s="322"/>
      <c r="AD202" s="322"/>
      <c r="AF202" s="322"/>
      <c r="AH202" s="322"/>
      <c r="AJ202" s="322"/>
      <c r="AL202" s="322"/>
      <c r="AN202" s="322"/>
      <c r="AP202" s="322"/>
      <c r="AR202" s="322"/>
      <c r="AT202" s="322"/>
      <c r="AV202" s="322"/>
      <c r="AX202" s="322"/>
      <c r="AZ202" s="322"/>
      <c r="BB202" s="322"/>
      <c r="BD202" s="322"/>
      <c r="BF202" s="322"/>
      <c r="BH202" s="322"/>
      <c r="BJ202" s="322"/>
      <c r="BL202" s="322"/>
      <c r="BN202" s="322"/>
    </row>
    <row r="203" spans="1:67">
      <c r="A203" s="524">
        <v>1</v>
      </c>
      <c r="B203" s="322" t="s">
        <v>1655</v>
      </c>
      <c r="D203" s="530" t="s">
        <v>2530</v>
      </c>
      <c r="F203" s="548">
        <v>0</v>
      </c>
      <c r="G203" s="326">
        <f t="shared" si="51"/>
        <v>0</v>
      </c>
      <c r="N203" s="322"/>
      <c r="P203" s="322"/>
      <c r="R203" s="322"/>
      <c r="T203" s="322"/>
      <c r="V203" s="322"/>
      <c r="X203" s="322"/>
      <c r="Z203" s="322"/>
      <c r="AB203" s="322"/>
      <c r="AD203" s="322"/>
      <c r="AF203" s="322"/>
      <c r="AH203" s="322"/>
      <c r="AJ203" s="322"/>
      <c r="AL203" s="322"/>
      <c r="AN203" s="322"/>
      <c r="AP203" s="322"/>
      <c r="AR203" s="322"/>
      <c r="AT203" s="322"/>
      <c r="AV203" s="322"/>
      <c r="AX203" s="322"/>
      <c r="AZ203" s="322"/>
      <c r="BB203" s="322"/>
      <c r="BD203" s="322"/>
      <c r="BF203" s="322"/>
      <c r="BH203" s="322"/>
      <c r="BJ203" s="322"/>
      <c r="BL203" s="322"/>
      <c r="BN203" s="322"/>
    </row>
    <row r="204" spans="1:67">
      <c r="A204" s="524">
        <v>1</v>
      </c>
      <c r="B204" s="322" t="s">
        <v>1655</v>
      </c>
      <c r="D204" s="530" t="s">
        <v>2531</v>
      </c>
      <c r="F204" s="548">
        <v>0</v>
      </c>
      <c r="G204" s="326">
        <f t="shared" si="51"/>
        <v>0</v>
      </c>
      <c r="N204" s="322"/>
      <c r="P204" s="322"/>
      <c r="R204" s="322"/>
      <c r="T204" s="322"/>
      <c r="V204" s="322"/>
      <c r="X204" s="322"/>
      <c r="Z204" s="322"/>
      <c r="AB204" s="322"/>
      <c r="AD204" s="322"/>
      <c r="AF204" s="322"/>
      <c r="AH204" s="322"/>
      <c r="AJ204" s="322"/>
      <c r="AL204" s="322"/>
      <c r="AN204" s="322"/>
      <c r="AP204" s="322"/>
      <c r="AR204" s="322"/>
      <c r="AT204" s="322"/>
      <c r="AV204" s="322"/>
      <c r="AX204" s="322"/>
      <c r="AZ204" s="322"/>
      <c r="BB204" s="322"/>
      <c r="BD204" s="322"/>
      <c r="BF204" s="322"/>
      <c r="BH204" s="322"/>
      <c r="BJ204" s="322"/>
      <c r="BL204" s="322"/>
      <c r="BN204" s="322"/>
    </row>
    <row r="205" spans="1:67">
      <c r="A205" s="524">
        <v>1</v>
      </c>
      <c r="B205" s="322" t="s">
        <v>1655</v>
      </c>
      <c r="D205" s="530" t="s">
        <v>2532</v>
      </c>
      <c r="F205" s="548">
        <v>0</v>
      </c>
      <c r="G205" s="326">
        <f t="shared" si="51"/>
        <v>0</v>
      </c>
      <c r="N205" s="322"/>
      <c r="P205" s="322"/>
      <c r="R205" s="322"/>
      <c r="T205" s="322"/>
      <c r="V205" s="322"/>
      <c r="X205" s="322"/>
      <c r="Z205" s="322"/>
      <c r="AB205" s="322"/>
      <c r="AD205" s="322"/>
      <c r="AF205" s="322"/>
      <c r="AH205" s="322"/>
      <c r="AJ205" s="322"/>
      <c r="AL205" s="322"/>
      <c r="AN205" s="322"/>
      <c r="AP205" s="322"/>
      <c r="AR205" s="322"/>
      <c r="AT205" s="322"/>
      <c r="AV205" s="322"/>
      <c r="AX205" s="322"/>
      <c r="AZ205" s="322"/>
      <c r="BB205" s="322"/>
      <c r="BD205" s="322"/>
      <c r="BF205" s="322"/>
      <c r="BH205" s="322"/>
      <c r="BJ205" s="322"/>
      <c r="BL205" s="322"/>
      <c r="BN205" s="322"/>
    </row>
    <row r="206" spans="1:67">
      <c r="A206" s="524">
        <v>1</v>
      </c>
      <c r="B206" s="322" t="s">
        <v>1655</v>
      </c>
      <c r="D206" s="530" t="s">
        <v>1441</v>
      </c>
      <c r="F206" s="315">
        <v>0</v>
      </c>
      <c r="G206" s="326">
        <f>F206</f>
        <v>0</v>
      </c>
      <c r="N206" s="322"/>
      <c r="P206" s="322"/>
      <c r="R206" s="322"/>
      <c r="T206" s="322"/>
      <c r="V206" s="322"/>
      <c r="X206" s="322"/>
      <c r="Z206" s="322"/>
      <c r="AB206" s="322"/>
      <c r="AD206" s="322"/>
      <c r="AF206" s="322"/>
      <c r="AH206" s="322"/>
      <c r="AJ206" s="322"/>
      <c r="AL206" s="322"/>
      <c r="AN206" s="322"/>
      <c r="AP206" s="322"/>
      <c r="AR206" s="322"/>
      <c r="AT206" s="322"/>
      <c r="AV206" s="322"/>
      <c r="AX206" s="322"/>
      <c r="AZ206" s="322"/>
      <c r="BB206" s="322"/>
      <c r="BD206" s="322"/>
      <c r="BF206" s="322"/>
      <c r="BH206" s="322"/>
      <c r="BJ206" s="322"/>
      <c r="BL206" s="322"/>
      <c r="BN206" s="322"/>
    </row>
    <row r="207" spans="1:67">
      <c r="A207" s="524">
        <v>1</v>
      </c>
      <c r="B207" s="322" t="s">
        <v>1655</v>
      </c>
      <c r="D207" s="530" t="s">
        <v>2533</v>
      </c>
      <c r="F207" s="315">
        <v>0</v>
      </c>
      <c r="N207" s="322"/>
      <c r="P207" s="322"/>
      <c r="R207" s="322"/>
      <c r="T207" s="322"/>
      <c r="V207" s="322"/>
      <c r="X207" s="322"/>
      <c r="Z207" s="322"/>
      <c r="AB207" s="322"/>
      <c r="AD207" s="322"/>
      <c r="AF207" s="322"/>
      <c r="AH207" s="322"/>
      <c r="AJ207" s="322"/>
      <c r="AL207" s="322"/>
      <c r="AN207" s="322"/>
      <c r="AP207" s="322"/>
      <c r="AR207" s="322"/>
      <c r="AT207" s="322"/>
      <c r="AV207" s="322"/>
      <c r="AX207" s="322"/>
      <c r="AZ207" s="322"/>
      <c r="BB207" s="322"/>
      <c r="BD207" s="322"/>
      <c r="BF207" s="322"/>
      <c r="BH207" s="322"/>
      <c r="BJ207" s="322"/>
      <c r="BL207" s="322"/>
      <c r="BN207" s="322"/>
    </row>
    <row r="208" spans="1:67">
      <c r="A208" s="524">
        <v>1</v>
      </c>
      <c r="B208" s="322" t="s">
        <v>1655</v>
      </c>
      <c r="D208" s="530" t="s">
        <v>2534</v>
      </c>
      <c r="F208" s="315">
        <v>0</v>
      </c>
      <c r="N208" s="322"/>
      <c r="P208" s="322"/>
      <c r="R208" s="322"/>
      <c r="T208" s="322"/>
      <c r="V208" s="322"/>
      <c r="X208" s="322"/>
      <c r="Z208" s="322"/>
      <c r="AB208" s="322"/>
      <c r="AD208" s="322"/>
      <c r="AF208" s="322"/>
      <c r="AH208" s="322"/>
      <c r="AJ208" s="322"/>
      <c r="AL208" s="322"/>
      <c r="AN208" s="322"/>
      <c r="AP208" s="322"/>
      <c r="AR208" s="322"/>
      <c r="AT208" s="322"/>
      <c r="AV208" s="322"/>
      <c r="AX208" s="322"/>
      <c r="AZ208" s="322"/>
      <c r="BB208" s="322"/>
      <c r="BD208" s="322"/>
      <c r="BF208" s="322"/>
      <c r="BH208" s="322"/>
      <c r="BJ208" s="322"/>
      <c r="BL208" s="322"/>
      <c r="BN208" s="322"/>
    </row>
    <row r="209" spans="1:66">
      <c r="A209" s="524">
        <v>1</v>
      </c>
      <c r="B209" s="322" t="s">
        <v>1655</v>
      </c>
      <c r="D209" s="530" t="s">
        <v>1442</v>
      </c>
      <c r="F209" s="315">
        <v>1</v>
      </c>
      <c r="N209" s="322"/>
      <c r="P209" s="322"/>
      <c r="R209" s="322"/>
      <c r="T209" s="322"/>
      <c r="V209" s="322"/>
      <c r="X209" s="322"/>
      <c r="Z209" s="322"/>
      <c r="AB209" s="322"/>
      <c r="AD209" s="322"/>
      <c r="AF209" s="322"/>
      <c r="AH209" s="322"/>
      <c r="AJ209" s="322"/>
      <c r="AL209" s="322"/>
      <c r="AN209" s="322"/>
      <c r="AP209" s="322"/>
      <c r="AR209" s="322"/>
      <c r="AT209" s="322"/>
      <c r="AV209" s="322"/>
      <c r="AX209" s="322"/>
      <c r="AZ209" s="322"/>
      <c r="BB209" s="322"/>
      <c r="BD209" s="322"/>
      <c r="BF209" s="322"/>
      <c r="BH209" s="322"/>
      <c r="BJ209" s="322"/>
      <c r="BL209" s="322"/>
      <c r="BN209" s="322"/>
    </row>
    <row r="210" spans="1:66">
      <c r="A210" s="524">
        <v>1</v>
      </c>
      <c r="B210" s="322" t="s">
        <v>1655</v>
      </c>
      <c r="D210" s="530" t="s">
        <v>2535</v>
      </c>
      <c r="F210" s="548">
        <v>0</v>
      </c>
      <c r="G210" s="326">
        <f>F210</f>
        <v>0</v>
      </c>
      <c r="N210" s="322"/>
      <c r="P210" s="322"/>
      <c r="R210" s="322"/>
      <c r="T210" s="322"/>
      <c r="V210" s="322"/>
      <c r="X210" s="322"/>
      <c r="Z210" s="322"/>
      <c r="AB210" s="322"/>
      <c r="AD210" s="322"/>
      <c r="AF210" s="322"/>
      <c r="AH210" s="322"/>
      <c r="AJ210" s="322"/>
      <c r="AL210" s="322"/>
      <c r="AN210" s="322"/>
      <c r="AP210" s="322"/>
      <c r="AR210" s="322"/>
      <c r="AT210" s="322"/>
      <c r="AV210" s="322"/>
      <c r="AX210" s="322"/>
      <c r="AZ210" s="322"/>
      <c r="BB210" s="322"/>
      <c r="BD210" s="322"/>
      <c r="BF210" s="322"/>
      <c r="BH210" s="322"/>
      <c r="BJ210" s="322"/>
      <c r="BL210" s="322"/>
      <c r="BN210" s="322"/>
    </row>
    <row r="211" spans="1:66">
      <c r="A211" s="524">
        <v>1</v>
      </c>
      <c r="B211" s="322" t="s">
        <v>1655</v>
      </c>
      <c r="D211" s="530" t="s">
        <v>2536</v>
      </c>
      <c r="F211" s="548">
        <v>0</v>
      </c>
      <c r="G211" s="326">
        <f>F211</f>
        <v>0</v>
      </c>
      <c r="N211" s="322"/>
      <c r="P211" s="322"/>
      <c r="R211" s="322"/>
      <c r="T211" s="322"/>
      <c r="V211" s="322"/>
      <c r="X211" s="322"/>
      <c r="Z211" s="322"/>
      <c r="AB211" s="322"/>
      <c r="AD211" s="322"/>
      <c r="AF211" s="322"/>
      <c r="AH211" s="322"/>
      <c r="AJ211" s="322"/>
      <c r="AL211" s="322"/>
      <c r="AN211" s="322"/>
      <c r="AP211" s="322"/>
      <c r="AR211" s="322"/>
      <c r="AT211" s="322"/>
      <c r="AV211" s="322"/>
      <c r="AX211" s="322"/>
      <c r="AZ211" s="322"/>
      <c r="BB211" s="322"/>
      <c r="BD211" s="322"/>
      <c r="BF211" s="322"/>
      <c r="BH211" s="322"/>
      <c r="BJ211" s="322"/>
      <c r="BL211" s="322"/>
      <c r="BN211" s="322"/>
    </row>
    <row r="212" spans="1:66">
      <c r="N212" s="322"/>
      <c r="P212" s="322"/>
      <c r="R212" s="322"/>
      <c r="T212" s="322"/>
      <c r="V212" s="322"/>
      <c r="X212" s="322"/>
      <c r="Z212" s="322"/>
      <c r="AB212" s="322"/>
      <c r="AD212" s="322"/>
      <c r="AF212" s="322"/>
      <c r="AH212" s="322"/>
      <c r="AJ212" s="322"/>
      <c r="AL212" s="322"/>
      <c r="AN212" s="322"/>
      <c r="AP212" s="322"/>
      <c r="AR212" s="322"/>
      <c r="AT212" s="322"/>
      <c r="AV212" s="322"/>
      <c r="AX212" s="322"/>
      <c r="AZ212" s="322"/>
      <c r="BB212" s="322"/>
      <c r="BD212" s="322"/>
      <c r="BF212" s="322"/>
      <c r="BH212" s="322"/>
      <c r="BJ212" s="322"/>
      <c r="BL212" s="322"/>
      <c r="BN212" s="322"/>
    </row>
    <row r="213" spans="1:66">
      <c r="N213" s="322"/>
      <c r="P213" s="322"/>
      <c r="R213" s="322"/>
      <c r="T213" s="322"/>
      <c r="V213" s="322"/>
      <c r="X213" s="322"/>
      <c r="Z213" s="322"/>
      <c r="AB213" s="322"/>
      <c r="AD213" s="322"/>
      <c r="AF213" s="322"/>
      <c r="AH213" s="322"/>
      <c r="AJ213" s="322"/>
      <c r="AL213" s="322"/>
      <c r="AN213" s="322"/>
      <c r="AP213" s="322"/>
      <c r="AR213" s="322"/>
      <c r="AT213" s="322"/>
      <c r="AV213" s="322"/>
      <c r="AX213" s="322"/>
      <c r="AZ213" s="322"/>
      <c r="BB213" s="322"/>
      <c r="BD213" s="322"/>
      <c r="BF213" s="322"/>
      <c r="BH213" s="322"/>
      <c r="BJ213" s="322"/>
      <c r="BL213" s="322"/>
      <c r="BN213" s="322"/>
    </row>
    <row r="214" spans="1:66">
      <c r="A214" s="524">
        <v>1</v>
      </c>
      <c r="B214" s="322" t="s">
        <v>1427</v>
      </c>
      <c r="D214" s="848" t="s">
        <v>1911</v>
      </c>
      <c r="N214" s="322"/>
      <c r="P214" s="322"/>
      <c r="R214" s="322"/>
      <c r="T214" s="322"/>
      <c r="V214" s="322"/>
      <c r="X214" s="322"/>
      <c r="Z214" s="322"/>
      <c r="AB214" s="322"/>
      <c r="AD214" s="322"/>
      <c r="AF214" s="322"/>
      <c r="AH214" s="322"/>
      <c r="AJ214" s="322"/>
      <c r="AL214" s="322"/>
      <c r="AN214" s="322"/>
      <c r="AP214" s="322"/>
      <c r="AR214" s="322"/>
      <c r="AT214" s="322"/>
      <c r="AV214" s="322"/>
      <c r="AX214" s="322"/>
      <c r="AZ214" s="322"/>
      <c r="BB214" s="322"/>
      <c r="BD214" s="322"/>
      <c r="BF214" s="322"/>
      <c r="BH214" s="322"/>
      <c r="BJ214" s="322"/>
      <c r="BL214" s="322"/>
      <c r="BN214" s="322"/>
    </row>
    <row r="215" spans="1:66">
      <c r="A215" s="524">
        <v>1</v>
      </c>
      <c r="B215" s="322" t="s">
        <v>1427</v>
      </c>
      <c r="D215" s="845" t="s">
        <v>1445</v>
      </c>
      <c r="E215" s="441" t="s">
        <v>1543</v>
      </c>
      <c r="F215" s="332">
        <v>80</v>
      </c>
      <c r="G215" s="322">
        <f>((F6*0.5)*H3)</f>
        <v>90</v>
      </c>
      <c r="H215" s="322">
        <f>((F6*0.48)*I3)</f>
        <v>0</v>
      </c>
      <c r="N215" s="322"/>
      <c r="P215" s="322"/>
      <c r="R215" s="322"/>
      <c r="T215" s="322"/>
      <c r="V215" s="322"/>
      <c r="X215" s="322"/>
      <c r="Z215" s="322"/>
      <c r="AB215" s="322"/>
      <c r="AD215" s="322"/>
      <c r="AF215" s="322"/>
      <c r="AH215" s="322"/>
      <c r="AJ215" s="322"/>
      <c r="AL215" s="322"/>
      <c r="AN215" s="322"/>
      <c r="AP215" s="322"/>
      <c r="AR215" s="322"/>
      <c r="AT215" s="322"/>
      <c r="AV215" s="322"/>
      <c r="AX215" s="322"/>
      <c r="AZ215" s="322"/>
      <c r="BB215" s="322"/>
      <c r="BD215" s="322"/>
      <c r="BF215" s="322"/>
      <c r="BH215" s="322"/>
      <c r="BJ215" s="322"/>
      <c r="BL215" s="322"/>
      <c r="BN215" s="322"/>
    </row>
    <row r="216" spans="1:66">
      <c r="A216" s="524">
        <v>1</v>
      </c>
      <c r="B216" s="322" t="s">
        <v>1427</v>
      </c>
      <c r="D216" s="845" t="s">
        <v>1440</v>
      </c>
      <c r="F216" s="332"/>
      <c r="G216" s="322">
        <f>(F6*0.225)*I3</f>
        <v>0</v>
      </c>
      <c r="H216" s="322">
        <f>(F6*0.245)*H3</f>
        <v>44.1</v>
      </c>
      <c r="N216" s="322"/>
      <c r="P216" s="322"/>
      <c r="R216" s="322"/>
      <c r="T216" s="322"/>
      <c r="V216" s="322"/>
      <c r="X216" s="322"/>
      <c r="Z216" s="322"/>
      <c r="AB216" s="322"/>
      <c r="AD216" s="322"/>
      <c r="AF216" s="322"/>
      <c r="AH216" s="322"/>
      <c r="AJ216" s="322"/>
      <c r="AL216" s="322"/>
      <c r="AN216" s="322"/>
      <c r="AP216" s="322"/>
      <c r="AR216" s="322"/>
      <c r="AT216" s="322"/>
      <c r="AV216" s="322"/>
      <c r="AX216" s="322"/>
      <c r="AZ216" s="322"/>
      <c r="BB216" s="322"/>
      <c r="BD216" s="322"/>
      <c r="BF216" s="322"/>
      <c r="BH216" s="322"/>
      <c r="BJ216" s="322"/>
      <c r="BL216" s="322"/>
      <c r="BN216" s="322"/>
    </row>
    <row r="217" spans="1:66">
      <c r="A217" s="524">
        <v>1</v>
      </c>
      <c r="B217" s="322" t="s">
        <v>1427</v>
      </c>
      <c r="D217" s="530" t="s">
        <v>2667</v>
      </c>
      <c r="F217" s="317">
        <v>70</v>
      </c>
      <c r="N217" s="322"/>
      <c r="P217" s="322"/>
      <c r="R217" s="322"/>
      <c r="T217" s="322"/>
      <c r="V217" s="322"/>
      <c r="X217" s="322"/>
      <c r="Z217" s="322"/>
      <c r="AB217" s="322"/>
      <c r="AD217" s="322"/>
      <c r="AF217" s="322"/>
      <c r="AH217" s="322"/>
      <c r="AJ217" s="322"/>
      <c r="AL217" s="322"/>
      <c r="AN217" s="322"/>
      <c r="AP217" s="322"/>
      <c r="AR217" s="322"/>
      <c r="AT217" s="322"/>
      <c r="AV217" s="322"/>
      <c r="AX217" s="322"/>
      <c r="AZ217" s="322"/>
      <c r="BB217" s="322"/>
      <c r="BD217" s="322"/>
      <c r="BF217" s="322"/>
      <c r="BH217" s="322"/>
      <c r="BJ217" s="322"/>
      <c r="BL217" s="322"/>
      <c r="BN217" s="322"/>
    </row>
    <row r="218" spans="1:66">
      <c r="A218" s="524">
        <v>1</v>
      </c>
      <c r="B218" s="322" t="s">
        <v>1427</v>
      </c>
      <c r="D218" s="839" t="s">
        <v>2537</v>
      </c>
      <c r="E218" s="441" t="s">
        <v>1545</v>
      </c>
      <c r="G218" s="322">
        <f>IF(F218&lt;120,0.8,IF(F218&gt;140,2,1))</f>
        <v>0.8</v>
      </c>
      <c r="N218" s="322"/>
      <c r="P218" s="322"/>
      <c r="R218" s="322"/>
      <c r="T218" s="322"/>
      <c r="V218" s="322"/>
      <c r="X218" s="322"/>
      <c r="Z218" s="322"/>
      <c r="AB218" s="322"/>
      <c r="AD218" s="322"/>
      <c r="AF218" s="322"/>
      <c r="AH218" s="322"/>
      <c r="AJ218" s="322"/>
      <c r="AL218" s="322"/>
      <c r="AN218" s="322"/>
      <c r="AP218" s="322"/>
      <c r="AR218" s="322"/>
      <c r="AT218" s="322"/>
      <c r="AV218" s="322"/>
      <c r="AX218" s="322"/>
      <c r="AZ218" s="322"/>
      <c r="BB218" s="322"/>
      <c r="BD218" s="322"/>
      <c r="BF218" s="322"/>
      <c r="BH218" s="322"/>
      <c r="BJ218" s="322"/>
      <c r="BL218" s="322"/>
      <c r="BN218" s="322"/>
    </row>
    <row r="219" spans="1:66">
      <c r="B219" s="322" t="s">
        <v>1427</v>
      </c>
      <c r="D219" s="839" t="s">
        <v>2538</v>
      </c>
      <c r="E219" s="441" t="s">
        <v>1544</v>
      </c>
      <c r="G219" s="322">
        <f>IF(F219&lt;80,0.8,IF(F219&gt;90,2,1))</f>
        <v>0.8</v>
      </c>
      <c r="H219" s="322">
        <f>MAX(G218:G219)</f>
        <v>0.8</v>
      </c>
      <c r="N219" s="322"/>
      <c r="P219" s="322"/>
      <c r="R219" s="322"/>
      <c r="T219" s="322"/>
      <c r="V219" s="322"/>
      <c r="X219" s="322"/>
      <c r="Z219" s="322"/>
      <c r="AB219" s="322"/>
      <c r="AD219" s="322"/>
      <c r="AF219" s="322"/>
      <c r="AH219" s="322"/>
      <c r="AJ219" s="322"/>
      <c r="AL219" s="322"/>
      <c r="AN219" s="322"/>
      <c r="AP219" s="322"/>
      <c r="AR219" s="322"/>
      <c r="AT219" s="322"/>
      <c r="AV219" s="322"/>
      <c r="AX219" s="322"/>
      <c r="AZ219" s="322"/>
      <c r="BB219" s="322"/>
      <c r="BD219" s="322"/>
      <c r="BF219" s="322"/>
      <c r="BH219" s="322"/>
      <c r="BJ219" s="322"/>
      <c r="BL219" s="322"/>
      <c r="BN219" s="322"/>
    </row>
    <row r="220" spans="1:66">
      <c r="B220" s="322" t="s">
        <v>1427</v>
      </c>
      <c r="D220" s="530" t="s">
        <v>2668</v>
      </c>
      <c r="F220" s="317">
        <v>99</v>
      </c>
      <c r="I220" s="539" t="s">
        <v>1709</v>
      </c>
      <c r="J220" s="580">
        <f>(-93.565+(2.9979*H3)+(7.9979*H68)+(1.1998*F4)+(0.1499375*F218)+(0.7995*H6))/100</f>
        <v>-0.1228398888888889</v>
      </c>
      <c r="N220" s="322"/>
      <c r="P220" s="322"/>
      <c r="R220" s="322"/>
      <c r="T220" s="322"/>
      <c r="V220" s="322"/>
      <c r="X220" s="322"/>
      <c r="Z220" s="322"/>
      <c r="AB220" s="322"/>
      <c r="AD220" s="322"/>
      <c r="AF220" s="322"/>
      <c r="AH220" s="322"/>
      <c r="AJ220" s="322"/>
      <c r="AL220" s="322"/>
      <c r="AN220" s="322"/>
      <c r="AP220" s="322"/>
      <c r="AR220" s="322"/>
      <c r="AT220" s="322"/>
      <c r="AV220" s="322"/>
      <c r="AX220" s="322"/>
      <c r="AZ220" s="322"/>
      <c r="BB220" s="322"/>
      <c r="BD220" s="322"/>
      <c r="BF220" s="322"/>
      <c r="BH220" s="322"/>
      <c r="BJ220" s="322"/>
      <c r="BL220" s="322"/>
      <c r="BN220" s="322"/>
    </row>
    <row r="221" spans="1:66">
      <c r="B221" s="322" t="s">
        <v>1427</v>
      </c>
      <c r="D221" s="530" t="s">
        <v>2669</v>
      </c>
      <c r="F221" s="317">
        <v>65</v>
      </c>
      <c r="J221"/>
      <c r="N221" s="322"/>
      <c r="P221" s="322"/>
      <c r="R221" s="322"/>
      <c r="T221" s="322"/>
      <c r="V221" s="322"/>
      <c r="X221" s="322"/>
      <c r="Z221" s="322"/>
      <c r="AB221" s="322"/>
      <c r="AD221" s="322"/>
      <c r="AF221" s="322"/>
      <c r="AH221" s="322"/>
      <c r="AJ221" s="322"/>
      <c r="AL221" s="322"/>
      <c r="AN221" s="322"/>
      <c r="AP221" s="322"/>
      <c r="AR221" s="322"/>
      <c r="AT221" s="322"/>
      <c r="AV221" s="322"/>
      <c r="AX221" s="322"/>
      <c r="AZ221" s="322"/>
      <c r="BB221" s="322"/>
      <c r="BD221" s="322"/>
      <c r="BF221" s="322"/>
      <c r="BH221" s="322"/>
      <c r="BJ221" s="322"/>
      <c r="BL221" s="322"/>
      <c r="BN221" s="322"/>
    </row>
    <row r="222" spans="1:66">
      <c r="B222" s="322" t="s">
        <v>1427</v>
      </c>
      <c r="D222" s="530" t="s">
        <v>2673</v>
      </c>
      <c r="F222" s="548">
        <v>0</v>
      </c>
      <c r="G222" s="326">
        <f>IF(F222=2,1,0)</f>
        <v>0</v>
      </c>
      <c r="N222" s="322"/>
      <c r="P222" s="322"/>
      <c r="R222" s="322"/>
      <c r="T222" s="322"/>
      <c r="V222" s="322"/>
      <c r="X222" s="322"/>
      <c r="Z222" s="322"/>
      <c r="AB222" s="322"/>
      <c r="AD222" s="322"/>
      <c r="AF222" s="322"/>
      <c r="AH222" s="322"/>
      <c r="AJ222" s="322"/>
      <c r="AL222" s="322"/>
      <c r="AN222" s="322"/>
      <c r="AP222" s="322"/>
      <c r="AR222" s="322"/>
      <c r="AT222" s="322"/>
      <c r="AV222" s="322"/>
      <c r="AX222" s="322"/>
      <c r="AZ222" s="322"/>
      <c r="BB222" s="322"/>
      <c r="BD222" s="322"/>
      <c r="BF222" s="322"/>
      <c r="BH222" s="322"/>
      <c r="BJ222" s="322"/>
      <c r="BL222" s="322"/>
      <c r="BN222" s="322"/>
    </row>
    <row r="223" spans="1:66">
      <c r="B223" s="322" t="s">
        <v>1427</v>
      </c>
      <c r="D223" s="386" t="s">
        <v>2326</v>
      </c>
      <c r="E223" s="568"/>
      <c r="F223" s="88"/>
      <c r="G223" s="317"/>
      <c r="N223" s="322"/>
      <c r="P223" s="322"/>
      <c r="R223" s="322"/>
      <c r="T223" s="322"/>
      <c r="V223" s="322"/>
      <c r="X223" s="322"/>
      <c r="Z223" s="322"/>
      <c r="AB223" s="322"/>
      <c r="AD223" s="322"/>
      <c r="AF223" s="322"/>
      <c r="AH223" s="322"/>
      <c r="AJ223" s="322"/>
      <c r="AL223" s="322"/>
      <c r="AN223" s="322"/>
      <c r="AP223" s="322"/>
      <c r="AR223" s="322"/>
      <c r="AT223" s="322"/>
      <c r="AV223" s="322"/>
      <c r="AX223" s="322"/>
      <c r="AZ223" s="322"/>
      <c r="BB223" s="322"/>
      <c r="BD223" s="322"/>
      <c r="BF223" s="322"/>
      <c r="BH223" s="322"/>
      <c r="BJ223" s="322"/>
      <c r="BL223" s="322"/>
      <c r="BN223" s="322"/>
    </row>
    <row r="224" spans="1:66">
      <c r="B224" s="322" t="s">
        <v>1427</v>
      </c>
      <c r="D224" s="386" t="s">
        <v>2327</v>
      </c>
      <c r="E224" s="568"/>
      <c r="F224" s="88"/>
      <c r="G224" s="317"/>
      <c r="N224" s="322"/>
      <c r="P224" s="322"/>
      <c r="R224" s="322"/>
      <c r="T224" s="322"/>
      <c r="V224" s="322"/>
      <c r="X224" s="322"/>
      <c r="Z224" s="322"/>
      <c r="AB224" s="322"/>
      <c r="AD224" s="322"/>
      <c r="AF224" s="322"/>
      <c r="AH224" s="322"/>
      <c r="AJ224" s="322"/>
      <c r="AL224" s="322"/>
      <c r="AN224" s="322"/>
      <c r="AP224" s="322"/>
      <c r="AR224" s="322"/>
      <c r="AT224" s="322"/>
      <c r="AV224" s="322"/>
      <c r="AX224" s="322"/>
      <c r="AZ224" s="322"/>
      <c r="BB224" s="322"/>
      <c r="BD224" s="322"/>
      <c r="BF224" s="322"/>
      <c r="BH224" s="322"/>
      <c r="BJ224" s="322"/>
      <c r="BL224" s="322"/>
      <c r="BN224" s="322"/>
    </row>
    <row r="225" spans="1:66">
      <c r="B225" s="322" t="s">
        <v>1427</v>
      </c>
      <c r="D225" s="386" t="s">
        <v>2328</v>
      </c>
      <c r="E225" s="568"/>
      <c r="F225" s="88"/>
      <c r="G225" s="317"/>
      <c r="N225" s="322"/>
      <c r="P225" s="322"/>
      <c r="R225" s="322"/>
      <c r="T225" s="322"/>
      <c r="V225" s="322"/>
      <c r="X225" s="322"/>
      <c r="Z225" s="322"/>
      <c r="AB225" s="322"/>
      <c r="AD225" s="322"/>
      <c r="AF225" s="322"/>
      <c r="AH225" s="322"/>
      <c r="AJ225" s="322"/>
      <c r="AL225" s="322"/>
      <c r="AN225" s="322"/>
      <c r="AP225" s="322"/>
      <c r="AR225" s="322"/>
      <c r="AT225" s="322"/>
      <c r="AV225" s="322"/>
      <c r="AX225" s="322"/>
      <c r="AZ225" s="322"/>
      <c r="BB225" s="322"/>
      <c r="BD225" s="322"/>
      <c r="BF225" s="322"/>
      <c r="BH225" s="322"/>
      <c r="BJ225" s="322"/>
      <c r="BL225" s="322"/>
      <c r="BN225" s="322"/>
    </row>
    <row r="226" spans="1:66">
      <c r="B226" s="322" t="s">
        <v>1427</v>
      </c>
      <c r="D226" s="386" t="s">
        <v>2329</v>
      </c>
      <c r="E226" s="568"/>
      <c r="F226" s="88"/>
      <c r="G226" s="317"/>
      <c r="N226" s="322"/>
      <c r="P226" s="322"/>
      <c r="R226" s="322"/>
      <c r="T226" s="322"/>
      <c r="V226" s="322"/>
      <c r="X226" s="322"/>
      <c r="Z226" s="322"/>
      <c r="AB226" s="322"/>
      <c r="AD226" s="322"/>
      <c r="AF226" s="322"/>
      <c r="AH226" s="322"/>
      <c r="AJ226" s="322"/>
      <c r="AL226" s="322"/>
      <c r="AN226" s="322"/>
      <c r="AP226" s="322"/>
      <c r="AR226" s="322"/>
      <c r="AT226" s="322"/>
      <c r="AV226" s="322"/>
      <c r="AX226" s="322"/>
      <c r="AZ226" s="322"/>
      <c r="BB226" s="322"/>
      <c r="BD226" s="322"/>
      <c r="BF226" s="322"/>
      <c r="BH226" s="322"/>
      <c r="BJ226" s="322"/>
      <c r="BL226" s="322"/>
      <c r="BN226" s="322"/>
    </row>
    <row r="227" spans="1:66">
      <c r="B227" s="322" t="s">
        <v>1427</v>
      </c>
      <c r="D227" s="386" t="s">
        <v>2330</v>
      </c>
      <c r="E227" s="568"/>
      <c r="F227" s="88"/>
      <c r="G227" s="317"/>
      <c r="N227" s="322"/>
      <c r="P227" s="322"/>
      <c r="R227" s="322"/>
      <c r="T227" s="322"/>
      <c r="V227" s="322"/>
      <c r="X227" s="322"/>
      <c r="Z227" s="322"/>
      <c r="AB227" s="322"/>
      <c r="AD227" s="322"/>
      <c r="AF227" s="322"/>
      <c r="AH227" s="322"/>
      <c r="AJ227" s="322"/>
      <c r="AL227" s="322"/>
      <c r="AN227" s="322"/>
      <c r="AP227" s="322"/>
      <c r="AR227" s="322"/>
      <c r="AT227" s="322"/>
      <c r="AV227" s="322"/>
      <c r="AX227" s="322"/>
      <c r="AZ227" s="322"/>
      <c r="BB227" s="322"/>
      <c r="BD227" s="322"/>
      <c r="BF227" s="322"/>
      <c r="BH227" s="322"/>
      <c r="BJ227" s="322"/>
      <c r="BL227" s="322"/>
      <c r="BN227" s="322"/>
    </row>
    <row r="228" spans="1:66">
      <c r="A228" s="524">
        <v>1</v>
      </c>
      <c r="B228" s="322" t="s">
        <v>1427</v>
      </c>
      <c r="D228" s="386" t="s">
        <v>2331</v>
      </c>
      <c r="E228" s="568"/>
      <c r="F228" s="88"/>
      <c r="G228" s="317"/>
      <c r="N228" s="322"/>
      <c r="P228" s="322"/>
      <c r="R228" s="322"/>
      <c r="T228" s="322"/>
      <c r="V228" s="322"/>
      <c r="X228" s="322"/>
      <c r="Z228" s="322"/>
      <c r="AB228" s="322"/>
      <c r="AD228" s="322"/>
      <c r="AF228" s="322"/>
      <c r="AH228" s="322"/>
      <c r="AJ228" s="322"/>
      <c r="AL228" s="322"/>
      <c r="AN228" s="322"/>
      <c r="AP228" s="322"/>
      <c r="AR228" s="322"/>
      <c r="AT228" s="322"/>
      <c r="AV228" s="322"/>
      <c r="AX228" s="322"/>
      <c r="AZ228" s="322"/>
      <c r="BB228" s="322"/>
      <c r="BD228" s="322"/>
      <c r="BF228" s="322"/>
      <c r="BH228" s="322"/>
      <c r="BJ228" s="322"/>
      <c r="BL228" s="322"/>
      <c r="BN228" s="322"/>
    </row>
    <row r="229" spans="1:66">
      <c r="A229" s="524"/>
      <c r="B229" s="322" t="s">
        <v>1427</v>
      </c>
      <c r="D229" s="386" t="s">
        <v>2332</v>
      </c>
      <c r="E229" s="568"/>
      <c r="F229" s="88"/>
      <c r="G229" s="317"/>
      <c r="N229" s="322"/>
      <c r="P229" s="322"/>
      <c r="R229" s="322"/>
      <c r="T229" s="322"/>
      <c r="V229" s="322"/>
      <c r="X229" s="322"/>
      <c r="Z229" s="322"/>
      <c r="AB229" s="322"/>
      <c r="AD229" s="322"/>
      <c r="AF229" s="322"/>
      <c r="AH229" s="322"/>
      <c r="AJ229" s="322"/>
      <c r="AL229" s="322"/>
      <c r="AN229" s="322"/>
      <c r="AP229" s="322"/>
      <c r="AR229" s="322"/>
      <c r="AT229" s="322"/>
      <c r="AV229" s="322"/>
      <c r="AX229" s="322"/>
      <c r="AZ229" s="322"/>
      <c r="BB229" s="322"/>
      <c r="BD229" s="322"/>
      <c r="BF229" s="322"/>
      <c r="BH229" s="322"/>
      <c r="BJ229" s="322"/>
      <c r="BL229" s="322"/>
      <c r="BN229" s="322"/>
    </row>
    <row r="230" spans="1:66">
      <c r="A230" s="524">
        <v>1</v>
      </c>
      <c r="B230" s="322" t="s">
        <v>1427</v>
      </c>
      <c r="D230" s="386" t="s">
        <v>2692</v>
      </c>
      <c r="E230" s="568"/>
      <c r="F230" s="88">
        <v>2</v>
      </c>
      <c r="G230" s="312">
        <f>IF(F230=1,2,1)</f>
        <v>1</v>
      </c>
      <c r="N230" s="322"/>
      <c r="P230" s="322"/>
      <c r="R230" s="322"/>
      <c r="T230" s="322"/>
      <c r="V230" s="322"/>
      <c r="X230" s="322"/>
      <c r="Z230" s="322"/>
      <c r="AB230" s="322"/>
      <c r="AD230" s="322"/>
      <c r="AF230" s="322"/>
      <c r="AH230" s="322"/>
      <c r="AJ230" s="322"/>
      <c r="AL230" s="322"/>
      <c r="AN230" s="322"/>
      <c r="AP230" s="322"/>
      <c r="AR230" s="322"/>
      <c r="AT230" s="322"/>
      <c r="AV230" s="322"/>
      <c r="AX230" s="322"/>
      <c r="AZ230" s="322"/>
      <c r="BB230" s="322"/>
      <c r="BD230" s="322"/>
      <c r="BF230" s="322"/>
      <c r="BH230" s="322"/>
      <c r="BJ230" s="322"/>
      <c r="BL230" s="322"/>
      <c r="BN230" s="322"/>
    </row>
    <row r="231" spans="1:66">
      <c r="A231" s="524">
        <v>1</v>
      </c>
      <c r="B231" s="322" t="s">
        <v>1427</v>
      </c>
      <c r="D231" s="386" t="s">
        <v>2938</v>
      </c>
      <c r="E231" s="568"/>
      <c r="F231" s="88">
        <v>1</v>
      </c>
      <c r="G231" s="312">
        <f>IF(F231=1,2,1)</f>
        <v>2</v>
      </c>
      <c r="N231" s="322"/>
      <c r="P231" s="322"/>
      <c r="R231" s="322"/>
      <c r="T231" s="322"/>
      <c r="V231" s="322"/>
      <c r="X231" s="322"/>
      <c r="Z231" s="322"/>
      <c r="AB231" s="322"/>
      <c r="AD231" s="322"/>
      <c r="AF231" s="322"/>
      <c r="AH231" s="322"/>
      <c r="AJ231" s="322"/>
      <c r="AL231" s="322"/>
      <c r="AN231" s="322"/>
      <c r="AP231" s="322"/>
      <c r="AR231" s="322"/>
      <c r="AT231" s="322"/>
      <c r="AV231" s="322"/>
      <c r="AX231" s="322"/>
      <c r="AZ231" s="322"/>
      <c r="BB231" s="322"/>
      <c r="BD231" s="322"/>
      <c r="BF231" s="322"/>
      <c r="BH231" s="322"/>
      <c r="BJ231" s="322"/>
      <c r="BL231" s="322"/>
      <c r="BN231" s="322"/>
    </row>
    <row r="232" spans="1:66">
      <c r="B232" s="322" t="s">
        <v>1427</v>
      </c>
      <c r="D232" s="382" t="s">
        <v>740</v>
      </c>
      <c r="E232" s="569"/>
      <c r="F232" s="208"/>
      <c r="G232" s="317"/>
      <c r="N232" s="322"/>
      <c r="P232" s="322"/>
      <c r="R232" s="322"/>
      <c r="T232" s="322"/>
      <c r="V232" s="322"/>
      <c r="X232" s="322"/>
      <c r="Z232" s="322"/>
      <c r="AB232" s="322"/>
      <c r="AD232" s="322"/>
      <c r="AF232" s="322"/>
      <c r="AH232" s="322"/>
      <c r="AJ232" s="322"/>
      <c r="AL232" s="322"/>
      <c r="AN232" s="322"/>
      <c r="AP232" s="322"/>
      <c r="AR232" s="322"/>
      <c r="AT232" s="322"/>
      <c r="AV232" s="322"/>
      <c r="AX232" s="322"/>
      <c r="AZ232" s="322"/>
      <c r="BB232" s="322"/>
      <c r="BD232" s="322"/>
      <c r="BF232" s="322"/>
      <c r="BH232" s="322"/>
      <c r="BJ232" s="322"/>
      <c r="BL232" s="322"/>
      <c r="BN232" s="322"/>
    </row>
    <row r="233" spans="1:66">
      <c r="B233" s="322" t="s">
        <v>1427</v>
      </c>
      <c r="D233" s="210" t="s">
        <v>2717</v>
      </c>
      <c r="E233" s="578" t="s">
        <v>1699</v>
      </c>
      <c r="F233" s="76">
        <v>2</v>
      </c>
      <c r="G233" s="740">
        <f>IF(F233=1,1.5,0)</f>
        <v>0</v>
      </c>
      <c r="N233" s="322"/>
      <c r="P233" s="322"/>
      <c r="R233" s="322"/>
      <c r="T233" s="322"/>
      <c r="V233" s="322"/>
      <c r="X233" s="322"/>
      <c r="Z233" s="322"/>
      <c r="AB233" s="322"/>
      <c r="AD233" s="322"/>
      <c r="AF233" s="322"/>
      <c r="AH233" s="322"/>
      <c r="AJ233" s="322"/>
      <c r="AL233" s="322"/>
      <c r="AN233" s="322"/>
      <c r="AP233" s="322"/>
      <c r="AR233" s="322"/>
      <c r="AT233" s="322"/>
      <c r="AV233" s="322"/>
      <c r="AX233" s="322"/>
      <c r="AZ233" s="322"/>
      <c r="BB233" s="322"/>
      <c r="BD233" s="322"/>
      <c r="BF233" s="322"/>
      <c r="BH233" s="322"/>
      <c r="BJ233" s="322"/>
      <c r="BL233" s="322"/>
      <c r="BN233" s="322"/>
    </row>
    <row r="234" spans="1:66">
      <c r="B234" s="322" t="s">
        <v>1427</v>
      </c>
      <c r="D234" s="210" t="s">
        <v>2539</v>
      </c>
      <c r="E234" s="578" t="s">
        <v>1700</v>
      </c>
      <c r="F234" s="76">
        <v>0</v>
      </c>
      <c r="G234" s="740">
        <f>IF(F234=1,1.5,0)</f>
        <v>0</v>
      </c>
      <c r="N234" s="322"/>
      <c r="P234" s="322"/>
      <c r="R234" s="322"/>
      <c r="T234" s="322"/>
      <c r="V234" s="322"/>
      <c r="X234" s="322"/>
      <c r="Z234" s="322"/>
      <c r="AB234" s="322"/>
      <c r="AD234" s="322"/>
      <c r="AF234" s="322"/>
      <c r="AH234" s="322"/>
      <c r="AJ234" s="322"/>
      <c r="AL234" s="322"/>
      <c r="AN234" s="322"/>
      <c r="AP234" s="322"/>
      <c r="AR234" s="322"/>
      <c r="AT234" s="322"/>
      <c r="AV234" s="322"/>
      <c r="AX234" s="322"/>
      <c r="AZ234" s="322"/>
      <c r="BB234" s="322"/>
      <c r="BD234" s="322"/>
      <c r="BF234" s="322"/>
      <c r="BH234" s="322"/>
      <c r="BJ234" s="322"/>
      <c r="BL234" s="322"/>
      <c r="BN234" s="322"/>
    </row>
    <row r="235" spans="1:66">
      <c r="B235" s="322" t="s">
        <v>1427</v>
      </c>
      <c r="D235" s="210" t="s">
        <v>2540</v>
      </c>
      <c r="E235" s="578" t="s">
        <v>1701</v>
      </c>
      <c r="F235" s="76">
        <v>0</v>
      </c>
      <c r="G235" s="740">
        <f>IF(F235=1,1.5,0)</f>
        <v>0</v>
      </c>
      <c r="I235" s="322" t="s">
        <v>2716</v>
      </c>
      <c r="J235" s="322">
        <f>MAX(G233:G236)</f>
        <v>1.5</v>
      </c>
      <c r="N235" s="322"/>
      <c r="P235" s="322"/>
      <c r="R235" s="322"/>
      <c r="T235" s="322"/>
      <c r="V235" s="322"/>
      <c r="X235" s="322"/>
      <c r="Z235" s="322"/>
      <c r="AB235" s="322"/>
      <c r="AD235" s="322"/>
      <c r="AF235" s="322"/>
      <c r="AH235" s="322"/>
      <c r="AJ235" s="322"/>
      <c r="AL235" s="322"/>
      <c r="AN235" s="322"/>
      <c r="AP235" s="322"/>
      <c r="AR235" s="322"/>
      <c r="AT235" s="322"/>
      <c r="AV235" s="322"/>
      <c r="AX235" s="322"/>
      <c r="AZ235" s="322"/>
      <c r="BB235" s="322"/>
      <c r="BD235" s="322"/>
      <c r="BF235" s="322"/>
      <c r="BH235" s="322"/>
      <c r="BJ235" s="322"/>
      <c r="BL235" s="322"/>
      <c r="BN235" s="322"/>
    </row>
    <row r="236" spans="1:66">
      <c r="D236" s="661" t="s">
        <v>2541</v>
      </c>
      <c r="F236" s="76">
        <v>1</v>
      </c>
      <c r="G236" s="740">
        <f>IF(F236=1,1.5,0)</f>
        <v>1.5</v>
      </c>
      <c r="H236" s="322">
        <f>IF(G236=1,1.5,1)</f>
        <v>1</v>
      </c>
      <c r="N236" s="322"/>
      <c r="P236" s="322"/>
      <c r="R236" s="322"/>
      <c r="T236" s="322"/>
      <c r="V236" s="322"/>
      <c r="X236" s="322"/>
      <c r="Z236" s="322"/>
      <c r="AB236" s="322"/>
      <c r="AD236" s="322"/>
      <c r="AF236" s="322"/>
      <c r="AH236" s="322"/>
      <c r="AJ236" s="322"/>
      <c r="AL236" s="322"/>
      <c r="AN236" s="322"/>
      <c r="AP236" s="322"/>
      <c r="AR236" s="322"/>
      <c r="AT236" s="322"/>
      <c r="AV236" s="322"/>
      <c r="AX236" s="322"/>
      <c r="AZ236" s="322"/>
      <c r="BB236" s="322"/>
      <c r="BD236" s="322"/>
      <c r="BF236" s="322"/>
      <c r="BH236" s="322"/>
      <c r="BJ236" s="322"/>
      <c r="BL236" s="322"/>
      <c r="BN236" s="322"/>
    </row>
    <row r="237" spans="1:66" ht="36">
      <c r="B237" s="322" t="s">
        <v>1427</v>
      </c>
      <c r="D237" s="383" t="s">
        <v>2360</v>
      </c>
      <c r="E237" s="578" t="s">
        <v>1702</v>
      </c>
      <c r="F237" s="317">
        <v>0</v>
      </c>
      <c r="G237" s="317"/>
      <c r="N237" s="322"/>
      <c r="P237" s="322"/>
      <c r="R237" s="322"/>
      <c r="T237" s="322"/>
      <c r="V237" s="322"/>
      <c r="X237" s="322"/>
      <c r="Z237" s="322"/>
      <c r="AB237" s="322"/>
      <c r="AD237" s="322"/>
      <c r="AF237" s="322"/>
      <c r="AH237" s="322"/>
      <c r="AJ237" s="322"/>
      <c r="AL237" s="322"/>
      <c r="AN237" s="322"/>
      <c r="AP237" s="322"/>
      <c r="AR237" s="322"/>
      <c r="AT237" s="322"/>
      <c r="AV237" s="322"/>
      <c r="AX237" s="322"/>
      <c r="AZ237" s="322"/>
      <c r="BB237" s="322"/>
      <c r="BD237" s="322"/>
      <c r="BF237" s="322"/>
      <c r="BH237" s="322"/>
      <c r="BJ237" s="322"/>
      <c r="BL237" s="322"/>
      <c r="BN237" s="322"/>
    </row>
    <row r="238" spans="1:66">
      <c r="D238" s="387"/>
      <c r="E238" s="579"/>
      <c r="G238" s="317"/>
      <c r="N238" s="322"/>
      <c r="P238" s="322"/>
      <c r="R238" s="322"/>
      <c r="T238" s="322"/>
      <c r="V238" s="322"/>
      <c r="X238" s="322"/>
      <c r="Z238" s="322"/>
      <c r="AB238" s="322"/>
      <c r="AD238" s="322"/>
      <c r="AF238" s="322"/>
      <c r="AH238" s="322"/>
      <c r="AJ238" s="322"/>
      <c r="AL238" s="322"/>
      <c r="AN238" s="322"/>
      <c r="AP238" s="322"/>
      <c r="AR238" s="322"/>
      <c r="AT238" s="322"/>
      <c r="AV238" s="322"/>
      <c r="AX238" s="322"/>
      <c r="AZ238" s="322"/>
      <c r="BB238" s="322"/>
      <c r="BD238" s="322"/>
      <c r="BF238" s="322"/>
      <c r="BH238" s="322"/>
      <c r="BJ238" s="322"/>
      <c r="BL238" s="322"/>
      <c r="BN238" s="322"/>
    </row>
    <row r="239" spans="1:66">
      <c r="D239" s="383"/>
      <c r="G239" s="317"/>
      <c r="N239" s="322"/>
      <c r="P239" s="322"/>
      <c r="R239" s="322"/>
      <c r="T239" s="322"/>
      <c r="V239" s="322"/>
      <c r="X239" s="322"/>
      <c r="Z239" s="322"/>
      <c r="AB239" s="322"/>
      <c r="AD239" s="322"/>
      <c r="AF239" s="322"/>
      <c r="AH239" s="322"/>
      <c r="AJ239" s="322"/>
      <c r="AL239" s="322"/>
      <c r="AN239" s="322"/>
      <c r="AP239" s="322"/>
      <c r="AR239" s="322"/>
      <c r="AT239" s="322"/>
      <c r="AV239" s="322"/>
      <c r="AX239" s="322"/>
      <c r="AZ239" s="322"/>
      <c r="BB239" s="322"/>
      <c r="BD239" s="322"/>
      <c r="BF239" s="322"/>
      <c r="BH239" s="322"/>
      <c r="BJ239" s="322"/>
      <c r="BL239" s="322"/>
      <c r="BN239" s="322"/>
    </row>
    <row r="240" spans="1:66">
      <c r="D240" s="387"/>
      <c r="E240" s="570"/>
      <c r="G240" s="317"/>
      <c r="N240" s="322"/>
      <c r="P240" s="322"/>
      <c r="R240" s="322"/>
      <c r="T240" s="322"/>
      <c r="V240" s="322"/>
      <c r="X240" s="322"/>
      <c r="Z240" s="322"/>
      <c r="AB240" s="322"/>
      <c r="AD240" s="322"/>
      <c r="AF240" s="322"/>
      <c r="AH240" s="322"/>
      <c r="AJ240" s="322"/>
      <c r="AL240" s="322"/>
      <c r="AN240" s="322"/>
      <c r="AP240" s="322"/>
      <c r="AR240" s="322"/>
      <c r="AT240" s="322"/>
      <c r="AV240" s="322"/>
      <c r="AX240" s="322"/>
      <c r="AZ240" s="322"/>
      <c r="BB240" s="322"/>
      <c r="BD240" s="322"/>
      <c r="BF240" s="322"/>
      <c r="BH240" s="322"/>
      <c r="BJ240" s="322"/>
      <c r="BL240" s="322"/>
      <c r="BN240" s="322"/>
    </row>
    <row r="241" spans="1:66">
      <c r="B241" s="322" t="s">
        <v>1427</v>
      </c>
      <c r="C241" s="440" t="s">
        <v>2223</v>
      </c>
      <c r="D241" s="116" t="s">
        <v>1615</v>
      </c>
      <c r="E241" s="441" t="s">
        <v>1698</v>
      </c>
      <c r="F241" s="317">
        <v>25</v>
      </c>
      <c r="G241" s="322">
        <f>IF(F241&gt;50,1,0)</f>
        <v>0</v>
      </c>
      <c r="N241" s="322"/>
      <c r="P241" s="322"/>
      <c r="R241" s="322"/>
      <c r="T241" s="322"/>
      <c r="V241" s="322"/>
      <c r="X241" s="322"/>
      <c r="Z241" s="322"/>
      <c r="AB241" s="322"/>
      <c r="AD241" s="322"/>
      <c r="AF241" s="322"/>
      <c r="AH241" s="322"/>
      <c r="AJ241" s="322"/>
      <c r="AL241" s="322"/>
      <c r="AN241" s="322"/>
      <c r="AP241" s="322"/>
      <c r="AR241" s="322"/>
      <c r="AT241" s="322"/>
      <c r="AV241" s="322"/>
      <c r="AX241" s="322"/>
      <c r="AZ241" s="322"/>
      <c r="BB241" s="322"/>
      <c r="BD241" s="322"/>
      <c r="BF241" s="322"/>
      <c r="BH241" s="322"/>
      <c r="BJ241" s="322"/>
      <c r="BL241" s="322"/>
      <c r="BN241" s="322"/>
    </row>
    <row r="242" spans="1:66">
      <c r="B242" s="322" t="s">
        <v>1427</v>
      </c>
      <c r="C242" s="440" t="s">
        <v>2252</v>
      </c>
      <c r="D242" s="116" t="s">
        <v>2542</v>
      </c>
      <c r="F242" s="76">
        <v>0</v>
      </c>
      <c r="G242" s="326">
        <f t="shared" ref="G242:G248" si="52">IF(F242=1,1,0)</f>
        <v>0</v>
      </c>
      <c r="H242" s="324">
        <f t="shared" ref="H242:H244" si="53">IF(G242=1,1.2,0.8)</f>
        <v>0.8</v>
      </c>
      <c r="I242" s="344" t="s">
        <v>1694</v>
      </c>
      <c r="J242" s="322">
        <f>MAX(H242:H246)</f>
        <v>1.2</v>
      </c>
      <c r="N242" s="322"/>
      <c r="P242" s="322"/>
      <c r="R242" s="322"/>
      <c r="T242" s="322"/>
      <c r="V242" s="322"/>
      <c r="X242" s="322"/>
      <c r="Z242" s="322"/>
      <c r="AB242" s="322"/>
      <c r="AD242" s="322"/>
      <c r="AF242" s="322"/>
      <c r="AH242" s="322"/>
      <c r="AJ242" s="322"/>
      <c r="AL242" s="322"/>
      <c r="AN242" s="322"/>
      <c r="AP242" s="322"/>
      <c r="AR242" s="322"/>
      <c r="AT242" s="322"/>
      <c r="AV242" s="322"/>
      <c r="AX242" s="322"/>
      <c r="AZ242" s="322"/>
      <c r="BB242" s="322"/>
      <c r="BD242" s="322"/>
      <c r="BF242" s="322"/>
      <c r="BH242" s="322"/>
      <c r="BJ242" s="322"/>
      <c r="BL242" s="322"/>
      <c r="BN242" s="322"/>
    </row>
    <row r="243" spans="1:66">
      <c r="B243" s="322" t="s">
        <v>1427</v>
      </c>
      <c r="C243" s="440" t="s">
        <v>2252</v>
      </c>
      <c r="D243" s="116" t="s">
        <v>2543</v>
      </c>
      <c r="F243" s="76">
        <v>0</v>
      </c>
      <c r="G243" s="326">
        <f t="shared" si="52"/>
        <v>0</v>
      </c>
      <c r="H243" s="324">
        <f t="shared" si="53"/>
        <v>0.8</v>
      </c>
      <c r="N243" s="322"/>
      <c r="P243" s="322"/>
      <c r="R243" s="322"/>
      <c r="T243" s="322"/>
      <c r="V243" s="322"/>
      <c r="X243" s="322"/>
      <c r="Z243" s="322"/>
      <c r="AB243" s="322"/>
      <c r="AD243" s="322"/>
      <c r="AF243" s="322"/>
      <c r="AH243" s="322"/>
      <c r="AJ243" s="322"/>
      <c r="AL243" s="322"/>
      <c r="AN243" s="322"/>
      <c r="AP243" s="322"/>
      <c r="AR243" s="322"/>
      <c r="AT243" s="322"/>
      <c r="AV243" s="322"/>
      <c r="AX243" s="322"/>
      <c r="AZ243" s="322"/>
      <c r="BB243" s="322"/>
      <c r="BD243" s="322"/>
      <c r="BF243" s="322"/>
      <c r="BH243" s="322"/>
      <c r="BJ243" s="322"/>
      <c r="BL243" s="322"/>
      <c r="BN243" s="322"/>
    </row>
    <row r="244" spans="1:66" ht="35.4">
      <c r="B244" s="322" t="s">
        <v>1427</v>
      </c>
      <c r="C244" s="440" t="s">
        <v>2252</v>
      </c>
      <c r="D244" s="116" t="s">
        <v>2544</v>
      </c>
      <c r="F244" s="76">
        <v>0</v>
      </c>
      <c r="G244" s="326">
        <f t="shared" si="52"/>
        <v>0</v>
      </c>
      <c r="H244" s="324">
        <f t="shared" si="53"/>
        <v>0.8</v>
      </c>
      <c r="N244" s="322"/>
      <c r="P244" s="322"/>
      <c r="R244" s="322"/>
      <c r="T244" s="322"/>
      <c r="V244" s="322"/>
      <c r="X244" s="322"/>
      <c r="Z244" s="322"/>
      <c r="AB244" s="322"/>
      <c r="AD244" s="322"/>
      <c r="AF244" s="322"/>
      <c r="AH244" s="322"/>
      <c r="AJ244" s="322"/>
      <c r="AL244" s="322"/>
      <c r="AN244" s="322"/>
      <c r="AP244" s="322"/>
      <c r="AR244" s="322"/>
      <c r="AT244" s="322"/>
      <c r="AV244" s="322"/>
      <c r="AX244" s="322"/>
      <c r="AZ244" s="322"/>
      <c r="BB244" s="322"/>
      <c r="BD244" s="322"/>
      <c r="BF244" s="322"/>
      <c r="BH244" s="322"/>
      <c r="BJ244" s="322"/>
      <c r="BL244" s="322"/>
      <c r="BN244" s="322"/>
    </row>
    <row r="245" spans="1:66">
      <c r="B245" s="322" t="s">
        <v>1427</v>
      </c>
      <c r="C245" s="440" t="s">
        <v>2252</v>
      </c>
      <c r="D245" s="116" t="s">
        <v>2545</v>
      </c>
      <c r="F245" s="76">
        <v>1</v>
      </c>
      <c r="G245" s="326">
        <f t="shared" si="52"/>
        <v>1</v>
      </c>
      <c r="H245" s="324">
        <f t="shared" ref="H245" si="54">IF(G245=1,1.2,0.8)</f>
        <v>1.2</v>
      </c>
      <c r="I245" s="745">
        <f>IF(F245=1,2.5,1)</f>
        <v>2.5</v>
      </c>
      <c r="N245" s="322"/>
      <c r="P245" s="322"/>
      <c r="R245" s="322"/>
      <c r="T245" s="322"/>
      <c r="V245" s="322"/>
      <c r="X245" s="322"/>
      <c r="Z245" s="322"/>
      <c r="AB245" s="322"/>
      <c r="AD245" s="322"/>
      <c r="AF245" s="322"/>
      <c r="AH245" s="322"/>
      <c r="AJ245" s="322"/>
      <c r="AL245" s="322"/>
      <c r="AN245" s="322"/>
      <c r="AP245" s="322"/>
      <c r="AR245" s="322"/>
      <c r="AT245" s="322"/>
      <c r="AV245" s="322"/>
      <c r="AX245" s="322"/>
      <c r="AZ245" s="322"/>
      <c r="BB245" s="322"/>
      <c r="BD245" s="322"/>
      <c r="BF245" s="322"/>
      <c r="BH245" s="322"/>
      <c r="BJ245" s="322"/>
      <c r="BL245" s="322"/>
      <c r="BN245" s="322"/>
    </row>
    <row r="246" spans="1:66">
      <c r="B246" s="322" t="s">
        <v>1427</v>
      </c>
      <c r="D246" s="530" t="s">
        <v>2546</v>
      </c>
      <c r="F246" s="76">
        <v>0</v>
      </c>
      <c r="G246" s="326">
        <f t="shared" si="52"/>
        <v>0</v>
      </c>
      <c r="H246" s="324">
        <f t="shared" ref="H246" si="55">IF(G246=1,1.2,0.8)</f>
        <v>0.8</v>
      </c>
      <c r="N246" s="322"/>
      <c r="P246" s="322"/>
      <c r="R246" s="322"/>
      <c r="T246" s="322"/>
      <c r="V246" s="322"/>
      <c r="X246" s="322"/>
      <c r="Z246" s="322"/>
      <c r="AB246" s="322"/>
      <c r="AD246" s="322"/>
      <c r="AF246" s="322"/>
      <c r="AH246" s="322"/>
      <c r="AJ246" s="322"/>
      <c r="AL246" s="322"/>
      <c r="AN246" s="322"/>
      <c r="AP246" s="322"/>
      <c r="AR246" s="322"/>
      <c r="AT246" s="322"/>
      <c r="AV246" s="322"/>
      <c r="AX246" s="322"/>
      <c r="AZ246" s="322"/>
      <c r="BB246" s="322"/>
      <c r="BD246" s="322"/>
      <c r="BF246" s="322"/>
      <c r="BH246" s="322"/>
      <c r="BJ246" s="322"/>
      <c r="BL246" s="322"/>
      <c r="BN246" s="322"/>
    </row>
    <row r="247" spans="1:66">
      <c r="B247" s="322" t="s">
        <v>1427</v>
      </c>
      <c r="C247" s="440" t="s">
        <v>2253</v>
      </c>
      <c r="D247" s="530" t="s">
        <v>2547</v>
      </c>
      <c r="F247" s="76">
        <v>0</v>
      </c>
      <c r="G247" s="326">
        <f t="shared" si="52"/>
        <v>0</v>
      </c>
      <c r="H247" s="324">
        <f t="shared" ref="H247:H248" si="56">IF(G247=1,1.2,0.8)</f>
        <v>0.8</v>
      </c>
      <c r="N247" s="322"/>
      <c r="P247" s="322"/>
      <c r="R247" s="322"/>
      <c r="T247" s="322"/>
      <c r="V247" s="322"/>
      <c r="X247" s="322"/>
      <c r="Z247" s="322"/>
      <c r="AB247" s="322"/>
      <c r="AD247" s="322"/>
      <c r="AF247" s="322"/>
      <c r="AH247" s="322"/>
      <c r="AJ247" s="322"/>
      <c r="AL247" s="322"/>
      <c r="AN247" s="322"/>
      <c r="AP247" s="322"/>
      <c r="AR247" s="322"/>
      <c r="AT247" s="322"/>
      <c r="AV247" s="322"/>
      <c r="AX247" s="322"/>
      <c r="AZ247" s="322"/>
      <c r="BB247" s="322"/>
      <c r="BD247" s="322"/>
      <c r="BF247" s="322"/>
      <c r="BH247" s="322"/>
      <c r="BJ247" s="322"/>
      <c r="BL247" s="322"/>
      <c r="BN247" s="322"/>
    </row>
    <row r="248" spans="1:66">
      <c r="B248" s="322" t="s">
        <v>1427</v>
      </c>
      <c r="C248" s="440" t="s">
        <v>2253</v>
      </c>
      <c r="D248" s="530" t="s">
        <v>2548</v>
      </c>
      <c r="F248" s="76">
        <v>0</v>
      </c>
      <c r="G248" s="326">
        <f t="shared" si="52"/>
        <v>0</v>
      </c>
      <c r="H248" s="324">
        <f t="shared" si="56"/>
        <v>0.8</v>
      </c>
      <c r="N248" s="322"/>
      <c r="P248" s="322"/>
      <c r="R248" s="322"/>
      <c r="T248" s="322"/>
      <c r="V248" s="322"/>
      <c r="X248" s="322"/>
      <c r="Z248" s="322"/>
      <c r="AB248" s="322"/>
      <c r="AD248" s="322"/>
      <c r="AF248" s="322"/>
      <c r="AH248" s="322"/>
      <c r="AJ248" s="322"/>
      <c r="AL248" s="322"/>
      <c r="AN248" s="322"/>
      <c r="AP248" s="322"/>
      <c r="AR248" s="322"/>
      <c r="AT248" s="322"/>
      <c r="AV248" s="322"/>
      <c r="AX248" s="322"/>
      <c r="AZ248" s="322"/>
      <c r="BB248" s="322"/>
      <c r="BD248" s="322"/>
      <c r="BF248" s="322"/>
      <c r="BH248" s="322"/>
      <c r="BJ248" s="322"/>
      <c r="BL248" s="322"/>
      <c r="BN248" s="322"/>
    </row>
    <row r="249" spans="1:66">
      <c r="A249" s="524">
        <v>1</v>
      </c>
      <c r="B249" s="335" t="s">
        <v>1024</v>
      </c>
      <c r="C249" s="440" t="s">
        <v>2232</v>
      </c>
      <c r="D249" s="535" t="s">
        <v>2549</v>
      </c>
      <c r="E249" s="861"/>
      <c r="F249" s="862">
        <v>20</v>
      </c>
      <c r="G249" s="660" t="s">
        <v>1690</v>
      </c>
      <c r="H249" s="322">
        <f>(F249/20)*F250</f>
        <v>20</v>
      </c>
      <c r="N249" s="322"/>
      <c r="P249" s="322"/>
      <c r="R249" s="322"/>
      <c r="T249" s="322"/>
      <c r="V249" s="322"/>
      <c r="X249" s="322"/>
      <c r="Z249" s="322"/>
      <c r="AB249" s="322"/>
      <c r="AD249" s="322"/>
      <c r="AF249" s="322"/>
      <c r="AH249" s="322"/>
      <c r="AJ249" s="322"/>
      <c r="AL249" s="322"/>
      <c r="AN249" s="322"/>
      <c r="AP249" s="322"/>
      <c r="AR249" s="322"/>
      <c r="AT249" s="322"/>
      <c r="AV249" s="322"/>
      <c r="AX249" s="322"/>
      <c r="AZ249" s="322"/>
      <c r="BB249" s="322"/>
      <c r="BD249" s="322"/>
      <c r="BF249" s="322"/>
      <c r="BH249" s="322"/>
      <c r="BJ249" s="322"/>
      <c r="BL249" s="322"/>
      <c r="BN249" s="322"/>
    </row>
    <row r="250" spans="1:66">
      <c r="A250" s="524">
        <v>1</v>
      </c>
      <c r="B250" s="335" t="s">
        <v>1024</v>
      </c>
      <c r="C250" s="440" t="s">
        <v>2232</v>
      </c>
      <c r="D250" s="535" t="s">
        <v>2641</v>
      </c>
      <c r="E250" s="861"/>
      <c r="F250" s="862">
        <v>20</v>
      </c>
      <c r="G250" s="317" t="s">
        <v>2321</v>
      </c>
      <c r="H250" s="524" t="s">
        <v>2719</v>
      </c>
      <c r="I250" s="524">
        <f>IF(H68=0,0,(IF(F249&gt;5,1,0)))</f>
        <v>0</v>
      </c>
      <c r="N250" s="322"/>
      <c r="P250" s="322"/>
      <c r="R250" s="322"/>
      <c r="T250" s="322"/>
      <c r="V250" s="322"/>
      <c r="X250" s="322"/>
      <c r="Z250" s="322"/>
      <c r="AB250" s="322"/>
      <c r="AD250" s="322"/>
      <c r="AF250" s="322"/>
      <c r="AH250" s="322"/>
      <c r="AJ250" s="322"/>
      <c r="AL250" s="322"/>
      <c r="AN250" s="322"/>
      <c r="AP250" s="322"/>
      <c r="AR250" s="322"/>
      <c r="AT250" s="322"/>
      <c r="AV250" s="322"/>
      <c r="AX250" s="322"/>
      <c r="AZ250" s="322"/>
      <c r="BB250" s="322"/>
      <c r="BD250" s="322"/>
      <c r="BF250" s="322"/>
      <c r="BH250" s="322"/>
      <c r="BJ250" s="322"/>
      <c r="BL250" s="322"/>
      <c r="BN250" s="322"/>
    </row>
    <row r="251" spans="1:66">
      <c r="A251" s="524">
        <v>1</v>
      </c>
      <c r="B251" s="335" t="s">
        <v>1024</v>
      </c>
      <c r="D251" s="535" t="s">
        <v>2550</v>
      </c>
      <c r="F251" s="548">
        <v>0</v>
      </c>
      <c r="H251" s="322" t="s">
        <v>3011</v>
      </c>
      <c r="I251" s="322">
        <f>IF(H249&gt;15,2,1)*H68</f>
        <v>0</v>
      </c>
      <c r="N251" s="322"/>
      <c r="P251" s="322"/>
      <c r="R251" s="322"/>
      <c r="T251" s="322"/>
      <c r="V251" s="322"/>
      <c r="X251" s="322"/>
      <c r="Z251" s="322"/>
      <c r="AB251" s="322"/>
      <c r="AD251" s="322"/>
      <c r="AF251" s="322"/>
      <c r="AH251" s="322"/>
      <c r="AJ251" s="322"/>
      <c r="AL251" s="322"/>
      <c r="AN251" s="322"/>
      <c r="AP251" s="322"/>
      <c r="AR251" s="322"/>
      <c r="AT251" s="322"/>
      <c r="AV251" s="322"/>
      <c r="AX251" s="322"/>
      <c r="AZ251" s="322"/>
      <c r="BB251" s="322"/>
      <c r="BD251" s="322"/>
      <c r="BF251" s="322"/>
      <c r="BH251" s="322"/>
      <c r="BJ251" s="322"/>
      <c r="BL251" s="322"/>
      <c r="BN251" s="322"/>
    </row>
    <row r="252" spans="1:66">
      <c r="N252" s="322"/>
      <c r="P252" s="322"/>
      <c r="R252" s="322"/>
      <c r="T252" s="322"/>
      <c r="V252" s="322"/>
      <c r="X252" s="322"/>
      <c r="Z252" s="322"/>
      <c r="AB252" s="322"/>
      <c r="AD252" s="322"/>
      <c r="AF252" s="322"/>
      <c r="AH252" s="322"/>
      <c r="AJ252" s="322"/>
      <c r="AL252" s="322"/>
      <c r="AN252" s="322"/>
      <c r="AP252" s="322"/>
      <c r="AR252" s="322"/>
      <c r="AT252" s="322"/>
      <c r="AV252" s="322"/>
      <c r="AX252" s="322"/>
      <c r="AZ252" s="322"/>
      <c r="BB252" s="322"/>
      <c r="BD252" s="322"/>
      <c r="BF252" s="322"/>
      <c r="BH252" s="322"/>
      <c r="BJ252" s="322"/>
      <c r="BL252" s="322"/>
      <c r="BN252" s="322"/>
    </row>
    <row r="253" spans="1:66">
      <c r="N253" s="322"/>
      <c r="P253" s="322"/>
      <c r="R253" s="322"/>
      <c r="T253" s="322"/>
      <c r="V253" s="322"/>
      <c r="X253" s="322"/>
      <c r="Z253" s="322"/>
      <c r="AB253" s="322"/>
      <c r="AD253" s="322"/>
      <c r="AF253" s="322"/>
      <c r="AH253" s="322"/>
      <c r="AJ253" s="322"/>
      <c r="AL253" s="322"/>
      <c r="AN253" s="322"/>
      <c r="AP253" s="322"/>
      <c r="AR253" s="322"/>
      <c r="AT253" s="322"/>
      <c r="AV253" s="322"/>
      <c r="AX253" s="322"/>
      <c r="AZ253" s="322"/>
      <c r="BB253" s="322"/>
      <c r="BD253" s="322"/>
      <c r="BF253" s="322"/>
      <c r="BH253" s="322"/>
      <c r="BJ253" s="322"/>
      <c r="BL253" s="322"/>
      <c r="BN253" s="322"/>
    </row>
    <row r="254" spans="1:66">
      <c r="B254" s="322" t="s">
        <v>1654</v>
      </c>
      <c r="D254" s="538" t="s">
        <v>2551</v>
      </c>
      <c r="F254" s="548">
        <v>0</v>
      </c>
      <c r="G254" s="326">
        <f>F254</f>
        <v>0</v>
      </c>
      <c r="N254" s="322"/>
      <c r="P254" s="322"/>
      <c r="R254" s="322"/>
      <c r="T254" s="322"/>
      <c r="V254" s="322"/>
      <c r="X254" s="322"/>
      <c r="Z254" s="322"/>
      <c r="AB254" s="322"/>
      <c r="AD254" s="322"/>
      <c r="AF254" s="322"/>
      <c r="AH254" s="322"/>
      <c r="AJ254" s="322"/>
      <c r="AL254" s="322"/>
      <c r="AN254" s="322"/>
      <c r="AP254" s="322"/>
      <c r="AR254" s="322"/>
      <c r="AT254" s="322"/>
      <c r="AV254" s="322"/>
      <c r="AX254" s="322"/>
      <c r="AZ254" s="322"/>
      <c r="BB254" s="322"/>
      <c r="BD254" s="322"/>
      <c r="BF254" s="322"/>
      <c r="BH254" s="322"/>
      <c r="BJ254" s="322"/>
      <c r="BL254" s="322"/>
      <c r="BN254" s="322"/>
    </row>
    <row r="255" spans="1:66">
      <c r="B255" s="322" t="s">
        <v>1654</v>
      </c>
      <c r="C255" s="440" t="s">
        <v>2241</v>
      </c>
      <c r="D255" s="538" t="s">
        <v>2552</v>
      </c>
      <c r="F255" s="317">
        <v>0</v>
      </c>
      <c r="N255" s="322"/>
      <c r="P255" s="322"/>
      <c r="R255" s="322"/>
      <c r="T255" s="322"/>
      <c r="V255" s="322"/>
      <c r="X255" s="322"/>
      <c r="Z255" s="322"/>
      <c r="AB255" s="322"/>
      <c r="AD255" s="322"/>
      <c r="AF255" s="322"/>
      <c r="AH255" s="322"/>
      <c r="AJ255" s="322"/>
      <c r="AL255" s="322"/>
      <c r="AN255" s="322"/>
      <c r="AP255" s="322"/>
      <c r="AR255" s="322"/>
      <c r="AT255" s="322"/>
      <c r="AV255" s="322"/>
      <c r="AX255" s="322"/>
      <c r="AZ255" s="322"/>
      <c r="BB255" s="322"/>
      <c r="BD255" s="322"/>
      <c r="BF255" s="322"/>
      <c r="BH255" s="322"/>
      <c r="BJ255" s="322"/>
      <c r="BL255" s="322"/>
      <c r="BN255" s="322"/>
    </row>
    <row r="256" spans="1:66">
      <c r="B256" s="322" t="s">
        <v>1654</v>
      </c>
      <c r="C256" s="440" t="s">
        <v>2240</v>
      </c>
      <c r="D256" s="538" t="s">
        <v>2553</v>
      </c>
      <c r="F256" s="548">
        <v>0</v>
      </c>
      <c r="N256" s="322"/>
      <c r="P256" s="322"/>
      <c r="R256" s="322"/>
      <c r="T256" s="322"/>
      <c r="V256" s="322"/>
      <c r="X256" s="322"/>
      <c r="Z256" s="322"/>
      <c r="AB256" s="322"/>
      <c r="AD256" s="322"/>
      <c r="AF256" s="322"/>
      <c r="AH256" s="322"/>
      <c r="AJ256" s="322"/>
      <c r="AL256" s="322"/>
      <c r="AN256" s="322"/>
      <c r="AP256" s="322"/>
      <c r="AR256" s="322"/>
      <c r="AT256" s="322"/>
      <c r="AV256" s="322"/>
      <c r="AX256" s="322"/>
      <c r="AZ256" s="322"/>
      <c r="BB256" s="322"/>
      <c r="BD256" s="322"/>
      <c r="BF256" s="322"/>
      <c r="BH256" s="322"/>
      <c r="BJ256" s="322"/>
      <c r="BL256" s="322"/>
      <c r="BN256" s="322"/>
    </row>
    <row r="257" spans="2:66">
      <c r="B257" s="24" t="s">
        <v>1023</v>
      </c>
      <c r="C257" s="440" t="s">
        <v>2243</v>
      </c>
      <c r="D257" s="645" t="s">
        <v>2554</v>
      </c>
      <c r="F257" s="548">
        <v>0</v>
      </c>
      <c r="N257" s="322"/>
      <c r="P257" s="322"/>
      <c r="R257" s="322"/>
      <c r="T257" s="322"/>
      <c r="V257" s="322"/>
      <c r="X257" s="322"/>
      <c r="Z257" s="322"/>
      <c r="AB257" s="322"/>
      <c r="AD257" s="322"/>
      <c r="AF257" s="322"/>
      <c r="AH257" s="322"/>
      <c r="AJ257" s="322"/>
      <c r="AL257" s="322"/>
      <c r="AN257" s="322"/>
      <c r="AP257" s="322"/>
      <c r="AR257" s="322"/>
      <c r="AT257" s="322"/>
      <c r="AV257" s="322"/>
      <c r="AX257" s="322"/>
      <c r="AZ257" s="322"/>
      <c r="BB257" s="322"/>
      <c r="BD257" s="322"/>
      <c r="BF257" s="322"/>
      <c r="BH257" s="322"/>
      <c r="BJ257" s="322"/>
      <c r="BL257" s="322"/>
      <c r="BN257" s="322"/>
    </row>
    <row r="258" spans="2:66">
      <c r="B258" s="24" t="s">
        <v>1023</v>
      </c>
      <c r="C258" s="440" t="s">
        <v>2243</v>
      </c>
      <c r="D258" s="645" t="s">
        <v>2642</v>
      </c>
      <c r="F258" s="548">
        <v>0</v>
      </c>
      <c r="N258" s="322"/>
      <c r="P258" s="322"/>
      <c r="R258" s="322"/>
      <c r="T258" s="322"/>
      <c r="V258" s="322"/>
      <c r="X258" s="322"/>
      <c r="Z258" s="322"/>
      <c r="AB258" s="322"/>
      <c r="AD258" s="322"/>
      <c r="AF258" s="322"/>
      <c r="AH258" s="322"/>
      <c r="AJ258" s="322"/>
      <c r="AL258" s="322"/>
      <c r="AN258" s="322"/>
      <c r="AP258" s="322"/>
      <c r="AR258" s="322"/>
      <c r="AT258" s="322"/>
      <c r="AV258" s="322"/>
      <c r="AX258" s="322"/>
      <c r="AZ258" s="322"/>
      <c r="BB258" s="322"/>
      <c r="BD258" s="322"/>
      <c r="BF258" s="322"/>
      <c r="BH258" s="322"/>
      <c r="BJ258" s="322"/>
      <c r="BL258" s="322"/>
      <c r="BN258" s="322"/>
    </row>
    <row r="259" spans="2:66">
      <c r="B259" s="24" t="s">
        <v>1023</v>
      </c>
      <c r="C259" s="440" t="s">
        <v>2244</v>
      </c>
      <c r="D259" s="645" t="s">
        <v>2555</v>
      </c>
      <c r="F259" s="548">
        <v>0</v>
      </c>
      <c r="N259" s="322"/>
      <c r="P259" s="322"/>
      <c r="R259" s="322"/>
      <c r="T259" s="322"/>
      <c r="V259" s="322"/>
      <c r="X259" s="322"/>
      <c r="Z259" s="322"/>
      <c r="AB259" s="322"/>
      <c r="AD259" s="322"/>
      <c r="AF259" s="322"/>
      <c r="AH259" s="322"/>
      <c r="AJ259" s="322"/>
      <c r="AL259" s="322"/>
      <c r="AN259" s="322"/>
      <c r="AP259" s="322"/>
      <c r="AR259" s="322"/>
      <c r="AT259" s="322"/>
      <c r="AV259" s="322"/>
      <c r="AX259" s="322"/>
      <c r="AZ259" s="322"/>
      <c r="BB259" s="322"/>
      <c r="BD259" s="322"/>
      <c r="BF259" s="322"/>
      <c r="BH259" s="322"/>
      <c r="BJ259" s="322"/>
      <c r="BL259" s="322"/>
      <c r="BN259" s="322"/>
    </row>
    <row r="260" spans="2:66">
      <c r="N260" s="322"/>
      <c r="P260" s="322"/>
      <c r="R260" s="322"/>
      <c r="T260" s="322"/>
      <c r="V260" s="322"/>
      <c r="X260" s="322"/>
      <c r="Z260" s="322"/>
      <c r="AB260" s="322"/>
      <c r="AD260" s="322"/>
      <c r="AF260" s="322"/>
      <c r="AH260" s="322"/>
      <c r="AJ260" s="322"/>
      <c r="AL260" s="322"/>
      <c r="AN260" s="322"/>
      <c r="AP260" s="322"/>
      <c r="AR260" s="322"/>
      <c r="AT260" s="322"/>
      <c r="AV260" s="322"/>
      <c r="AX260" s="322"/>
      <c r="AZ260" s="322"/>
      <c r="BB260" s="322"/>
      <c r="BD260" s="322"/>
      <c r="BF260" s="322"/>
      <c r="BH260" s="322"/>
      <c r="BJ260" s="322"/>
      <c r="BL260" s="322"/>
      <c r="BN260" s="322"/>
    </row>
    <row r="261" spans="2:66">
      <c r="B261" s="322" t="s">
        <v>1654</v>
      </c>
      <c r="C261" s="440" t="s">
        <v>2254</v>
      </c>
      <c r="D261" s="680" t="s">
        <v>1955</v>
      </c>
      <c r="F261" s="319" t="s">
        <v>2212</v>
      </c>
      <c r="N261" s="322"/>
      <c r="P261" s="322"/>
      <c r="R261" s="322"/>
      <c r="T261" s="322"/>
      <c r="V261" s="322"/>
      <c r="X261" s="322"/>
      <c r="Z261" s="322"/>
      <c r="AB261" s="322"/>
      <c r="AD261" s="322"/>
      <c r="AF261" s="322"/>
      <c r="AH261" s="322"/>
      <c r="AJ261" s="322"/>
      <c r="AL261" s="322"/>
      <c r="AN261" s="322"/>
      <c r="AP261" s="322"/>
      <c r="AR261" s="322"/>
      <c r="AT261" s="322"/>
      <c r="AV261" s="322"/>
      <c r="AX261" s="322"/>
      <c r="AZ261" s="322"/>
      <c r="BB261" s="322"/>
      <c r="BD261" s="322"/>
      <c r="BF261" s="322"/>
      <c r="BH261" s="322"/>
      <c r="BJ261" s="322"/>
      <c r="BL261" s="322"/>
      <c r="BN261" s="322"/>
    </row>
    <row r="262" spans="2:66">
      <c r="B262" s="322" t="s">
        <v>1654</v>
      </c>
      <c r="C262" s="440" t="s">
        <v>2255</v>
      </c>
      <c r="D262" s="680" t="s">
        <v>1956</v>
      </c>
      <c r="F262" s="319" t="s">
        <v>2212</v>
      </c>
      <c r="N262" s="322"/>
      <c r="P262" s="322"/>
      <c r="R262" s="322"/>
      <c r="T262" s="322"/>
      <c r="V262" s="322"/>
      <c r="X262" s="322"/>
      <c r="Z262" s="322"/>
      <c r="AB262" s="322"/>
      <c r="AD262" s="322"/>
      <c r="AF262" s="322"/>
      <c r="AH262" s="322"/>
      <c r="AJ262" s="322"/>
      <c r="AL262" s="322"/>
      <c r="AN262" s="322"/>
      <c r="AP262" s="322"/>
      <c r="AR262" s="322"/>
      <c r="AT262" s="322"/>
      <c r="AV262" s="322"/>
      <c r="AX262" s="322"/>
      <c r="AZ262" s="322"/>
      <c r="BB262" s="322"/>
      <c r="BD262" s="322"/>
      <c r="BF262" s="322"/>
      <c r="BH262" s="322"/>
      <c r="BJ262" s="322"/>
      <c r="BL262" s="322"/>
      <c r="BN262" s="322"/>
    </row>
    <row r="263" spans="2:66">
      <c r="B263" s="322" t="s">
        <v>1654</v>
      </c>
      <c r="C263" s="440" t="s">
        <v>2256</v>
      </c>
      <c r="D263" s="680" t="s">
        <v>1955</v>
      </c>
      <c r="F263" s="319" t="s">
        <v>2212</v>
      </c>
      <c r="N263" s="322"/>
      <c r="P263" s="322"/>
      <c r="R263" s="322"/>
      <c r="T263" s="322"/>
      <c r="V263" s="322"/>
      <c r="X263" s="322"/>
      <c r="Z263" s="322"/>
      <c r="AB263" s="322"/>
      <c r="AD263" s="322"/>
      <c r="AF263" s="322"/>
      <c r="AH263" s="322"/>
      <c r="AJ263" s="322"/>
      <c r="AL263" s="322"/>
      <c r="AN263" s="322"/>
      <c r="AP263" s="322"/>
      <c r="AR263" s="322"/>
      <c r="AT263" s="322"/>
      <c r="AV263" s="322"/>
      <c r="AX263" s="322"/>
      <c r="AZ263" s="322"/>
      <c r="BB263" s="322"/>
      <c r="BD263" s="322"/>
      <c r="BF263" s="322"/>
      <c r="BH263" s="322"/>
      <c r="BJ263" s="322"/>
      <c r="BL263" s="322"/>
      <c r="BN263" s="322"/>
    </row>
    <row r="264" spans="2:66">
      <c r="B264" s="322" t="s">
        <v>1654</v>
      </c>
      <c r="C264" s="440" t="s">
        <v>2257</v>
      </c>
      <c r="D264" s="680" t="s">
        <v>1956</v>
      </c>
      <c r="F264" s="319" t="s">
        <v>2212</v>
      </c>
      <c r="N264" s="322"/>
      <c r="P264" s="322"/>
      <c r="R264" s="322"/>
      <c r="T264" s="322"/>
      <c r="V264" s="322"/>
      <c r="X264" s="322"/>
      <c r="Z264" s="322"/>
      <c r="AB264" s="322"/>
      <c r="AD264" s="322"/>
      <c r="AF264" s="322"/>
      <c r="AH264" s="322"/>
      <c r="AJ264" s="322"/>
      <c r="AL264" s="322"/>
      <c r="AN264" s="322"/>
      <c r="AP264" s="322"/>
      <c r="AR264" s="322"/>
      <c r="AT264" s="322"/>
      <c r="AV264" s="322"/>
      <c r="AX264" s="322"/>
      <c r="AZ264" s="322"/>
      <c r="BB264" s="322"/>
      <c r="BD264" s="322"/>
      <c r="BF264" s="322"/>
      <c r="BH264" s="322"/>
      <c r="BJ264" s="322"/>
      <c r="BL264" s="322"/>
      <c r="BN264" s="322"/>
    </row>
    <row r="265" spans="2:66">
      <c r="B265" s="322" t="s">
        <v>1654</v>
      </c>
      <c r="C265" s="440" t="s">
        <v>2258</v>
      </c>
      <c r="D265" s="680" t="s">
        <v>1956</v>
      </c>
      <c r="F265" s="319" t="s">
        <v>2212</v>
      </c>
      <c r="N265" s="322"/>
      <c r="P265" s="322"/>
      <c r="R265" s="322"/>
      <c r="T265" s="322"/>
      <c r="V265" s="322"/>
      <c r="X265" s="322"/>
      <c r="Z265" s="322"/>
      <c r="AB265" s="322"/>
      <c r="AD265" s="322"/>
      <c r="AF265" s="322"/>
      <c r="AH265" s="322"/>
      <c r="AJ265" s="322"/>
      <c r="AL265" s="322"/>
      <c r="AN265" s="322"/>
      <c r="AP265" s="322"/>
      <c r="AR265" s="322"/>
      <c r="AT265" s="322"/>
      <c r="AV265" s="322"/>
      <c r="AX265" s="322"/>
      <c r="AZ265" s="322"/>
      <c r="BB265" s="322"/>
      <c r="BD265" s="322"/>
      <c r="BF265" s="322"/>
      <c r="BH265" s="322"/>
      <c r="BJ265" s="322"/>
      <c r="BL265" s="322"/>
      <c r="BN265" s="322"/>
    </row>
    <row r="266" spans="2:66">
      <c r="B266" s="322" t="s">
        <v>1654</v>
      </c>
      <c r="C266" s="440" t="s">
        <v>2259</v>
      </c>
      <c r="D266" s="680" t="s">
        <v>1955</v>
      </c>
      <c r="F266" s="319" t="s">
        <v>2212</v>
      </c>
      <c r="N266" s="322"/>
      <c r="P266" s="322"/>
      <c r="R266" s="322"/>
      <c r="T266" s="322"/>
      <c r="V266" s="322"/>
      <c r="X266" s="322"/>
      <c r="Z266" s="322"/>
      <c r="AB266" s="322"/>
      <c r="AD266" s="322"/>
      <c r="AF266" s="322"/>
      <c r="AH266" s="322"/>
      <c r="AJ266" s="322"/>
      <c r="AL266" s="322"/>
      <c r="AN266" s="322"/>
      <c r="AP266" s="322"/>
      <c r="AR266" s="322"/>
      <c r="AT266" s="322"/>
      <c r="AV266" s="322"/>
      <c r="AX266" s="322"/>
      <c r="AZ266" s="322"/>
      <c r="BB266" s="322"/>
      <c r="BD266" s="322"/>
      <c r="BF266" s="322"/>
      <c r="BH266" s="322"/>
      <c r="BJ266" s="322"/>
      <c r="BL266" s="322"/>
      <c r="BN266" s="322"/>
    </row>
    <row r="267" spans="2:66">
      <c r="B267" s="322" t="s">
        <v>1654</v>
      </c>
      <c r="C267" s="440" t="s">
        <v>2260</v>
      </c>
      <c r="D267" s="680" t="s">
        <v>1956</v>
      </c>
      <c r="F267" s="319" t="s">
        <v>2212</v>
      </c>
      <c r="N267" s="322"/>
      <c r="P267" s="322"/>
      <c r="R267" s="322"/>
      <c r="T267" s="322"/>
      <c r="V267" s="322"/>
      <c r="X267" s="322"/>
      <c r="Z267" s="322"/>
      <c r="AB267" s="322"/>
      <c r="AD267" s="322"/>
      <c r="AF267" s="322"/>
      <c r="AH267" s="322"/>
      <c r="AJ267" s="322"/>
      <c r="AL267" s="322"/>
      <c r="AN267" s="322"/>
      <c r="AP267" s="322"/>
      <c r="AR267" s="322"/>
      <c r="AT267" s="322"/>
      <c r="AV267" s="322"/>
      <c r="AX267" s="322"/>
      <c r="AZ267" s="322"/>
      <c r="BB267" s="322"/>
      <c r="BD267" s="322"/>
      <c r="BF267" s="322"/>
      <c r="BH267" s="322"/>
      <c r="BJ267" s="322"/>
      <c r="BL267" s="322"/>
      <c r="BN267" s="322"/>
    </row>
    <row r="268" spans="2:66">
      <c r="B268" s="322" t="s">
        <v>1654</v>
      </c>
      <c r="C268" s="440" t="s">
        <v>2261</v>
      </c>
      <c r="D268" s="680" t="s">
        <v>1956</v>
      </c>
      <c r="F268" s="319" t="s">
        <v>2212</v>
      </c>
      <c r="N268" s="322"/>
      <c r="P268" s="322"/>
      <c r="R268" s="322"/>
      <c r="T268" s="322"/>
      <c r="V268" s="322"/>
      <c r="X268" s="322"/>
      <c r="Z268" s="322"/>
      <c r="AB268" s="322"/>
      <c r="AD268" s="322"/>
      <c r="AF268" s="322"/>
      <c r="AH268" s="322"/>
      <c r="AJ268" s="322"/>
      <c r="AL268" s="322"/>
      <c r="AN268" s="322"/>
      <c r="AP268" s="322"/>
      <c r="AR268" s="322"/>
      <c r="AT268" s="322"/>
      <c r="AV268" s="322"/>
      <c r="AX268" s="322"/>
      <c r="AZ268" s="322"/>
      <c r="BB268" s="322"/>
      <c r="BD268" s="322"/>
      <c r="BF268" s="322"/>
      <c r="BH268" s="322"/>
      <c r="BJ268" s="322"/>
      <c r="BL268" s="322"/>
      <c r="BN268" s="322"/>
    </row>
    <row r="269" spans="2:66">
      <c r="B269" s="322" t="s">
        <v>1654</v>
      </c>
      <c r="C269" s="440" t="s">
        <v>2262</v>
      </c>
      <c r="D269" s="680" t="s">
        <v>1955</v>
      </c>
      <c r="F269" s="319" t="s">
        <v>2212</v>
      </c>
      <c r="N269" s="322"/>
      <c r="P269" s="322"/>
      <c r="R269" s="322"/>
      <c r="T269" s="322"/>
      <c r="V269" s="322"/>
      <c r="X269" s="322"/>
      <c r="Z269" s="322"/>
      <c r="AB269" s="322"/>
      <c r="AD269" s="322"/>
      <c r="AF269" s="322"/>
      <c r="AH269" s="322"/>
      <c r="AJ269" s="322"/>
      <c r="AL269" s="322"/>
      <c r="AN269" s="322"/>
      <c r="AP269" s="322"/>
      <c r="AR269" s="322"/>
      <c r="AT269" s="322"/>
      <c r="AV269" s="322"/>
      <c r="AX269" s="322"/>
      <c r="AZ269" s="322"/>
      <c r="BB269" s="322"/>
      <c r="BD269" s="322"/>
      <c r="BF269" s="322"/>
      <c r="BH269" s="322"/>
      <c r="BJ269" s="322"/>
      <c r="BL269" s="322"/>
      <c r="BN269" s="322"/>
    </row>
    <row r="270" spans="2:66">
      <c r="B270" s="322" t="s">
        <v>1654</v>
      </c>
      <c r="C270" s="440" t="s">
        <v>2263</v>
      </c>
      <c r="D270" s="680" t="s">
        <v>1955</v>
      </c>
      <c r="F270" s="319" t="s">
        <v>2212</v>
      </c>
      <c r="N270" s="322"/>
      <c r="P270" s="322"/>
      <c r="R270" s="322"/>
      <c r="T270" s="322"/>
      <c r="V270" s="322"/>
      <c r="X270" s="322"/>
      <c r="Z270" s="322"/>
      <c r="AB270" s="322"/>
      <c r="AD270" s="322"/>
      <c r="AF270" s="322"/>
      <c r="AH270" s="322"/>
      <c r="AJ270" s="322"/>
      <c r="AL270" s="322"/>
      <c r="AN270" s="322"/>
      <c r="AP270" s="322"/>
      <c r="AR270" s="322"/>
      <c r="AT270" s="322"/>
      <c r="AV270" s="322"/>
      <c r="AX270" s="322"/>
      <c r="AZ270" s="322"/>
      <c r="BB270" s="322"/>
      <c r="BD270" s="322"/>
      <c r="BF270" s="322"/>
      <c r="BH270" s="322"/>
      <c r="BJ270" s="322"/>
      <c r="BL270" s="322"/>
      <c r="BN270" s="322"/>
    </row>
    <row r="271" spans="2:66" ht="36">
      <c r="B271" s="322" t="s">
        <v>1654</v>
      </c>
      <c r="C271" s="440" t="s">
        <v>2222</v>
      </c>
      <c r="D271" s="680" t="s">
        <v>1957</v>
      </c>
      <c r="F271" s="319" t="s">
        <v>2212</v>
      </c>
      <c r="N271" s="322"/>
      <c r="P271" s="322"/>
      <c r="R271" s="322"/>
      <c r="T271" s="322"/>
      <c r="V271" s="322"/>
      <c r="X271" s="322"/>
      <c r="Z271" s="322"/>
      <c r="AB271" s="322"/>
      <c r="AD271" s="322"/>
      <c r="AF271" s="322"/>
      <c r="AH271" s="322"/>
      <c r="AJ271" s="322"/>
      <c r="AL271" s="322"/>
      <c r="AN271" s="322"/>
      <c r="AP271" s="322"/>
      <c r="AR271" s="322"/>
      <c r="AT271" s="322"/>
      <c r="AV271" s="322"/>
      <c r="AX271" s="322"/>
      <c r="AZ271" s="322"/>
      <c r="BB271" s="322"/>
      <c r="BD271" s="322"/>
      <c r="BF271" s="322"/>
      <c r="BH271" s="322"/>
      <c r="BJ271" s="322"/>
      <c r="BL271" s="322"/>
      <c r="BN271" s="322"/>
    </row>
    <row r="272" spans="2:66" ht="36">
      <c r="B272" s="322" t="s">
        <v>1654</v>
      </c>
      <c r="C272" s="440" t="s">
        <v>2240</v>
      </c>
      <c r="D272" s="846" t="s">
        <v>1958</v>
      </c>
      <c r="F272" s="319" t="s">
        <v>2212</v>
      </c>
      <c r="N272" s="322"/>
      <c r="P272" s="322"/>
      <c r="R272" s="322"/>
      <c r="T272" s="322"/>
      <c r="V272" s="322"/>
      <c r="X272" s="322"/>
      <c r="Z272" s="322"/>
      <c r="AB272" s="322"/>
      <c r="AD272" s="322"/>
      <c r="AF272" s="322"/>
      <c r="AH272" s="322"/>
      <c r="AJ272" s="322"/>
      <c r="AL272" s="322"/>
      <c r="AN272" s="322"/>
      <c r="AP272" s="322"/>
      <c r="AR272" s="322"/>
      <c r="AT272" s="322"/>
      <c r="AV272" s="322"/>
      <c r="AX272" s="322"/>
      <c r="AZ272" s="322"/>
      <c r="BB272" s="322"/>
      <c r="BD272" s="322"/>
      <c r="BF272" s="322"/>
      <c r="BH272" s="322"/>
      <c r="BJ272" s="322"/>
      <c r="BL272" s="322"/>
      <c r="BN272" s="322"/>
    </row>
    <row r="273" spans="2:66" ht="36">
      <c r="B273" s="322" t="s">
        <v>1654</v>
      </c>
      <c r="C273" s="440" t="s">
        <v>2241</v>
      </c>
      <c r="D273" s="846" t="s">
        <v>1959</v>
      </c>
      <c r="F273" s="319" t="s">
        <v>2212</v>
      </c>
      <c r="N273" s="322"/>
      <c r="P273" s="322"/>
      <c r="R273" s="322"/>
      <c r="T273" s="322"/>
      <c r="V273" s="322"/>
      <c r="X273" s="322"/>
      <c r="Z273" s="322"/>
      <c r="AB273" s="322"/>
      <c r="AD273" s="322"/>
      <c r="AF273" s="322"/>
      <c r="AH273" s="322"/>
      <c r="AJ273" s="322"/>
      <c r="AL273" s="322"/>
      <c r="AN273" s="322"/>
      <c r="AP273" s="322"/>
      <c r="AR273" s="322"/>
      <c r="AT273" s="322"/>
      <c r="AV273" s="322"/>
      <c r="AX273" s="322"/>
      <c r="AZ273" s="322"/>
      <c r="BB273" s="322"/>
      <c r="BD273" s="322"/>
      <c r="BF273" s="322"/>
      <c r="BH273" s="322"/>
      <c r="BJ273" s="322"/>
      <c r="BL273" s="322"/>
      <c r="BN273" s="322"/>
    </row>
    <row r="274" spans="2:66">
      <c r="B274" s="322" t="s">
        <v>1654</v>
      </c>
      <c r="C274" s="440" t="s">
        <v>2264</v>
      </c>
      <c r="D274" s="846" t="s">
        <v>1960</v>
      </c>
      <c r="F274" s="319" t="s">
        <v>2212</v>
      </c>
      <c r="N274" s="322"/>
      <c r="P274" s="322"/>
      <c r="R274" s="322"/>
      <c r="T274" s="322"/>
      <c r="V274" s="322"/>
      <c r="X274" s="322"/>
      <c r="Z274" s="322"/>
      <c r="AB274" s="322"/>
      <c r="AD274" s="322"/>
      <c r="AF274" s="322"/>
      <c r="AH274" s="322"/>
      <c r="AJ274" s="322"/>
      <c r="AL274" s="322"/>
      <c r="AN274" s="322"/>
      <c r="AP274" s="322"/>
      <c r="AR274" s="322"/>
      <c r="AT274" s="322"/>
      <c r="AV274" s="322"/>
      <c r="AX274" s="322"/>
      <c r="AZ274" s="322"/>
      <c r="BB274" s="322"/>
      <c r="BD274" s="322"/>
      <c r="BF274" s="322"/>
      <c r="BH274" s="322"/>
      <c r="BJ274" s="322"/>
      <c r="BL274" s="322"/>
      <c r="BN274" s="322"/>
    </row>
    <row r="275" spans="2:66">
      <c r="B275" s="322" t="s">
        <v>1654</v>
      </c>
      <c r="C275" s="440" t="s">
        <v>2265</v>
      </c>
      <c r="D275" s="846" t="s">
        <v>1961</v>
      </c>
      <c r="F275" s="319" t="s">
        <v>2212</v>
      </c>
      <c r="N275" s="322"/>
      <c r="P275" s="322"/>
      <c r="R275" s="322"/>
      <c r="T275" s="322"/>
      <c r="V275" s="322"/>
      <c r="X275" s="322"/>
      <c r="Z275" s="322"/>
      <c r="AB275" s="322"/>
      <c r="AD275" s="322"/>
      <c r="AF275" s="322"/>
      <c r="AH275" s="322"/>
      <c r="AJ275" s="322"/>
      <c r="AL275" s="322"/>
      <c r="AN275" s="322"/>
      <c r="AP275" s="322"/>
      <c r="AR275" s="322"/>
      <c r="AT275" s="322"/>
      <c r="AV275" s="322"/>
      <c r="AX275" s="322"/>
      <c r="AZ275" s="322"/>
      <c r="BB275" s="322"/>
      <c r="BD275" s="322"/>
      <c r="BF275" s="322"/>
      <c r="BH275" s="322"/>
      <c r="BJ275" s="322"/>
      <c r="BL275" s="322"/>
      <c r="BN275" s="322"/>
    </row>
    <row r="276" spans="2:66">
      <c r="B276" s="322" t="s">
        <v>1654</v>
      </c>
      <c r="C276" s="440" t="s">
        <v>2266</v>
      </c>
      <c r="D276" s="846" t="s">
        <v>1960</v>
      </c>
      <c r="F276" s="319" t="s">
        <v>2212</v>
      </c>
      <c r="N276" s="322"/>
      <c r="P276" s="322"/>
      <c r="R276" s="322"/>
      <c r="T276" s="322"/>
      <c r="V276" s="322"/>
      <c r="X276" s="322"/>
      <c r="Z276" s="322"/>
      <c r="AB276" s="322"/>
      <c r="AD276" s="322"/>
      <c r="AF276" s="322"/>
      <c r="AH276" s="322"/>
      <c r="AJ276" s="322"/>
      <c r="AL276" s="322"/>
      <c r="AN276" s="322"/>
      <c r="AP276" s="322"/>
      <c r="AR276" s="322"/>
      <c r="AT276" s="322"/>
      <c r="AV276" s="322"/>
      <c r="AX276" s="322"/>
      <c r="AZ276" s="322"/>
      <c r="BB276" s="322"/>
      <c r="BD276" s="322"/>
      <c r="BF276" s="322"/>
      <c r="BH276" s="322"/>
      <c r="BJ276" s="322"/>
      <c r="BL276" s="322"/>
      <c r="BN276" s="322"/>
    </row>
    <row r="277" spans="2:66">
      <c r="B277" s="322" t="s">
        <v>1654</v>
      </c>
      <c r="C277" s="440" t="s">
        <v>2267</v>
      </c>
      <c r="D277" s="846" t="s">
        <v>1960</v>
      </c>
      <c r="F277" s="319" t="s">
        <v>2212</v>
      </c>
      <c r="N277" s="322"/>
      <c r="P277" s="322"/>
      <c r="R277" s="322"/>
      <c r="T277" s="322"/>
      <c r="V277" s="322"/>
      <c r="X277" s="322"/>
      <c r="Z277" s="322"/>
      <c r="AB277" s="322"/>
      <c r="AD277" s="322"/>
      <c r="AF277" s="322"/>
      <c r="AH277" s="322"/>
      <c r="AJ277" s="322"/>
      <c r="AL277" s="322"/>
      <c r="AN277" s="322"/>
      <c r="AP277" s="322"/>
      <c r="AR277" s="322"/>
      <c r="AT277" s="322"/>
      <c r="AV277" s="322"/>
      <c r="AX277" s="322"/>
      <c r="AZ277" s="322"/>
      <c r="BB277" s="322"/>
      <c r="BD277" s="322"/>
      <c r="BF277" s="322"/>
      <c r="BH277" s="322"/>
      <c r="BJ277" s="322"/>
      <c r="BL277" s="322"/>
      <c r="BN277" s="322"/>
    </row>
    <row r="278" spans="2:66">
      <c r="B278" s="322" t="s">
        <v>1654</v>
      </c>
      <c r="C278" s="440" t="s">
        <v>2268</v>
      </c>
      <c r="D278" s="846" t="s">
        <v>1961</v>
      </c>
      <c r="F278" s="319" t="s">
        <v>2212</v>
      </c>
      <c r="N278" s="322"/>
      <c r="P278" s="322"/>
      <c r="R278" s="322"/>
      <c r="T278" s="322"/>
      <c r="V278" s="322"/>
      <c r="X278" s="322"/>
      <c r="Z278" s="322"/>
      <c r="AB278" s="322"/>
      <c r="AD278" s="322"/>
      <c r="AF278" s="322"/>
      <c r="AH278" s="322"/>
      <c r="AJ278" s="322"/>
      <c r="AL278" s="322"/>
      <c r="AN278" s="322"/>
      <c r="AP278" s="322"/>
      <c r="AR278" s="322"/>
      <c r="AT278" s="322"/>
      <c r="AV278" s="322"/>
      <c r="AX278" s="322"/>
      <c r="AZ278" s="322"/>
      <c r="BB278" s="322"/>
      <c r="BD278" s="322"/>
      <c r="BF278" s="322"/>
      <c r="BH278" s="322"/>
      <c r="BJ278" s="322"/>
      <c r="BL278" s="322"/>
      <c r="BN278" s="322"/>
    </row>
    <row r="279" spans="2:66">
      <c r="B279" s="322" t="s">
        <v>1654</v>
      </c>
      <c r="C279" s="440" t="s">
        <v>2269</v>
      </c>
      <c r="D279" s="846" t="s">
        <v>1960</v>
      </c>
      <c r="F279" s="319" t="s">
        <v>2212</v>
      </c>
      <c r="N279" s="322"/>
      <c r="P279" s="322"/>
      <c r="R279" s="322"/>
      <c r="T279" s="322"/>
      <c r="V279" s="322"/>
      <c r="X279" s="322"/>
      <c r="Z279" s="322"/>
      <c r="AB279" s="322"/>
      <c r="AD279" s="322"/>
      <c r="AF279" s="322"/>
      <c r="AH279" s="322"/>
      <c r="AJ279" s="322"/>
      <c r="AL279" s="322"/>
      <c r="AN279" s="322"/>
      <c r="AP279" s="322"/>
      <c r="AR279" s="322"/>
      <c r="AT279" s="322"/>
      <c r="AV279" s="322"/>
      <c r="AX279" s="322"/>
      <c r="AZ279" s="322"/>
      <c r="BB279" s="322"/>
      <c r="BD279" s="322"/>
      <c r="BF279" s="322"/>
      <c r="BH279" s="322"/>
      <c r="BJ279" s="322"/>
      <c r="BL279" s="322"/>
      <c r="BN279" s="322"/>
    </row>
    <row r="280" spans="2:66">
      <c r="B280" s="322" t="s">
        <v>1654</v>
      </c>
      <c r="C280" s="440" t="s">
        <v>2270</v>
      </c>
      <c r="D280" s="846" t="s">
        <v>1960</v>
      </c>
      <c r="F280" s="319" t="s">
        <v>2212</v>
      </c>
      <c r="N280" s="322"/>
      <c r="P280" s="322"/>
      <c r="R280" s="322"/>
      <c r="T280" s="322"/>
      <c r="V280" s="322"/>
      <c r="X280" s="322"/>
      <c r="Z280" s="322"/>
      <c r="AB280" s="322"/>
      <c r="AD280" s="322"/>
      <c r="AF280" s="322"/>
      <c r="AH280" s="322"/>
      <c r="AJ280" s="322"/>
      <c r="AL280" s="322"/>
      <c r="AN280" s="322"/>
      <c r="AP280" s="322"/>
      <c r="AR280" s="322"/>
      <c r="AT280" s="322"/>
      <c r="AV280" s="322"/>
      <c r="AX280" s="322"/>
      <c r="AZ280" s="322"/>
      <c r="BB280" s="322"/>
      <c r="BD280" s="322"/>
      <c r="BF280" s="322"/>
      <c r="BH280" s="322"/>
      <c r="BJ280" s="322"/>
      <c r="BL280" s="322"/>
      <c r="BN280" s="322"/>
    </row>
    <row r="281" spans="2:66">
      <c r="B281" s="322" t="s">
        <v>1654</v>
      </c>
      <c r="C281" s="440" t="s">
        <v>2271</v>
      </c>
      <c r="D281" s="846" t="s">
        <v>1962</v>
      </c>
      <c r="F281" s="319" t="s">
        <v>2212</v>
      </c>
      <c r="N281" s="322"/>
      <c r="P281" s="322"/>
      <c r="R281" s="322"/>
      <c r="T281" s="322"/>
      <c r="V281" s="322"/>
      <c r="X281" s="322"/>
      <c r="Z281" s="322"/>
      <c r="AB281" s="322"/>
      <c r="AD281" s="322"/>
      <c r="AF281" s="322"/>
      <c r="AH281" s="322"/>
      <c r="AJ281" s="322"/>
      <c r="AL281" s="322"/>
      <c r="AN281" s="322"/>
      <c r="AP281" s="322"/>
      <c r="AR281" s="322"/>
      <c r="AT281" s="322"/>
      <c r="AV281" s="322"/>
      <c r="AX281" s="322"/>
      <c r="AZ281" s="322"/>
      <c r="BB281" s="322"/>
      <c r="BD281" s="322"/>
      <c r="BF281" s="322"/>
      <c r="BH281" s="322"/>
      <c r="BJ281" s="322"/>
      <c r="BL281" s="322"/>
      <c r="BN281" s="322"/>
    </row>
    <row r="282" spans="2:66">
      <c r="B282" s="322" t="s">
        <v>1654</v>
      </c>
      <c r="C282" s="440" t="s">
        <v>2272</v>
      </c>
      <c r="D282" s="846" t="s">
        <v>1960</v>
      </c>
      <c r="F282" s="319" t="s">
        <v>2212</v>
      </c>
      <c r="N282" s="322"/>
      <c r="P282" s="322"/>
      <c r="R282" s="322"/>
      <c r="T282" s="322"/>
      <c r="V282" s="322"/>
      <c r="X282" s="322"/>
      <c r="Z282" s="322"/>
      <c r="AB282" s="322"/>
      <c r="AD282" s="322"/>
      <c r="AF282" s="322"/>
      <c r="AH282" s="322"/>
      <c r="AJ282" s="322"/>
      <c r="AL282" s="322"/>
      <c r="AN282" s="322"/>
      <c r="AP282" s="322"/>
      <c r="AR282" s="322"/>
      <c r="AT282" s="322"/>
      <c r="AV282" s="322"/>
      <c r="AX282" s="322"/>
      <c r="AZ282" s="322"/>
      <c r="BB282" s="322"/>
      <c r="BD282" s="322"/>
      <c r="BF282" s="322"/>
      <c r="BH282" s="322"/>
      <c r="BJ282" s="322"/>
      <c r="BL282" s="322"/>
      <c r="BN282" s="322"/>
    </row>
    <row r="283" spans="2:66">
      <c r="B283" s="322" t="s">
        <v>1654</v>
      </c>
      <c r="C283" s="440" t="s">
        <v>2273</v>
      </c>
      <c r="D283" s="846" t="s">
        <v>1960</v>
      </c>
      <c r="F283" s="319" t="s">
        <v>2212</v>
      </c>
      <c r="N283" s="322"/>
      <c r="P283" s="322"/>
      <c r="R283" s="322"/>
      <c r="T283" s="322"/>
      <c r="V283" s="322"/>
      <c r="X283" s="322"/>
      <c r="Z283" s="322"/>
      <c r="AB283" s="322"/>
      <c r="AD283" s="322"/>
      <c r="AF283" s="322"/>
      <c r="AH283" s="322"/>
      <c r="AJ283" s="322"/>
      <c r="AL283" s="322"/>
      <c r="AN283" s="322"/>
      <c r="AP283" s="322"/>
      <c r="AR283" s="322"/>
      <c r="AT283" s="322"/>
      <c r="AV283" s="322"/>
      <c r="AX283" s="322"/>
      <c r="AZ283" s="322"/>
      <c r="BB283" s="322"/>
      <c r="BD283" s="322"/>
      <c r="BF283" s="322"/>
      <c r="BH283" s="322"/>
      <c r="BJ283" s="322"/>
      <c r="BL283" s="322"/>
      <c r="BN283" s="322"/>
    </row>
    <row r="284" spans="2:66">
      <c r="B284" s="322" t="s">
        <v>1654</v>
      </c>
      <c r="C284" s="440" t="s">
        <v>2274</v>
      </c>
      <c r="D284" s="846" t="s">
        <v>1960</v>
      </c>
      <c r="F284" s="319" t="s">
        <v>2212</v>
      </c>
      <c r="N284" s="322"/>
      <c r="P284" s="322"/>
      <c r="R284" s="322"/>
      <c r="T284" s="322"/>
      <c r="V284" s="322"/>
      <c r="X284" s="322"/>
      <c r="Z284" s="322"/>
      <c r="AB284" s="322"/>
      <c r="AD284" s="322"/>
      <c r="AF284" s="322"/>
      <c r="AH284" s="322"/>
      <c r="AJ284" s="322"/>
      <c r="AL284" s="322"/>
      <c r="AN284" s="322"/>
      <c r="AP284" s="322"/>
      <c r="AR284" s="322"/>
      <c r="AT284" s="322"/>
      <c r="AV284" s="322"/>
      <c r="AX284" s="322"/>
      <c r="AZ284" s="322"/>
      <c r="BB284" s="322"/>
      <c r="BD284" s="322"/>
      <c r="BF284" s="322"/>
      <c r="BH284" s="322"/>
      <c r="BJ284" s="322"/>
      <c r="BL284" s="322"/>
      <c r="BN284" s="322"/>
    </row>
    <row r="285" spans="2:66">
      <c r="B285" s="322" t="s">
        <v>1654</v>
      </c>
      <c r="C285" s="440" t="s">
        <v>2275</v>
      </c>
      <c r="D285" s="846" t="s">
        <v>1960</v>
      </c>
      <c r="F285" s="319" t="s">
        <v>2212</v>
      </c>
      <c r="N285" s="322"/>
      <c r="P285" s="322"/>
      <c r="R285" s="322"/>
      <c r="T285" s="322"/>
      <c r="V285" s="322"/>
      <c r="X285" s="322"/>
      <c r="Z285" s="322"/>
      <c r="AB285" s="322"/>
      <c r="AD285" s="322"/>
      <c r="AF285" s="322"/>
      <c r="AH285" s="322"/>
      <c r="AJ285" s="322"/>
      <c r="AL285" s="322"/>
      <c r="AN285" s="322"/>
      <c r="AP285" s="322"/>
      <c r="AR285" s="322"/>
      <c r="AT285" s="322"/>
      <c r="AV285" s="322"/>
      <c r="AX285" s="322"/>
      <c r="AZ285" s="322"/>
      <c r="BB285" s="322"/>
      <c r="BD285" s="322"/>
      <c r="BF285" s="322"/>
      <c r="BH285" s="322"/>
      <c r="BJ285" s="322"/>
      <c r="BL285" s="322"/>
      <c r="BN285" s="322"/>
    </row>
    <row r="286" spans="2:66">
      <c r="B286" s="322" t="s">
        <v>1654</v>
      </c>
      <c r="C286" s="440" t="s">
        <v>2276</v>
      </c>
      <c r="D286" s="846" t="s">
        <v>1960</v>
      </c>
      <c r="F286" s="319" t="s">
        <v>2212</v>
      </c>
      <c r="N286" s="322"/>
      <c r="P286" s="322"/>
      <c r="R286" s="322"/>
      <c r="T286" s="322"/>
      <c r="V286" s="322"/>
      <c r="X286" s="322"/>
      <c r="Z286" s="322"/>
      <c r="AB286" s="322"/>
      <c r="AD286" s="322"/>
      <c r="AF286" s="322"/>
      <c r="AH286" s="322"/>
      <c r="AJ286" s="322"/>
      <c r="AL286" s="322"/>
      <c r="AN286" s="322"/>
      <c r="AP286" s="322"/>
      <c r="AR286" s="322"/>
      <c r="AT286" s="322"/>
      <c r="AV286" s="322"/>
      <c r="AX286" s="322"/>
      <c r="AZ286" s="322"/>
      <c r="BB286" s="322"/>
      <c r="BD286" s="322"/>
      <c r="BF286" s="322"/>
      <c r="BH286" s="322"/>
      <c r="BJ286" s="322"/>
      <c r="BL286" s="322"/>
      <c r="BN286" s="322"/>
    </row>
    <row r="287" spans="2:66" ht="36">
      <c r="B287" s="322" t="s">
        <v>1654</v>
      </c>
      <c r="D287" s="846" t="s">
        <v>1963</v>
      </c>
      <c r="F287" s="319" t="s">
        <v>2212</v>
      </c>
      <c r="N287" s="322"/>
      <c r="P287" s="322"/>
      <c r="R287" s="322"/>
      <c r="T287" s="322"/>
      <c r="V287" s="322"/>
      <c r="X287" s="322"/>
      <c r="Z287" s="322"/>
      <c r="AB287" s="322"/>
      <c r="AD287" s="322"/>
      <c r="AF287" s="322"/>
      <c r="AH287" s="322"/>
      <c r="AJ287" s="322"/>
      <c r="AL287" s="322"/>
      <c r="AN287" s="322"/>
      <c r="AP287" s="322"/>
      <c r="AR287" s="322"/>
      <c r="AT287" s="322"/>
      <c r="AV287" s="322"/>
      <c r="AX287" s="322"/>
      <c r="AZ287" s="322"/>
      <c r="BB287" s="322"/>
      <c r="BD287" s="322"/>
      <c r="BF287" s="322"/>
      <c r="BH287" s="322"/>
      <c r="BJ287" s="322"/>
      <c r="BL287" s="322"/>
      <c r="BN287" s="322"/>
    </row>
    <row r="288" spans="2:66">
      <c r="B288" s="322" t="s">
        <v>1654</v>
      </c>
      <c r="C288" s="440" t="s">
        <v>2277</v>
      </c>
      <c r="D288" s="680" t="s">
        <v>1964</v>
      </c>
      <c r="F288" s="319" t="s">
        <v>2212</v>
      </c>
      <c r="N288" s="322"/>
      <c r="P288" s="322"/>
      <c r="R288" s="322"/>
      <c r="T288" s="322"/>
      <c r="V288" s="322"/>
      <c r="X288" s="322"/>
      <c r="Z288" s="322"/>
      <c r="AB288" s="322"/>
      <c r="AD288" s="322"/>
      <c r="AF288" s="322"/>
      <c r="AH288" s="322"/>
      <c r="AJ288" s="322"/>
      <c r="AL288" s="322"/>
      <c r="AN288" s="322"/>
      <c r="AP288" s="322"/>
      <c r="AR288" s="322"/>
      <c r="AT288" s="322"/>
      <c r="AV288" s="322"/>
      <c r="AX288" s="322"/>
      <c r="AZ288" s="322"/>
      <c r="BB288" s="322"/>
      <c r="BD288" s="322"/>
      <c r="BF288" s="322"/>
      <c r="BH288" s="322"/>
      <c r="BJ288" s="322"/>
      <c r="BL288" s="322"/>
      <c r="BN288" s="322"/>
    </row>
    <row r="289" spans="2:66">
      <c r="B289" s="322" t="s">
        <v>1654</v>
      </c>
      <c r="C289" s="440" t="s">
        <v>2278</v>
      </c>
      <c r="D289" s="680" t="s">
        <v>1964</v>
      </c>
      <c r="F289" s="319" t="s">
        <v>2212</v>
      </c>
      <c r="N289" s="322"/>
      <c r="P289" s="322"/>
      <c r="R289" s="322"/>
      <c r="T289" s="322"/>
      <c r="V289" s="322"/>
      <c r="X289" s="322"/>
      <c r="Z289" s="322"/>
      <c r="AB289" s="322"/>
      <c r="AD289" s="322"/>
      <c r="AF289" s="322"/>
      <c r="AH289" s="322"/>
      <c r="AJ289" s="322"/>
      <c r="AL289" s="322"/>
      <c r="AN289" s="322"/>
      <c r="AP289" s="322"/>
      <c r="AR289" s="322"/>
      <c r="AT289" s="322"/>
      <c r="AV289" s="322"/>
      <c r="AX289" s="322"/>
      <c r="AZ289" s="322"/>
      <c r="BB289" s="322"/>
      <c r="BD289" s="322"/>
      <c r="BF289" s="322"/>
      <c r="BH289" s="322"/>
      <c r="BJ289" s="322"/>
      <c r="BL289" s="322"/>
      <c r="BN289" s="322"/>
    </row>
    <row r="290" spans="2:66">
      <c r="B290" s="322" t="s">
        <v>1654</v>
      </c>
      <c r="C290" s="440" t="s">
        <v>2279</v>
      </c>
      <c r="D290" s="680" t="s">
        <v>1964</v>
      </c>
      <c r="F290" s="319" t="s">
        <v>2212</v>
      </c>
      <c r="N290" s="322"/>
      <c r="P290" s="322"/>
      <c r="R290" s="322"/>
      <c r="T290" s="322"/>
      <c r="V290" s="322"/>
      <c r="X290" s="322"/>
      <c r="Z290" s="322"/>
      <c r="AB290" s="322"/>
      <c r="AD290" s="322"/>
      <c r="AF290" s="322"/>
      <c r="AH290" s="322"/>
      <c r="AJ290" s="322"/>
      <c r="AL290" s="322"/>
      <c r="AN290" s="322"/>
      <c r="AP290" s="322"/>
      <c r="AR290" s="322"/>
      <c r="AT290" s="322"/>
      <c r="AV290" s="322"/>
      <c r="AX290" s="322"/>
      <c r="AZ290" s="322"/>
      <c r="BB290" s="322"/>
      <c r="BD290" s="322"/>
      <c r="BF290" s="322"/>
      <c r="BH290" s="322"/>
      <c r="BJ290" s="322"/>
      <c r="BL290" s="322"/>
      <c r="BN290" s="322"/>
    </row>
    <row r="291" spans="2:66">
      <c r="B291" s="322" t="s">
        <v>1654</v>
      </c>
      <c r="C291" s="440" t="s">
        <v>2280</v>
      </c>
      <c r="D291" s="680" t="s">
        <v>1965</v>
      </c>
      <c r="F291" s="319" t="s">
        <v>2212</v>
      </c>
      <c r="N291" s="322"/>
      <c r="P291" s="322"/>
      <c r="R291" s="322"/>
      <c r="T291" s="322"/>
      <c r="V291" s="322"/>
      <c r="X291" s="322"/>
      <c r="Z291" s="322"/>
      <c r="AB291" s="322"/>
      <c r="AD291" s="322"/>
      <c r="AF291" s="322"/>
      <c r="AH291" s="322"/>
      <c r="AJ291" s="322"/>
      <c r="AL291" s="322"/>
      <c r="AN291" s="322"/>
      <c r="AP291" s="322"/>
      <c r="AR291" s="322"/>
      <c r="AT291" s="322"/>
      <c r="AV291" s="322"/>
      <c r="AX291" s="322"/>
      <c r="AZ291" s="322"/>
      <c r="BB291" s="322"/>
      <c r="BD291" s="322"/>
      <c r="BF291" s="322"/>
      <c r="BH291" s="322"/>
      <c r="BJ291" s="322"/>
      <c r="BL291" s="322"/>
      <c r="BN291" s="322"/>
    </row>
    <row r="292" spans="2:66">
      <c r="B292" s="322" t="s">
        <v>1654</v>
      </c>
      <c r="C292" s="440" t="s">
        <v>2281</v>
      </c>
      <c r="D292" s="680" t="s">
        <v>1964</v>
      </c>
      <c r="F292" s="319" t="s">
        <v>2212</v>
      </c>
      <c r="N292" s="322"/>
      <c r="P292" s="322"/>
      <c r="R292" s="322"/>
      <c r="T292" s="322"/>
      <c r="V292" s="322"/>
      <c r="X292" s="322"/>
      <c r="Z292" s="322"/>
      <c r="AB292" s="322"/>
      <c r="AD292" s="322"/>
      <c r="AF292" s="322"/>
      <c r="AH292" s="322"/>
      <c r="AJ292" s="322"/>
      <c r="AL292" s="322"/>
      <c r="AN292" s="322"/>
      <c r="AP292" s="322"/>
      <c r="AR292" s="322"/>
      <c r="AT292" s="322"/>
      <c r="AV292" s="322"/>
      <c r="AX292" s="322"/>
      <c r="AZ292" s="322"/>
      <c r="BB292" s="322"/>
      <c r="BD292" s="322"/>
      <c r="BF292" s="322"/>
      <c r="BH292" s="322"/>
      <c r="BJ292" s="322"/>
      <c r="BL292" s="322"/>
      <c r="BN292" s="322"/>
    </row>
    <row r="293" spans="2:66">
      <c r="B293" s="322" t="s">
        <v>1654</v>
      </c>
      <c r="C293" s="440" t="s">
        <v>2282</v>
      </c>
      <c r="D293" s="680" t="s">
        <v>1964</v>
      </c>
      <c r="F293" s="319" t="s">
        <v>2212</v>
      </c>
      <c r="N293" s="322"/>
      <c r="P293" s="322"/>
      <c r="R293" s="322"/>
      <c r="T293" s="322"/>
      <c r="V293" s="322"/>
      <c r="X293" s="322"/>
      <c r="Z293" s="322"/>
      <c r="AB293" s="322"/>
      <c r="AD293" s="322"/>
      <c r="AF293" s="322"/>
      <c r="AH293" s="322"/>
      <c r="AJ293" s="322"/>
      <c r="AL293" s="322"/>
      <c r="AN293" s="322"/>
      <c r="AP293" s="322"/>
      <c r="AR293" s="322"/>
      <c r="AT293" s="322"/>
      <c r="AV293" s="322"/>
      <c r="AX293" s="322"/>
      <c r="AZ293" s="322"/>
      <c r="BB293" s="322"/>
      <c r="BD293" s="322"/>
      <c r="BF293" s="322"/>
      <c r="BH293" s="322"/>
      <c r="BJ293" s="322"/>
      <c r="BL293" s="322"/>
      <c r="BN293" s="322"/>
    </row>
    <row r="294" spans="2:66">
      <c r="B294" s="322" t="s">
        <v>1654</v>
      </c>
      <c r="C294" s="440" t="s">
        <v>2283</v>
      </c>
      <c r="D294" s="680" t="s">
        <v>1964</v>
      </c>
      <c r="F294" s="319" t="s">
        <v>2212</v>
      </c>
      <c r="N294" s="322"/>
      <c r="P294" s="322"/>
      <c r="R294" s="322"/>
      <c r="T294" s="322"/>
      <c r="V294" s="322"/>
      <c r="X294" s="322"/>
      <c r="Z294" s="322"/>
      <c r="AB294" s="322"/>
      <c r="AD294" s="322"/>
      <c r="AF294" s="322"/>
      <c r="AH294" s="322"/>
      <c r="AJ294" s="322"/>
      <c r="AL294" s="322"/>
      <c r="AN294" s="322"/>
      <c r="AP294" s="322"/>
      <c r="AR294" s="322"/>
      <c r="AT294" s="322"/>
      <c r="AV294" s="322"/>
      <c r="AX294" s="322"/>
      <c r="AZ294" s="322"/>
      <c r="BB294" s="322"/>
      <c r="BD294" s="322"/>
      <c r="BF294" s="322"/>
      <c r="BH294" s="322"/>
      <c r="BJ294" s="322"/>
      <c r="BL294" s="322"/>
      <c r="BN294" s="322"/>
    </row>
    <row r="295" spans="2:66">
      <c r="B295" s="322" t="s">
        <v>1654</v>
      </c>
      <c r="C295" s="440" t="s">
        <v>2284</v>
      </c>
      <c r="D295" s="680" t="s">
        <v>1964</v>
      </c>
      <c r="F295" s="319" t="s">
        <v>2212</v>
      </c>
      <c r="N295" s="322"/>
      <c r="P295" s="322"/>
      <c r="R295" s="322"/>
      <c r="T295" s="322"/>
      <c r="V295" s="322"/>
      <c r="X295" s="322"/>
      <c r="Z295" s="322"/>
      <c r="AB295" s="322"/>
      <c r="AD295" s="322"/>
      <c r="AF295" s="322"/>
      <c r="AH295" s="322"/>
      <c r="AJ295" s="322"/>
      <c r="AL295" s="322"/>
      <c r="AN295" s="322"/>
      <c r="AP295" s="322"/>
      <c r="AR295" s="322"/>
      <c r="AT295" s="322"/>
      <c r="AV295" s="322"/>
      <c r="AX295" s="322"/>
      <c r="AZ295" s="322"/>
      <c r="BB295" s="322"/>
      <c r="BD295" s="322"/>
      <c r="BF295" s="322"/>
      <c r="BH295" s="322"/>
      <c r="BJ295" s="322"/>
      <c r="BL295" s="322"/>
      <c r="BN295" s="322"/>
    </row>
    <row r="296" spans="2:66">
      <c r="B296" s="322" t="s">
        <v>1654</v>
      </c>
      <c r="C296" s="440" t="s">
        <v>2285</v>
      </c>
      <c r="D296" s="680" t="s">
        <v>1964</v>
      </c>
      <c r="F296" s="319" t="s">
        <v>2212</v>
      </c>
      <c r="N296" s="322"/>
      <c r="P296" s="322"/>
      <c r="R296" s="322"/>
      <c r="T296" s="322"/>
      <c r="V296" s="322"/>
      <c r="X296" s="322"/>
      <c r="Z296" s="322"/>
      <c r="AB296" s="322"/>
      <c r="AD296" s="322"/>
      <c r="AF296" s="322"/>
      <c r="AH296" s="322"/>
      <c r="AJ296" s="322"/>
      <c r="AL296" s="322"/>
      <c r="AN296" s="322"/>
      <c r="AP296" s="322"/>
      <c r="AR296" s="322"/>
      <c r="AT296" s="322"/>
      <c r="AV296" s="322"/>
      <c r="AX296" s="322"/>
      <c r="AZ296" s="322"/>
      <c r="BB296" s="322"/>
      <c r="BD296" s="322"/>
      <c r="BF296" s="322"/>
      <c r="BH296" s="322"/>
      <c r="BJ296" s="322"/>
      <c r="BL296" s="322"/>
      <c r="BN296" s="322"/>
    </row>
    <row r="297" spans="2:66">
      <c r="B297" s="322" t="s">
        <v>1654</v>
      </c>
      <c r="C297" s="440" t="s">
        <v>2286</v>
      </c>
      <c r="D297" s="680" t="s">
        <v>1964</v>
      </c>
      <c r="F297" s="319" t="s">
        <v>2212</v>
      </c>
      <c r="N297" s="322"/>
      <c r="P297" s="322"/>
      <c r="R297" s="322"/>
      <c r="T297" s="322"/>
      <c r="V297" s="322"/>
      <c r="X297" s="322"/>
      <c r="Z297" s="322"/>
      <c r="AB297" s="322"/>
      <c r="AD297" s="322"/>
      <c r="AF297" s="322"/>
      <c r="AH297" s="322"/>
      <c r="AJ297" s="322"/>
      <c r="AL297" s="322"/>
      <c r="AN297" s="322"/>
      <c r="AP297" s="322"/>
      <c r="AR297" s="322"/>
      <c r="AT297" s="322"/>
      <c r="AV297" s="322"/>
      <c r="AX297" s="322"/>
      <c r="AZ297" s="322"/>
      <c r="BB297" s="322"/>
      <c r="BD297" s="322"/>
      <c r="BF297" s="322"/>
      <c r="BH297" s="322"/>
      <c r="BJ297" s="322"/>
      <c r="BL297" s="322"/>
      <c r="BN297" s="322"/>
    </row>
    <row r="298" spans="2:66">
      <c r="B298" s="322" t="s">
        <v>1654</v>
      </c>
      <c r="C298" s="440" t="s">
        <v>2287</v>
      </c>
      <c r="D298" s="680" t="s">
        <v>1964</v>
      </c>
      <c r="F298" s="319" t="s">
        <v>2212</v>
      </c>
      <c r="N298" s="322"/>
      <c r="P298" s="322"/>
      <c r="R298" s="322"/>
      <c r="T298" s="322"/>
      <c r="V298" s="322"/>
      <c r="X298" s="322"/>
      <c r="Z298" s="322"/>
      <c r="AB298" s="322"/>
      <c r="AD298" s="322"/>
      <c r="AF298" s="322"/>
      <c r="AH298" s="322"/>
      <c r="AJ298" s="322"/>
      <c r="AL298" s="322"/>
      <c r="AN298" s="322"/>
      <c r="AP298" s="322"/>
      <c r="AR298" s="322"/>
      <c r="AT298" s="322"/>
      <c r="AV298" s="322"/>
      <c r="AX298" s="322"/>
      <c r="AZ298" s="322"/>
      <c r="BB298" s="322"/>
      <c r="BD298" s="322"/>
      <c r="BF298" s="322"/>
      <c r="BH298" s="322"/>
      <c r="BJ298" s="322"/>
      <c r="BL298" s="322"/>
      <c r="BN298" s="322"/>
    </row>
    <row r="299" spans="2:66">
      <c r="B299" s="322" t="s">
        <v>1654</v>
      </c>
      <c r="C299" s="440" t="s">
        <v>2288</v>
      </c>
      <c r="D299" s="680" t="s">
        <v>1964</v>
      </c>
      <c r="F299" s="319" t="s">
        <v>2212</v>
      </c>
      <c r="N299" s="322"/>
      <c r="P299" s="322"/>
      <c r="R299" s="322"/>
      <c r="T299" s="322"/>
      <c r="V299" s="322"/>
      <c r="X299" s="322"/>
      <c r="Z299" s="322"/>
      <c r="AB299" s="322"/>
      <c r="AD299" s="322"/>
      <c r="AF299" s="322"/>
      <c r="AH299" s="322"/>
      <c r="AJ299" s="322"/>
      <c r="AL299" s="322"/>
      <c r="AN299" s="322"/>
      <c r="AP299" s="322"/>
      <c r="AR299" s="322"/>
      <c r="AT299" s="322"/>
      <c r="AV299" s="322"/>
      <c r="AX299" s="322"/>
      <c r="AZ299" s="322"/>
      <c r="BB299" s="322"/>
      <c r="BD299" s="322"/>
      <c r="BF299" s="322"/>
      <c r="BH299" s="322"/>
      <c r="BJ299" s="322"/>
      <c r="BL299" s="322"/>
      <c r="BN299" s="322"/>
    </row>
    <row r="300" spans="2:66">
      <c r="B300" s="322" t="s">
        <v>1654</v>
      </c>
      <c r="C300" s="440" t="s">
        <v>2289</v>
      </c>
      <c r="D300" s="680" t="s">
        <v>1964</v>
      </c>
      <c r="F300" s="319" t="s">
        <v>2212</v>
      </c>
      <c r="N300" s="322"/>
      <c r="P300" s="322"/>
      <c r="R300" s="322"/>
      <c r="T300" s="322"/>
      <c r="V300" s="322"/>
      <c r="X300" s="322"/>
      <c r="Z300" s="322"/>
      <c r="AB300" s="322"/>
      <c r="AD300" s="322"/>
      <c r="AF300" s="322"/>
      <c r="AH300" s="322"/>
      <c r="AJ300" s="322"/>
      <c r="AL300" s="322"/>
      <c r="AN300" s="322"/>
      <c r="AP300" s="322"/>
      <c r="AR300" s="322"/>
      <c r="AT300" s="322"/>
      <c r="AV300" s="322"/>
      <c r="AX300" s="322"/>
      <c r="AZ300" s="322"/>
      <c r="BB300" s="322"/>
      <c r="BD300" s="322"/>
      <c r="BF300" s="322"/>
      <c r="BH300" s="322"/>
      <c r="BJ300" s="322"/>
      <c r="BL300" s="322"/>
      <c r="BN300" s="322"/>
    </row>
    <row r="301" spans="2:66">
      <c r="B301" s="322" t="s">
        <v>1654</v>
      </c>
      <c r="C301" s="440" t="s">
        <v>2290</v>
      </c>
      <c r="D301" s="680" t="s">
        <v>1965</v>
      </c>
      <c r="F301" s="319" t="s">
        <v>2212</v>
      </c>
      <c r="N301" s="322"/>
      <c r="P301" s="322"/>
      <c r="R301" s="322"/>
      <c r="T301" s="322"/>
      <c r="V301" s="322"/>
      <c r="X301" s="322"/>
      <c r="Z301" s="322"/>
      <c r="AB301" s="322"/>
      <c r="AD301" s="322"/>
      <c r="AF301" s="322"/>
      <c r="AH301" s="322"/>
      <c r="AJ301" s="322"/>
      <c r="AL301" s="322"/>
      <c r="AN301" s="322"/>
      <c r="AP301" s="322"/>
      <c r="AR301" s="322"/>
      <c r="AT301" s="322"/>
      <c r="AV301" s="322"/>
      <c r="AX301" s="322"/>
      <c r="AZ301" s="322"/>
      <c r="BB301" s="322"/>
      <c r="BD301" s="322"/>
      <c r="BF301" s="322"/>
      <c r="BH301" s="322"/>
      <c r="BJ301" s="322"/>
      <c r="BL301" s="322"/>
      <c r="BN301" s="322"/>
    </row>
    <row r="302" spans="2:66">
      <c r="B302" s="322" t="s">
        <v>1654</v>
      </c>
      <c r="C302" s="440" t="s">
        <v>2291</v>
      </c>
      <c r="D302" s="680" t="s">
        <v>1964</v>
      </c>
      <c r="F302" s="319" t="s">
        <v>2212</v>
      </c>
      <c r="N302" s="322"/>
      <c r="P302" s="322"/>
      <c r="R302" s="322"/>
      <c r="T302" s="322"/>
      <c r="V302" s="322"/>
      <c r="X302" s="322"/>
      <c r="Z302" s="322"/>
      <c r="AB302" s="322"/>
      <c r="AD302" s="322"/>
      <c r="AF302" s="322"/>
      <c r="AH302" s="322"/>
      <c r="AJ302" s="322"/>
      <c r="AL302" s="322"/>
      <c r="AN302" s="322"/>
      <c r="AP302" s="322"/>
      <c r="AR302" s="322"/>
      <c r="AT302" s="322"/>
      <c r="AV302" s="322"/>
      <c r="AX302" s="322"/>
      <c r="AZ302" s="322"/>
      <c r="BB302" s="322"/>
      <c r="BD302" s="322"/>
      <c r="BF302" s="322"/>
      <c r="BH302" s="322"/>
      <c r="BJ302" s="322"/>
      <c r="BL302" s="322"/>
      <c r="BN302" s="322"/>
    </row>
    <row r="303" spans="2:66">
      <c r="B303" s="322" t="s">
        <v>1654</v>
      </c>
      <c r="C303" s="440" t="s">
        <v>2292</v>
      </c>
      <c r="D303" s="680" t="s">
        <v>1964</v>
      </c>
      <c r="F303" s="319" t="s">
        <v>2212</v>
      </c>
      <c r="N303" s="322"/>
      <c r="P303" s="322"/>
      <c r="R303" s="322"/>
      <c r="T303" s="322"/>
      <c r="V303" s="322"/>
      <c r="X303" s="322"/>
      <c r="Z303" s="322"/>
      <c r="AB303" s="322"/>
      <c r="AD303" s="322"/>
      <c r="AF303" s="322"/>
      <c r="AH303" s="322"/>
      <c r="AJ303" s="322"/>
      <c r="AL303" s="322"/>
      <c r="AN303" s="322"/>
      <c r="AP303" s="322"/>
      <c r="AR303" s="322"/>
      <c r="AT303" s="322"/>
      <c r="AV303" s="322"/>
      <c r="AX303" s="322"/>
      <c r="AZ303" s="322"/>
      <c r="BB303" s="322"/>
      <c r="BD303" s="322"/>
      <c r="BF303" s="322"/>
      <c r="BH303" s="322"/>
      <c r="BJ303" s="322"/>
      <c r="BL303" s="322"/>
      <c r="BN303" s="322"/>
    </row>
    <row r="304" spans="2:66">
      <c r="B304" s="322" t="s">
        <v>1654</v>
      </c>
      <c r="C304" s="440" t="s">
        <v>2293</v>
      </c>
      <c r="D304" s="680" t="s">
        <v>1964</v>
      </c>
      <c r="F304" s="319" t="s">
        <v>2212</v>
      </c>
      <c r="N304" s="322"/>
      <c r="P304" s="322"/>
      <c r="R304" s="322"/>
      <c r="T304" s="322"/>
      <c r="V304" s="322"/>
      <c r="X304" s="322"/>
      <c r="Z304" s="322"/>
      <c r="AB304" s="322"/>
      <c r="AD304" s="322"/>
      <c r="AF304" s="322"/>
      <c r="AH304" s="322"/>
      <c r="AJ304" s="322"/>
      <c r="AL304" s="322"/>
      <c r="AN304" s="322"/>
      <c r="AP304" s="322"/>
      <c r="AR304" s="322"/>
      <c r="AT304" s="322"/>
      <c r="AV304" s="322"/>
      <c r="AX304" s="322"/>
      <c r="AZ304" s="322"/>
      <c r="BB304" s="322"/>
      <c r="BD304" s="322"/>
      <c r="BF304" s="322"/>
      <c r="BH304" s="322"/>
      <c r="BJ304" s="322"/>
      <c r="BL304" s="322"/>
      <c r="BN304" s="322"/>
    </row>
    <row r="305" spans="2:66" ht="36">
      <c r="B305" s="322" t="s">
        <v>1654</v>
      </c>
      <c r="D305" s="680" t="s">
        <v>1966</v>
      </c>
      <c r="F305" s="319" t="s">
        <v>2212</v>
      </c>
      <c r="N305" s="322"/>
      <c r="P305" s="322"/>
      <c r="R305" s="322"/>
      <c r="T305" s="322"/>
      <c r="V305" s="322"/>
      <c r="X305" s="322"/>
      <c r="Z305" s="322"/>
      <c r="AB305" s="322"/>
      <c r="AD305" s="322"/>
      <c r="AF305" s="322"/>
      <c r="AH305" s="322"/>
      <c r="AJ305" s="322"/>
      <c r="AL305" s="322"/>
      <c r="AN305" s="322"/>
      <c r="AP305" s="322"/>
      <c r="AR305" s="322"/>
      <c r="AT305" s="322"/>
      <c r="AV305" s="322"/>
      <c r="AX305" s="322"/>
      <c r="AZ305" s="322"/>
      <c r="BB305" s="322"/>
      <c r="BD305" s="322"/>
      <c r="BF305" s="322"/>
      <c r="BH305" s="322"/>
      <c r="BJ305" s="322"/>
      <c r="BL305" s="322"/>
      <c r="BN305" s="322"/>
    </row>
    <row r="306" spans="2:66">
      <c r="B306" s="322" t="s">
        <v>1654</v>
      </c>
      <c r="C306" s="440" t="s">
        <v>2250</v>
      </c>
      <c r="D306" s="680" t="s">
        <v>1967</v>
      </c>
      <c r="F306" s="319" t="s">
        <v>2212</v>
      </c>
      <c r="N306" s="322"/>
      <c r="P306" s="322"/>
      <c r="R306" s="322"/>
      <c r="T306" s="322"/>
      <c r="V306" s="322"/>
      <c r="X306" s="322"/>
      <c r="Z306" s="322"/>
      <c r="AB306" s="322"/>
      <c r="AD306" s="322"/>
      <c r="AF306" s="322"/>
      <c r="AH306" s="322"/>
      <c r="AJ306" s="322"/>
      <c r="AL306" s="322"/>
      <c r="AN306" s="322"/>
      <c r="AP306" s="322"/>
      <c r="AR306" s="322"/>
      <c r="AT306" s="322"/>
      <c r="AV306" s="322"/>
      <c r="AX306" s="322"/>
      <c r="AZ306" s="322"/>
      <c r="BB306" s="322"/>
      <c r="BD306" s="322"/>
      <c r="BF306" s="322"/>
      <c r="BH306" s="322"/>
      <c r="BJ306" s="322"/>
      <c r="BL306" s="322"/>
      <c r="BN306" s="322"/>
    </row>
    <row r="307" spans="2:66" ht="36">
      <c r="B307" s="322" t="s">
        <v>1654</v>
      </c>
      <c r="C307" s="440" t="s">
        <v>2294</v>
      </c>
      <c r="D307" s="529" t="s">
        <v>1968</v>
      </c>
      <c r="F307" s="319" t="s">
        <v>2212</v>
      </c>
      <c r="N307" s="322"/>
      <c r="P307" s="322"/>
      <c r="R307" s="322"/>
      <c r="T307" s="322"/>
      <c r="V307" s="322"/>
      <c r="X307" s="322"/>
      <c r="Z307" s="322"/>
      <c r="AB307" s="322"/>
      <c r="AD307" s="322"/>
      <c r="AF307" s="322"/>
      <c r="AH307" s="322"/>
      <c r="AJ307" s="322"/>
      <c r="AL307" s="322"/>
      <c r="AN307" s="322"/>
      <c r="AP307" s="322"/>
      <c r="AR307" s="322"/>
      <c r="AT307" s="322"/>
      <c r="AV307" s="322"/>
      <c r="AX307" s="322"/>
      <c r="AZ307" s="322"/>
      <c r="BB307" s="322"/>
      <c r="BD307" s="322"/>
      <c r="BF307" s="322"/>
      <c r="BH307" s="322"/>
      <c r="BJ307" s="322"/>
      <c r="BL307" s="322"/>
      <c r="BN307" s="322"/>
    </row>
    <row r="308" spans="2:66" ht="36">
      <c r="B308" s="322" t="s">
        <v>1654</v>
      </c>
      <c r="C308" s="440" t="s">
        <v>2295</v>
      </c>
      <c r="D308" s="529" t="s">
        <v>1968</v>
      </c>
      <c r="F308" s="319" t="s">
        <v>2212</v>
      </c>
      <c r="N308" s="322"/>
      <c r="P308" s="322"/>
      <c r="R308" s="322"/>
      <c r="T308" s="322"/>
      <c r="V308" s="322"/>
      <c r="X308" s="322"/>
      <c r="Z308" s="322"/>
      <c r="AB308" s="322"/>
      <c r="AD308" s="322"/>
      <c r="AF308" s="322"/>
      <c r="AH308" s="322"/>
      <c r="AJ308" s="322"/>
      <c r="AL308" s="322"/>
      <c r="AN308" s="322"/>
      <c r="AP308" s="322"/>
      <c r="AR308" s="322"/>
      <c r="AT308" s="322"/>
      <c r="AV308" s="322"/>
      <c r="AX308" s="322"/>
      <c r="AZ308" s="322"/>
      <c r="BB308" s="322"/>
      <c r="BD308" s="322"/>
      <c r="BF308" s="322"/>
      <c r="BH308" s="322"/>
      <c r="BJ308" s="322"/>
      <c r="BL308" s="322"/>
      <c r="BN308" s="322"/>
    </row>
    <row r="309" spans="2:66" ht="36">
      <c r="B309" s="322" t="s">
        <v>1654</v>
      </c>
      <c r="C309" s="440" t="s">
        <v>2296</v>
      </c>
      <c r="D309" s="529" t="s">
        <v>1968</v>
      </c>
      <c r="F309" s="319" t="s">
        <v>2212</v>
      </c>
      <c r="N309" s="322"/>
      <c r="P309" s="322"/>
      <c r="R309" s="322"/>
      <c r="T309" s="322"/>
      <c r="V309" s="322"/>
      <c r="X309" s="322"/>
      <c r="Z309" s="322"/>
      <c r="AB309" s="322"/>
      <c r="AD309" s="322"/>
      <c r="AF309" s="322"/>
      <c r="AH309" s="322"/>
      <c r="AJ309" s="322"/>
      <c r="AL309" s="322"/>
      <c r="AN309" s="322"/>
      <c r="AP309" s="322"/>
      <c r="AR309" s="322"/>
      <c r="AT309" s="322"/>
      <c r="AV309" s="322"/>
      <c r="AX309" s="322"/>
      <c r="AZ309" s="322"/>
      <c r="BB309" s="322"/>
      <c r="BD309" s="322"/>
      <c r="BF309" s="322"/>
      <c r="BH309" s="322"/>
      <c r="BJ309" s="322"/>
      <c r="BL309" s="322"/>
      <c r="BN309" s="322"/>
    </row>
    <row r="310" spans="2:66" ht="36">
      <c r="B310" s="322" t="s">
        <v>1654</v>
      </c>
      <c r="C310" s="440" t="s">
        <v>2297</v>
      </c>
      <c r="D310" s="529" t="s">
        <v>1968</v>
      </c>
      <c r="F310" s="319" t="s">
        <v>2212</v>
      </c>
      <c r="N310" s="322"/>
      <c r="P310" s="322"/>
      <c r="R310" s="322"/>
      <c r="T310" s="322"/>
      <c r="V310" s="322"/>
      <c r="X310" s="322"/>
      <c r="Z310" s="322"/>
      <c r="AB310" s="322"/>
      <c r="AD310" s="322"/>
      <c r="AF310" s="322"/>
      <c r="AH310" s="322"/>
      <c r="AJ310" s="322"/>
      <c r="AL310" s="322"/>
      <c r="AN310" s="322"/>
      <c r="AP310" s="322"/>
      <c r="AR310" s="322"/>
      <c r="AT310" s="322"/>
      <c r="AV310" s="322"/>
      <c r="AX310" s="322"/>
      <c r="AZ310" s="322"/>
      <c r="BB310" s="322"/>
      <c r="BD310" s="322"/>
      <c r="BF310" s="322"/>
      <c r="BH310" s="322"/>
      <c r="BJ310" s="322"/>
      <c r="BL310" s="322"/>
      <c r="BN310" s="322"/>
    </row>
    <row r="311" spans="2:66" ht="36">
      <c r="B311" s="322" t="s">
        <v>1654</v>
      </c>
      <c r="C311" s="440" t="s">
        <v>2298</v>
      </c>
      <c r="D311" s="529" t="s">
        <v>1968</v>
      </c>
      <c r="F311" s="319" t="s">
        <v>2212</v>
      </c>
      <c r="N311" s="322"/>
      <c r="P311" s="322"/>
      <c r="R311" s="322"/>
      <c r="T311" s="322"/>
      <c r="V311" s="322"/>
      <c r="X311" s="322"/>
      <c r="Z311" s="322"/>
      <c r="AB311" s="322"/>
      <c r="AD311" s="322"/>
      <c r="AF311" s="322"/>
      <c r="AH311" s="322"/>
      <c r="AJ311" s="322"/>
      <c r="AL311" s="322"/>
      <c r="AN311" s="322"/>
      <c r="AP311" s="322"/>
      <c r="AR311" s="322"/>
      <c r="AT311" s="322"/>
      <c r="AV311" s="322"/>
      <c r="AX311" s="322"/>
      <c r="AZ311" s="322"/>
      <c r="BB311" s="322"/>
      <c r="BD311" s="322"/>
      <c r="BF311" s="322"/>
      <c r="BH311" s="322"/>
      <c r="BJ311" s="322"/>
      <c r="BL311" s="322"/>
      <c r="BN311" s="322"/>
    </row>
    <row r="312" spans="2:66" ht="36">
      <c r="B312" s="322" t="s">
        <v>1654</v>
      </c>
      <c r="C312" s="440" t="s">
        <v>2299</v>
      </c>
      <c r="D312" s="529" t="s">
        <v>1968</v>
      </c>
      <c r="F312" s="319" t="s">
        <v>2212</v>
      </c>
      <c r="N312" s="322"/>
      <c r="P312" s="322"/>
      <c r="R312" s="322"/>
      <c r="T312" s="322"/>
      <c r="V312" s="322"/>
      <c r="X312" s="322"/>
      <c r="Z312" s="322"/>
      <c r="AB312" s="322"/>
      <c r="AD312" s="322"/>
      <c r="AF312" s="322"/>
      <c r="AH312" s="322"/>
      <c r="AJ312" s="322"/>
      <c r="AL312" s="322"/>
      <c r="AN312" s="322"/>
      <c r="AP312" s="322"/>
      <c r="AR312" s="322"/>
      <c r="AT312" s="322"/>
      <c r="AV312" s="322"/>
      <c r="AX312" s="322"/>
      <c r="AZ312" s="322"/>
      <c r="BB312" s="322"/>
      <c r="BD312" s="322"/>
      <c r="BF312" s="322"/>
      <c r="BH312" s="322"/>
      <c r="BJ312" s="322"/>
      <c r="BL312" s="322"/>
      <c r="BN312" s="322"/>
    </row>
    <row r="313" spans="2:66" ht="36">
      <c r="B313" s="322" t="s">
        <v>1654</v>
      </c>
      <c r="C313" s="440" t="s">
        <v>2300</v>
      </c>
      <c r="D313" s="529" t="s">
        <v>1968</v>
      </c>
      <c r="F313" s="319" t="s">
        <v>2212</v>
      </c>
      <c r="N313" s="322"/>
      <c r="P313" s="322"/>
      <c r="R313" s="322"/>
      <c r="T313" s="322"/>
      <c r="V313" s="322"/>
      <c r="X313" s="322"/>
      <c r="Z313" s="322"/>
      <c r="AB313" s="322"/>
      <c r="AD313" s="322"/>
      <c r="AF313" s="322"/>
      <c r="AH313" s="322"/>
      <c r="AJ313" s="322"/>
      <c r="AL313" s="322"/>
      <c r="AN313" s="322"/>
      <c r="AP313" s="322"/>
      <c r="AR313" s="322"/>
      <c r="AT313" s="322"/>
      <c r="AV313" s="322"/>
      <c r="AX313" s="322"/>
      <c r="AZ313" s="322"/>
      <c r="BB313" s="322"/>
      <c r="BD313" s="322"/>
      <c r="BF313" s="322"/>
      <c r="BH313" s="322"/>
      <c r="BJ313" s="322"/>
      <c r="BL313" s="322"/>
      <c r="BN313" s="322"/>
    </row>
    <row r="314" spans="2:66" ht="36">
      <c r="B314" s="322" t="s">
        <v>1654</v>
      </c>
      <c r="C314" s="440" t="s">
        <v>2301</v>
      </c>
      <c r="D314" s="529" t="s">
        <v>1968</v>
      </c>
      <c r="F314" s="319" t="s">
        <v>2212</v>
      </c>
      <c r="N314" s="322"/>
      <c r="P314" s="322"/>
      <c r="R314" s="322"/>
      <c r="T314" s="322"/>
      <c r="V314" s="322"/>
      <c r="X314" s="322"/>
      <c r="Z314" s="322"/>
      <c r="AB314" s="322"/>
      <c r="AD314" s="322"/>
      <c r="AF314" s="322"/>
      <c r="AH314" s="322"/>
      <c r="AJ314" s="322"/>
      <c r="AL314" s="322"/>
      <c r="AN314" s="322"/>
      <c r="AP314" s="322"/>
      <c r="AR314" s="322"/>
      <c r="AT314" s="322"/>
      <c r="AV314" s="322"/>
      <c r="AX314" s="322"/>
      <c r="AZ314" s="322"/>
      <c r="BB314" s="322"/>
      <c r="BD314" s="322"/>
      <c r="BF314" s="322"/>
      <c r="BH314" s="322"/>
      <c r="BJ314" s="322"/>
      <c r="BL314" s="322"/>
      <c r="BN314" s="322"/>
    </row>
    <row r="315" spans="2:66" ht="36">
      <c r="B315" s="322" t="s">
        <v>1654</v>
      </c>
      <c r="C315" s="440" t="s">
        <v>2302</v>
      </c>
      <c r="D315" s="529" t="s">
        <v>1968</v>
      </c>
      <c r="F315" s="319" t="s">
        <v>2212</v>
      </c>
      <c r="N315" s="322"/>
      <c r="P315" s="322"/>
      <c r="R315" s="322"/>
      <c r="T315" s="322"/>
      <c r="V315" s="322"/>
      <c r="X315" s="322"/>
      <c r="Z315" s="322"/>
      <c r="AB315" s="322"/>
      <c r="AD315" s="322"/>
      <c r="AF315" s="322"/>
      <c r="AH315" s="322"/>
      <c r="AJ315" s="322"/>
      <c r="AL315" s="322"/>
      <c r="AN315" s="322"/>
      <c r="AP315" s="322"/>
      <c r="AR315" s="322"/>
      <c r="AT315" s="322"/>
      <c r="AV315" s="322"/>
      <c r="AX315" s="322"/>
      <c r="AZ315" s="322"/>
      <c r="BB315" s="322"/>
      <c r="BD315" s="322"/>
      <c r="BF315" s="322"/>
      <c r="BH315" s="322"/>
      <c r="BJ315" s="322"/>
      <c r="BL315" s="322"/>
      <c r="BN315" s="322"/>
    </row>
    <row r="316" spans="2:66" ht="36">
      <c r="B316" s="322" t="s">
        <v>1654</v>
      </c>
      <c r="C316" s="440" t="s">
        <v>2303</v>
      </c>
      <c r="D316" s="529" t="s">
        <v>1968</v>
      </c>
      <c r="F316" s="319" t="s">
        <v>2212</v>
      </c>
      <c r="N316" s="322"/>
      <c r="P316" s="322"/>
      <c r="R316" s="322"/>
      <c r="T316" s="322"/>
      <c r="V316" s="322"/>
      <c r="X316" s="322"/>
      <c r="Z316" s="322"/>
      <c r="AB316" s="322"/>
      <c r="AD316" s="322"/>
      <c r="AF316" s="322"/>
      <c r="AH316" s="322"/>
      <c r="AJ316" s="322"/>
      <c r="AL316" s="322"/>
      <c r="AN316" s="322"/>
      <c r="AP316" s="322"/>
      <c r="AR316" s="322"/>
      <c r="AT316" s="322"/>
      <c r="AV316" s="322"/>
      <c r="AX316" s="322"/>
      <c r="AZ316" s="322"/>
      <c r="BB316" s="322"/>
      <c r="BD316" s="322"/>
      <c r="BF316" s="322"/>
      <c r="BH316" s="322"/>
      <c r="BJ316" s="322"/>
      <c r="BL316" s="322"/>
      <c r="BN316" s="322"/>
    </row>
    <row r="317" spans="2:66" ht="36">
      <c r="B317" s="322" t="s">
        <v>1654</v>
      </c>
      <c r="C317" s="440" t="s">
        <v>2304</v>
      </c>
      <c r="D317" s="529" t="s">
        <v>1968</v>
      </c>
      <c r="F317" s="319" t="s">
        <v>2212</v>
      </c>
      <c r="N317" s="322"/>
      <c r="P317" s="322"/>
      <c r="R317" s="322"/>
      <c r="T317" s="322"/>
      <c r="V317" s="322"/>
      <c r="X317" s="322"/>
      <c r="Z317" s="322"/>
      <c r="AB317" s="322"/>
      <c r="AD317" s="322"/>
      <c r="AF317" s="322"/>
      <c r="AH317" s="322"/>
      <c r="AJ317" s="322"/>
      <c r="AL317" s="322"/>
      <c r="AN317" s="322"/>
      <c r="AP317" s="322"/>
      <c r="AR317" s="322"/>
      <c r="AT317" s="322"/>
      <c r="AV317" s="322"/>
      <c r="AX317" s="322"/>
      <c r="AZ317" s="322"/>
      <c r="BB317" s="322"/>
      <c r="BD317" s="322"/>
      <c r="BF317" s="322"/>
      <c r="BH317" s="322"/>
      <c r="BJ317" s="322"/>
      <c r="BL317" s="322"/>
      <c r="BN317" s="322"/>
    </row>
    <row r="318" spans="2:66" ht="36">
      <c r="B318" s="322" t="s">
        <v>1654</v>
      </c>
      <c r="C318" s="440" t="s">
        <v>2305</v>
      </c>
      <c r="D318" s="529" t="s">
        <v>1968</v>
      </c>
      <c r="F318" s="319" t="s">
        <v>2212</v>
      </c>
      <c r="N318" s="322"/>
      <c r="P318" s="322"/>
      <c r="R318" s="322"/>
      <c r="T318" s="322"/>
      <c r="V318" s="322"/>
      <c r="X318" s="322"/>
      <c r="Z318" s="322"/>
      <c r="AB318" s="322"/>
      <c r="AD318" s="322"/>
      <c r="AF318" s="322"/>
      <c r="AH318" s="322"/>
      <c r="AJ318" s="322"/>
      <c r="AL318" s="322"/>
      <c r="AN318" s="322"/>
      <c r="AP318" s="322"/>
      <c r="AR318" s="322"/>
      <c r="AT318" s="322"/>
      <c r="AV318" s="322"/>
      <c r="AX318" s="322"/>
      <c r="AZ318" s="322"/>
      <c r="BB318" s="322"/>
      <c r="BD318" s="322"/>
      <c r="BF318" s="322"/>
      <c r="BH318" s="322"/>
      <c r="BJ318" s="322"/>
      <c r="BL318" s="322"/>
      <c r="BN318" s="322"/>
    </row>
    <row r="319" spans="2:66" ht="36">
      <c r="B319" s="322" t="s">
        <v>1654</v>
      </c>
      <c r="C319" s="440" t="s">
        <v>2306</v>
      </c>
      <c r="D319" s="529" t="s">
        <v>1968</v>
      </c>
      <c r="F319" s="319" t="s">
        <v>2212</v>
      </c>
      <c r="N319" s="322"/>
      <c r="P319" s="322"/>
      <c r="R319" s="322"/>
      <c r="T319" s="322"/>
      <c r="V319" s="322"/>
      <c r="X319" s="322"/>
      <c r="Z319" s="322"/>
      <c r="AB319" s="322"/>
      <c r="AD319" s="322"/>
      <c r="AF319" s="322"/>
      <c r="AH319" s="322"/>
      <c r="AJ319" s="322"/>
      <c r="AL319" s="322"/>
      <c r="AN319" s="322"/>
      <c r="AP319" s="322"/>
      <c r="AR319" s="322"/>
      <c r="AT319" s="322"/>
      <c r="AV319" s="322"/>
      <c r="AX319" s="322"/>
      <c r="AZ319" s="322"/>
      <c r="BB319" s="322"/>
      <c r="BD319" s="322"/>
      <c r="BF319" s="322"/>
      <c r="BH319" s="322"/>
      <c r="BJ319" s="322"/>
      <c r="BL319" s="322"/>
      <c r="BN319" s="322"/>
    </row>
    <row r="320" spans="2:66" ht="36">
      <c r="B320" s="322" t="s">
        <v>1654</v>
      </c>
      <c r="C320" s="440" t="s">
        <v>2235</v>
      </c>
      <c r="D320" s="529" t="s">
        <v>1969</v>
      </c>
      <c r="F320" s="319" t="s">
        <v>2212</v>
      </c>
      <c r="N320" s="322"/>
      <c r="P320" s="322"/>
      <c r="R320" s="322"/>
      <c r="T320" s="322"/>
      <c r="V320" s="322"/>
      <c r="X320" s="322"/>
      <c r="Z320" s="322"/>
      <c r="AB320" s="322"/>
      <c r="AD320" s="322"/>
      <c r="AF320" s="322"/>
      <c r="AH320" s="322"/>
      <c r="AJ320" s="322"/>
      <c r="AL320" s="322"/>
      <c r="AN320" s="322"/>
      <c r="AP320" s="322"/>
      <c r="AR320" s="322"/>
      <c r="AT320" s="322"/>
      <c r="AV320" s="322"/>
      <c r="AX320" s="322"/>
      <c r="AZ320" s="322"/>
      <c r="BB320" s="322"/>
      <c r="BD320" s="322"/>
      <c r="BF320" s="322"/>
      <c r="BH320" s="322"/>
      <c r="BJ320" s="322"/>
      <c r="BL320" s="322"/>
      <c r="BN320" s="322"/>
    </row>
    <row r="321" spans="2:66">
      <c r="B321" s="322" t="s">
        <v>1654</v>
      </c>
      <c r="C321" s="440" t="s">
        <v>2307</v>
      </c>
      <c r="D321" s="680" t="s">
        <v>1970</v>
      </c>
      <c r="F321" s="319" t="s">
        <v>2212</v>
      </c>
      <c r="N321" s="322"/>
      <c r="P321" s="322"/>
      <c r="R321" s="322"/>
      <c r="T321" s="322"/>
      <c r="V321" s="322"/>
      <c r="X321" s="322"/>
      <c r="Z321" s="322"/>
      <c r="AB321" s="322"/>
      <c r="AD321" s="322"/>
      <c r="AF321" s="322"/>
      <c r="AH321" s="322"/>
      <c r="AJ321" s="322"/>
      <c r="AL321" s="322"/>
      <c r="AN321" s="322"/>
      <c r="AP321" s="322"/>
      <c r="AR321" s="322"/>
      <c r="AT321" s="322"/>
      <c r="AV321" s="322"/>
      <c r="AX321" s="322"/>
      <c r="AZ321" s="322"/>
      <c r="BB321" s="322"/>
      <c r="BD321" s="322"/>
      <c r="BF321" s="322"/>
      <c r="BH321" s="322"/>
      <c r="BJ321" s="322"/>
      <c r="BL321" s="322"/>
      <c r="BN321" s="322"/>
    </row>
    <row r="322" spans="2:66">
      <c r="B322" s="322" t="s">
        <v>1654</v>
      </c>
      <c r="C322" s="440" t="s">
        <v>2308</v>
      </c>
      <c r="D322" s="680" t="s">
        <v>1970</v>
      </c>
      <c r="F322" s="319" t="s">
        <v>2212</v>
      </c>
      <c r="N322" s="322"/>
      <c r="P322" s="322"/>
      <c r="R322" s="322"/>
      <c r="T322" s="322"/>
      <c r="V322" s="322"/>
      <c r="X322" s="322"/>
      <c r="Z322" s="322"/>
      <c r="AB322" s="322"/>
      <c r="AD322" s="322"/>
      <c r="AF322" s="322"/>
      <c r="AH322" s="322"/>
      <c r="AJ322" s="322"/>
      <c r="AL322" s="322"/>
      <c r="AN322" s="322"/>
      <c r="AP322" s="322"/>
      <c r="AR322" s="322"/>
      <c r="AT322" s="322"/>
      <c r="AV322" s="322"/>
      <c r="AX322" s="322"/>
      <c r="AZ322" s="322"/>
      <c r="BB322" s="322"/>
      <c r="BD322" s="322"/>
      <c r="BF322" s="322"/>
      <c r="BH322" s="322"/>
      <c r="BJ322" s="322"/>
      <c r="BL322" s="322"/>
      <c r="BN322" s="322"/>
    </row>
    <row r="323" spans="2:66">
      <c r="B323" s="322" t="s">
        <v>1654</v>
      </c>
      <c r="C323" s="440" t="s">
        <v>2309</v>
      </c>
      <c r="D323" s="680" t="s">
        <v>1971</v>
      </c>
      <c r="F323" s="319" t="s">
        <v>2212</v>
      </c>
      <c r="N323" s="322"/>
      <c r="P323" s="322"/>
      <c r="R323" s="322"/>
      <c r="T323" s="322"/>
      <c r="V323" s="322"/>
      <c r="X323" s="322"/>
      <c r="Z323" s="322"/>
      <c r="AB323" s="322"/>
      <c r="AD323" s="322"/>
      <c r="AF323" s="322"/>
      <c r="AH323" s="322"/>
      <c r="AJ323" s="322"/>
      <c r="AL323" s="322"/>
      <c r="AN323" s="322"/>
      <c r="AP323" s="322"/>
      <c r="AR323" s="322"/>
      <c r="AT323" s="322"/>
      <c r="AV323" s="322"/>
      <c r="AX323" s="322"/>
      <c r="AZ323" s="322"/>
      <c r="BB323" s="322"/>
      <c r="BD323" s="322"/>
      <c r="BF323" s="322"/>
      <c r="BH323" s="322"/>
      <c r="BJ323" s="322"/>
      <c r="BL323" s="322"/>
      <c r="BN323" s="322"/>
    </row>
    <row r="324" spans="2:66" ht="36">
      <c r="B324" s="322" t="s">
        <v>1654</v>
      </c>
      <c r="C324" s="440" t="s">
        <v>2246</v>
      </c>
      <c r="D324" s="680" t="s">
        <v>1972</v>
      </c>
      <c r="F324" s="319" t="s">
        <v>2212</v>
      </c>
      <c r="N324" s="322"/>
      <c r="P324" s="322"/>
      <c r="R324" s="322"/>
      <c r="T324" s="322"/>
      <c r="V324" s="322"/>
      <c r="X324" s="322"/>
      <c r="Z324" s="322"/>
      <c r="AB324" s="322"/>
      <c r="AD324" s="322"/>
      <c r="AF324" s="322"/>
      <c r="AH324" s="322"/>
      <c r="AJ324" s="322"/>
      <c r="AL324" s="322"/>
      <c r="AN324" s="322"/>
      <c r="AP324" s="322"/>
      <c r="AR324" s="322"/>
      <c r="AT324" s="322"/>
      <c r="AV324" s="322"/>
      <c r="AX324" s="322"/>
      <c r="AZ324" s="322"/>
      <c r="BB324" s="322"/>
      <c r="BD324" s="322"/>
      <c r="BF324" s="322"/>
      <c r="BH324" s="322"/>
      <c r="BJ324" s="322"/>
      <c r="BL324" s="322"/>
      <c r="BN324" s="322"/>
    </row>
    <row r="325" spans="2:66">
      <c r="B325" s="322" t="s">
        <v>1654</v>
      </c>
      <c r="C325" s="440" t="s">
        <v>2310</v>
      </c>
      <c r="D325" s="523" t="s">
        <v>1973</v>
      </c>
      <c r="F325" s="319" t="s">
        <v>2212</v>
      </c>
      <c r="N325" s="322"/>
      <c r="P325" s="322"/>
      <c r="R325" s="322"/>
      <c r="T325" s="322"/>
      <c r="V325" s="322"/>
      <c r="X325" s="322"/>
      <c r="Z325" s="322"/>
      <c r="AB325" s="322"/>
      <c r="AD325" s="322"/>
      <c r="AF325" s="322"/>
      <c r="AH325" s="322"/>
      <c r="AJ325" s="322"/>
      <c r="AL325" s="322"/>
      <c r="AN325" s="322"/>
      <c r="AP325" s="322"/>
      <c r="AR325" s="322"/>
      <c r="AT325" s="322"/>
      <c r="AV325" s="322"/>
      <c r="AX325" s="322"/>
      <c r="AZ325" s="322"/>
      <c r="BB325" s="322"/>
      <c r="BD325" s="322"/>
      <c r="BF325" s="322"/>
      <c r="BH325" s="322"/>
      <c r="BJ325" s="322"/>
      <c r="BL325" s="322"/>
      <c r="BN325" s="322"/>
    </row>
    <row r="326" spans="2:66">
      <c r="B326" s="322" t="s">
        <v>1654</v>
      </c>
      <c r="C326" s="440" t="s">
        <v>2311</v>
      </c>
      <c r="D326" s="523" t="s">
        <v>1974</v>
      </c>
      <c r="F326" s="319" t="s">
        <v>2212</v>
      </c>
      <c r="N326" s="322"/>
      <c r="P326" s="322"/>
      <c r="R326" s="322"/>
      <c r="T326" s="322"/>
      <c r="V326" s="322"/>
      <c r="X326" s="322"/>
      <c r="Z326" s="322"/>
      <c r="AB326" s="322"/>
      <c r="AD326" s="322"/>
      <c r="AF326" s="322"/>
      <c r="AH326" s="322"/>
      <c r="AJ326" s="322"/>
      <c r="AL326" s="322"/>
      <c r="AN326" s="322"/>
      <c r="AP326" s="322"/>
      <c r="AR326" s="322"/>
      <c r="AT326" s="322"/>
      <c r="AV326" s="322"/>
      <c r="AX326" s="322"/>
      <c r="AZ326" s="322"/>
      <c r="BB326" s="322"/>
      <c r="BD326" s="322"/>
      <c r="BF326" s="322"/>
      <c r="BH326" s="322"/>
      <c r="BJ326" s="322"/>
      <c r="BL326" s="322"/>
      <c r="BN326" s="322"/>
    </row>
    <row r="327" spans="2:66">
      <c r="B327" s="322" t="s">
        <v>1654</v>
      </c>
      <c r="C327" s="440" t="s">
        <v>2312</v>
      </c>
      <c r="D327" s="328" t="s">
        <v>1975</v>
      </c>
      <c r="F327" s="319" t="s">
        <v>2212</v>
      </c>
      <c r="N327" s="322"/>
      <c r="P327" s="322"/>
      <c r="R327" s="322"/>
      <c r="T327" s="322"/>
      <c r="V327" s="322"/>
      <c r="X327" s="322"/>
      <c r="Z327" s="322"/>
      <c r="AB327" s="322"/>
      <c r="AD327" s="322"/>
      <c r="AF327" s="322"/>
      <c r="AH327" s="322"/>
      <c r="AJ327" s="322"/>
      <c r="AL327" s="322"/>
      <c r="AN327" s="322"/>
      <c r="AP327" s="322"/>
      <c r="AR327" s="322"/>
      <c r="AT327" s="322"/>
      <c r="AV327" s="322"/>
      <c r="AX327" s="322"/>
      <c r="AZ327" s="322"/>
      <c r="BB327" s="322"/>
      <c r="BD327" s="322"/>
      <c r="BF327" s="322"/>
      <c r="BH327" s="322"/>
      <c r="BJ327" s="322"/>
      <c r="BL327" s="322"/>
      <c r="BN327" s="322"/>
    </row>
    <row r="328" spans="2:66">
      <c r="B328" s="322" t="s">
        <v>1654</v>
      </c>
      <c r="C328" s="440" t="s">
        <v>2313</v>
      </c>
      <c r="D328" s="526" t="s">
        <v>1976</v>
      </c>
      <c r="F328" s="319" t="s">
        <v>2212</v>
      </c>
      <c r="N328" s="322"/>
      <c r="P328" s="322"/>
      <c r="R328" s="322"/>
      <c r="T328" s="322"/>
      <c r="V328" s="322"/>
      <c r="X328" s="322"/>
      <c r="Z328" s="322"/>
      <c r="AB328" s="322"/>
      <c r="AD328" s="322"/>
      <c r="AF328" s="322"/>
      <c r="AH328" s="322"/>
      <c r="AJ328" s="322"/>
      <c r="AL328" s="322"/>
      <c r="AN328" s="322"/>
      <c r="AP328" s="322"/>
      <c r="AR328" s="322"/>
      <c r="AT328" s="322"/>
      <c r="AV328" s="322"/>
      <c r="AX328" s="322"/>
      <c r="AZ328" s="322"/>
      <c r="BB328" s="322"/>
      <c r="BD328" s="322"/>
      <c r="BF328" s="322"/>
      <c r="BH328" s="322"/>
      <c r="BJ328" s="322"/>
      <c r="BL328" s="322"/>
      <c r="BN328" s="322"/>
    </row>
    <row r="329" spans="2:66">
      <c r="B329" s="322" t="s">
        <v>1654</v>
      </c>
      <c r="C329" s="440" t="s">
        <v>2314</v>
      </c>
      <c r="D329" s="535" t="s">
        <v>1977</v>
      </c>
      <c r="F329" s="319" t="s">
        <v>2212</v>
      </c>
      <c r="N329" s="322"/>
      <c r="P329" s="322"/>
      <c r="R329" s="322"/>
      <c r="T329" s="322"/>
      <c r="V329" s="322"/>
      <c r="X329" s="322"/>
      <c r="Z329" s="322"/>
      <c r="AB329" s="322"/>
      <c r="AD329" s="322"/>
      <c r="AF329" s="322"/>
      <c r="AH329" s="322"/>
      <c r="AJ329" s="322"/>
      <c r="AL329" s="322"/>
      <c r="AN329" s="322"/>
      <c r="AP329" s="322"/>
      <c r="AR329" s="322"/>
      <c r="AT329" s="322"/>
      <c r="AV329" s="322"/>
      <c r="AX329" s="322"/>
      <c r="AZ329" s="322"/>
      <c r="BB329" s="322"/>
      <c r="BD329" s="322"/>
      <c r="BF329" s="322"/>
      <c r="BH329" s="322"/>
      <c r="BJ329" s="322"/>
      <c r="BL329" s="322"/>
      <c r="BN329" s="322"/>
    </row>
    <row r="330" spans="2:66">
      <c r="B330" s="322" t="s">
        <v>1654</v>
      </c>
      <c r="C330" s="440" t="s">
        <v>2315</v>
      </c>
      <c r="D330" s="535" t="s">
        <v>1978</v>
      </c>
      <c r="F330" s="319" t="s">
        <v>2212</v>
      </c>
      <c r="N330" s="322"/>
      <c r="P330" s="322"/>
      <c r="R330" s="322"/>
      <c r="T330" s="322"/>
      <c r="V330" s="322"/>
      <c r="X330" s="322"/>
      <c r="Z330" s="322"/>
      <c r="AB330" s="322"/>
      <c r="AD330" s="322"/>
      <c r="AF330" s="322"/>
      <c r="AH330" s="322"/>
      <c r="AJ330" s="322"/>
      <c r="AL330" s="322"/>
      <c r="AN330" s="322"/>
      <c r="AP330" s="322"/>
      <c r="AR330" s="322"/>
      <c r="AT330" s="322"/>
      <c r="AV330" s="322"/>
      <c r="AX330" s="322"/>
      <c r="AZ330" s="322"/>
      <c r="BB330" s="322"/>
      <c r="BD330" s="322"/>
      <c r="BF330" s="322"/>
      <c r="BH330" s="322"/>
      <c r="BJ330" s="322"/>
      <c r="BL330" s="322"/>
      <c r="BN330" s="322"/>
    </row>
    <row r="331" spans="2:66">
      <c r="B331" s="322" t="s">
        <v>1654</v>
      </c>
      <c r="C331" s="440" t="s">
        <v>2316</v>
      </c>
      <c r="D331" s="535" t="s">
        <v>1978</v>
      </c>
      <c r="F331" s="319" t="s">
        <v>2212</v>
      </c>
      <c r="N331" s="322"/>
      <c r="P331" s="322"/>
      <c r="R331" s="322"/>
      <c r="T331" s="322"/>
      <c r="V331" s="322"/>
      <c r="X331" s="322"/>
      <c r="Z331" s="322"/>
      <c r="AB331" s="322"/>
      <c r="AD331" s="322"/>
      <c r="AF331" s="322"/>
      <c r="AH331" s="322"/>
      <c r="AJ331" s="322"/>
      <c r="AL331" s="322"/>
      <c r="AN331" s="322"/>
      <c r="AP331" s="322"/>
      <c r="AR331" s="322"/>
      <c r="AT331" s="322"/>
      <c r="AV331" s="322"/>
      <c r="AX331" s="322"/>
      <c r="AZ331" s="322"/>
      <c r="BB331" s="322"/>
      <c r="BD331" s="322"/>
      <c r="BF331" s="322"/>
      <c r="BH331" s="322"/>
      <c r="BJ331" s="322"/>
      <c r="BL331" s="322"/>
      <c r="BN331" s="322"/>
    </row>
    <row r="332" spans="2:66">
      <c r="B332" s="322" t="s">
        <v>1654</v>
      </c>
      <c r="C332" s="440" t="s">
        <v>2317</v>
      </c>
      <c r="D332" s="535" t="s">
        <v>1979</v>
      </c>
      <c r="F332" s="319" t="s">
        <v>2212</v>
      </c>
      <c r="N332" s="322"/>
      <c r="P332" s="322"/>
      <c r="R332" s="322"/>
      <c r="T332" s="322"/>
      <c r="V332" s="322"/>
      <c r="X332" s="322"/>
      <c r="Z332" s="322"/>
      <c r="AB332" s="322"/>
      <c r="AD332" s="322"/>
      <c r="AF332" s="322"/>
      <c r="AH332" s="322"/>
      <c r="AJ332" s="322"/>
      <c r="AL332" s="322"/>
      <c r="AN332" s="322"/>
      <c r="AP332" s="322"/>
      <c r="AR332" s="322"/>
      <c r="AT332" s="322"/>
      <c r="AV332" s="322"/>
      <c r="AX332" s="322"/>
      <c r="AZ332" s="322"/>
      <c r="BB332" s="322"/>
      <c r="BD332" s="322"/>
      <c r="BF332" s="322"/>
      <c r="BH332" s="322"/>
      <c r="BJ332" s="322"/>
      <c r="BL332" s="322"/>
      <c r="BN332" s="322"/>
    </row>
    <row r="333" spans="2:66">
      <c r="B333" s="322" t="s">
        <v>1654</v>
      </c>
      <c r="C333" s="440" t="s">
        <v>2318</v>
      </c>
      <c r="D333" s="535" t="s">
        <v>1980</v>
      </c>
      <c r="F333" s="319" t="s">
        <v>2212</v>
      </c>
      <c r="N333" s="322"/>
      <c r="P333" s="322"/>
      <c r="R333" s="322"/>
      <c r="T333" s="322"/>
      <c r="V333" s="322"/>
      <c r="X333" s="322"/>
      <c r="Z333" s="322"/>
      <c r="AB333" s="322"/>
      <c r="AD333" s="322"/>
      <c r="AF333" s="322"/>
      <c r="AH333" s="322"/>
      <c r="AJ333" s="322"/>
      <c r="AL333" s="322"/>
      <c r="AN333" s="322"/>
      <c r="AP333" s="322"/>
      <c r="AR333" s="322"/>
      <c r="AT333" s="322"/>
      <c r="AV333" s="322"/>
      <c r="AX333" s="322"/>
      <c r="AZ333" s="322"/>
      <c r="BB333" s="322"/>
      <c r="BD333" s="322"/>
      <c r="BF333" s="322"/>
      <c r="BH333" s="322"/>
      <c r="BJ333" s="322"/>
      <c r="BL333" s="322"/>
      <c r="BN333" s="322"/>
    </row>
    <row r="334" spans="2:66">
      <c r="B334" s="322" t="s">
        <v>1654</v>
      </c>
      <c r="C334" s="440" t="s">
        <v>2319</v>
      </c>
      <c r="D334" s="535" t="s">
        <v>1981</v>
      </c>
      <c r="F334" s="319" t="s">
        <v>2212</v>
      </c>
      <c r="N334" s="322"/>
      <c r="P334" s="322"/>
      <c r="R334" s="322"/>
      <c r="T334" s="322"/>
      <c r="V334" s="322"/>
      <c r="X334" s="322"/>
      <c r="Z334" s="322"/>
      <c r="AB334" s="322"/>
      <c r="AD334" s="322"/>
      <c r="AF334" s="322"/>
      <c r="AH334" s="322"/>
      <c r="AJ334" s="322"/>
      <c r="AL334" s="322"/>
      <c r="AN334" s="322"/>
      <c r="AP334" s="322"/>
      <c r="AR334" s="322"/>
      <c r="AT334" s="322"/>
      <c r="AV334" s="322"/>
      <c r="AX334" s="322"/>
      <c r="AZ334" s="322"/>
      <c r="BB334" s="322"/>
      <c r="BD334" s="322"/>
      <c r="BF334" s="322"/>
      <c r="BH334" s="322"/>
      <c r="BJ334" s="322"/>
      <c r="BL334" s="322"/>
      <c r="BN334" s="322"/>
    </row>
    <row r="335" spans="2:66">
      <c r="N335" s="322"/>
      <c r="P335" s="322"/>
      <c r="R335" s="322"/>
      <c r="T335" s="322"/>
      <c r="V335" s="322"/>
      <c r="X335" s="322"/>
      <c r="Z335" s="322"/>
      <c r="AB335" s="322"/>
      <c r="AD335" s="322"/>
      <c r="AF335" s="322"/>
      <c r="AH335" s="322"/>
      <c r="AJ335" s="322"/>
      <c r="AL335" s="322"/>
      <c r="AN335" s="322"/>
      <c r="AP335" s="322"/>
      <c r="AR335" s="322"/>
      <c r="AT335" s="322"/>
      <c r="AV335" s="322"/>
      <c r="AX335" s="322"/>
      <c r="AZ335" s="322"/>
      <c r="BB335" s="322"/>
      <c r="BD335" s="322"/>
      <c r="BF335" s="322"/>
      <c r="BH335" s="322"/>
      <c r="BJ335" s="322"/>
      <c r="BL335" s="322"/>
      <c r="BN335" s="322"/>
    </row>
    <row r="336" spans="2:66" ht="90">
      <c r="B336" s="322" t="s">
        <v>1982</v>
      </c>
      <c r="C336" s="812" t="s">
        <v>2213</v>
      </c>
      <c r="D336" s="526" t="s">
        <v>2556</v>
      </c>
      <c r="F336" s="315">
        <v>0</v>
      </c>
      <c r="N336" s="322"/>
      <c r="P336" s="322"/>
      <c r="R336" s="322"/>
      <c r="T336" s="322"/>
      <c r="V336" s="322"/>
      <c r="X336" s="322"/>
      <c r="Z336" s="322"/>
      <c r="AB336" s="322"/>
      <c r="AD336" s="322"/>
      <c r="AF336" s="322"/>
      <c r="AH336" s="322"/>
      <c r="AJ336" s="322"/>
      <c r="AL336" s="322"/>
      <c r="AN336" s="322"/>
      <c r="AP336" s="322"/>
      <c r="AR336" s="322"/>
      <c r="AT336" s="322"/>
      <c r="AV336" s="322"/>
      <c r="AX336" s="322"/>
      <c r="AZ336" s="322"/>
      <c r="BB336" s="322"/>
      <c r="BD336" s="322"/>
      <c r="BF336" s="322"/>
      <c r="BH336" s="322"/>
      <c r="BJ336" s="322"/>
      <c r="BL336" s="322"/>
      <c r="BN336" s="322"/>
    </row>
    <row r="337" spans="1:66">
      <c r="A337" s="524">
        <v>1</v>
      </c>
      <c r="B337" s="322" t="s">
        <v>1982</v>
      </c>
      <c r="C337" s="440" t="s">
        <v>2210</v>
      </c>
      <c r="D337" s="682" t="s">
        <v>2557</v>
      </c>
      <c r="F337" s="548">
        <v>1</v>
      </c>
      <c r="N337" s="322"/>
      <c r="P337" s="322"/>
      <c r="R337" s="322"/>
      <c r="T337" s="322"/>
      <c r="V337" s="322"/>
      <c r="X337" s="322"/>
      <c r="Z337" s="322"/>
      <c r="AB337" s="322"/>
      <c r="AD337" s="322"/>
      <c r="AF337" s="322"/>
      <c r="AH337" s="322"/>
      <c r="AJ337" s="322"/>
      <c r="AL337" s="322"/>
      <c r="AN337" s="322"/>
      <c r="AP337" s="322"/>
      <c r="AR337" s="322"/>
      <c r="AT337" s="322"/>
      <c r="AV337" s="322"/>
      <c r="AX337" s="322"/>
      <c r="AZ337" s="322"/>
      <c r="BB337" s="322"/>
      <c r="BD337" s="322"/>
      <c r="BF337" s="322"/>
      <c r="BH337" s="322"/>
      <c r="BJ337" s="322"/>
      <c r="BL337" s="322"/>
      <c r="BN337" s="322"/>
    </row>
    <row r="338" spans="1:66" ht="36">
      <c r="A338" s="524">
        <v>1</v>
      </c>
      <c r="B338" s="322" t="s">
        <v>1982</v>
      </c>
      <c r="C338" s="440" t="s">
        <v>2211</v>
      </c>
      <c r="D338" s="526" t="s">
        <v>2558</v>
      </c>
      <c r="F338" s="548">
        <v>1</v>
      </c>
      <c r="N338" s="322"/>
      <c r="P338" s="322"/>
      <c r="R338" s="322"/>
      <c r="T338" s="322"/>
      <c r="V338" s="322"/>
      <c r="X338" s="322"/>
      <c r="Z338" s="322"/>
      <c r="AB338" s="322"/>
      <c r="AD338" s="322"/>
      <c r="AF338" s="322"/>
      <c r="AH338" s="322"/>
      <c r="AJ338" s="322"/>
      <c r="AL338" s="322"/>
      <c r="AN338" s="322"/>
      <c r="AP338" s="322"/>
      <c r="AR338" s="322"/>
      <c r="AT338" s="322"/>
      <c r="AV338" s="322"/>
      <c r="AX338" s="322"/>
      <c r="AZ338" s="322"/>
      <c r="BB338" s="322"/>
      <c r="BD338" s="322"/>
      <c r="BF338" s="322"/>
      <c r="BH338" s="322"/>
      <c r="BJ338" s="322"/>
      <c r="BL338" s="322"/>
      <c r="BN338" s="322"/>
    </row>
    <row r="339" spans="1:66">
      <c r="A339" s="524">
        <v>1</v>
      </c>
      <c r="B339" s="322" t="s">
        <v>1982</v>
      </c>
      <c r="C339" s="440" t="s">
        <v>2211</v>
      </c>
      <c r="D339" s="526" t="s">
        <v>2559</v>
      </c>
      <c r="F339" s="548">
        <v>1</v>
      </c>
      <c r="N339" s="322"/>
      <c r="P339" s="322"/>
      <c r="R339" s="322"/>
      <c r="T339" s="322"/>
      <c r="V339" s="322"/>
      <c r="X339" s="322"/>
      <c r="Z339" s="322"/>
      <c r="AB339" s="322"/>
      <c r="AD339" s="322"/>
      <c r="AF339" s="322"/>
      <c r="AH339" s="322"/>
      <c r="AJ339" s="322"/>
      <c r="AL339" s="322"/>
      <c r="AN339" s="322"/>
      <c r="AP339" s="322"/>
      <c r="AR339" s="322"/>
      <c r="AT339" s="322"/>
      <c r="AV339" s="322"/>
      <c r="AX339" s="322"/>
      <c r="AZ339" s="322"/>
      <c r="BB339" s="322"/>
      <c r="BD339" s="322"/>
      <c r="BF339" s="322"/>
      <c r="BH339" s="322"/>
      <c r="BJ339" s="322"/>
      <c r="BL339" s="322"/>
      <c r="BN339" s="322"/>
    </row>
    <row r="340" spans="1:66" ht="36">
      <c r="A340" s="524">
        <v>1</v>
      </c>
      <c r="B340" s="322" t="s">
        <v>1982</v>
      </c>
      <c r="C340" s="440" t="s">
        <v>2211</v>
      </c>
      <c r="D340" s="526" t="s">
        <v>2560</v>
      </c>
      <c r="F340" s="548">
        <v>1</v>
      </c>
      <c r="N340" s="322"/>
      <c r="P340" s="322"/>
      <c r="R340" s="322"/>
      <c r="T340" s="322"/>
      <c r="V340" s="322"/>
      <c r="X340" s="322"/>
      <c r="Z340" s="322"/>
      <c r="AB340" s="322"/>
      <c r="AD340" s="322"/>
      <c r="AF340" s="322"/>
      <c r="AH340" s="322"/>
      <c r="AJ340" s="322"/>
      <c r="AL340" s="322"/>
      <c r="AN340" s="322"/>
      <c r="AP340" s="322"/>
      <c r="AR340" s="322"/>
      <c r="AT340" s="322"/>
      <c r="AV340" s="322"/>
      <c r="AX340" s="322"/>
      <c r="AZ340" s="322"/>
      <c r="BB340" s="322"/>
      <c r="BD340" s="322"/>
      <c r="BF340" s="322"/>
      <c r="BH340" s="322"/>
      <c r="BJ340" s="322"/>
      <c r="BL340" s="322"/>
      <c r="BN340" s="322"/>
    </row>
    <row r="341" spans="1:66">
      <c r="B341" s="322" t="s">
        <v>1982</v>
      </c>
      <c r="D341" s="680" t="s">
        <v>1983</v>
      </c>
      <c r="F341" s="319" t="s">
        <v>2361</v>
      </c>
      <c r="N341" s="322"/>
      <c r="P341" s="322"/>
      <c r="R341" s="322"/>
      <c r="T341" s="322"/>
      <c r="V341" s="322"/>
      <c r="X341" s="322"/>
      <c r="Z341" s="322"/>
      <c r="AB341" s="322"/>
      <c r="AD341" s="322"/>
      <c r="AF341" s="322"/>
      <c r="AH341" s="322"/>
      <c r="AJ341" s="322"/>
      <c r="AL341" s="322"/>
      <c r="AN341" s="322"/>
      <c r="AP341" s="322"/>
      <c r="AR341" s="322"/>
      <c r="AT341" s="322"/>
      <c r="AV341" s="322"/>
      <c r="AX341" s="322"/>
      <c r="AZ341" s="322"/>
      <c r="BB341" s="322"/>
      <c r="BD341" s="322"/>
      <c r="BF341" s="322"/>
      <c r="BH341" s="322"/>
      <c r="BJ341" s="322"/>
      <c r="BL341" s="322"/>
      <c r="BN341" s="322"/>
    </row>
    <row r="342" spans="1:66">
      <c r="B342" s="322" t="s">
        <v>1982</v>
      </c>
      <c r="C342" s="440" t="s">
        <v>2233</v>
      </c>
      <c r="D342" s="535" t="s">
        <v>2561</v>
      </c>
      <c r="F342" s="548">
        <v>0</v>
      </c>
      <c r="N342" s="322"/>
      <c r="P342" s="322"/>
      <c r="R342" s="322"/>
      <c r="T342" s="322"/>
      <c r="V342" s="322"/>
      <c r="X342" s="322"/>
      <c r="Z342" s="322"/>
      <c r="AB342" s="322"/>
      <c r="AD342" s="322"/>
      <c r="AF342" s="322"/>
      <c r="AH342" s="322"/>
      <c r="AJ342" s="322"/>
      <c r="AL342" s="322"/>
      <c r="AN342" s="322"/>
      <c r="AP342" s="322"/>
      <c r="AR342" s="322"/>
      <c r="AT342" s="322"/>
      <c r="AV342" s="322"/>
      <c r="AX342" s="322"/>
      <c r="AZ342" s="322"/>
      <c r="BB342" s="322"/>
      <c r="BD342" s="322"/>
      <c r="BF342" s="322"/>
      <c r="BH342" s="322"/>
      <c r="BJ342" s="322"/>
      <c r="BL342" s="322"/>
      <c r="BN342" s="322"/>
    </row>
    <row r="343" spans="1:66" ht="36">
      <c r="B343" s="322" t="s">
        <v>1982</v>
      </c>
      <c r="C343" s="440" t="s">
        <v>2234</v>
      </c>
      <c r="D343" s="535" t="s">
        <v>2563</v>
      </c>
      <c r="F343" s="548">
        <v>0</v>
      </c>
      <c r="N343" s="322"/>
      <c r="P343" s="322"/>
      <c r="R343" s="322"/>
      <c r="T343" s="322"/>
      <c r="V343" s="322"/>
      <c r="X343" s="322"/>
      <c r="Z343" s="322"/>
      <c r="AB343" s="322"/>
      <c r="AD343" s="322"/>
      <c r="AF343" s="322"/>
      <c r="AH343" s="322"/>
      <c r="AJ343" s="322"/>
      <c r="AL343" s="322"/>
      <c r="AN343" s="322"/>
      <c r="AP343" s="322"/>
      <c r="AR343" s="322"/>
      <c r="AT343" s="322"/>
      <c r="AV343" s="322"/>
      <c r="AX343" s="322"/>
      <c r="AZ343" s="322"/>
      <c r="BB343" s="322"/>
      <c r="BD343" s="322"/>
      <c r="BF343" s="322"/>
      <c r="BH343" s="322"/>
      <c r="BJ343" s="322"/>
      <c r="BL343" s="322"/>
      <c r="BN343" s="322"/>
    </row>
    <row r="344" spans="1:66" ht="36">
      <c r="B344" s="322" t="s">
        <v>1982</v>
      </c>
      <c r="D344" s="530" t="s">
        <v>1984</v>
      </c>
      <c r="F344" s="824" t="s">
        <v>2854</v>
      </c>
      <c r="N344" s="322"/>
      <c r="P344" s="322"/>
      <c r="R344" s="322"/>
      <c r="T344" s="322"/>
      <c r="V344" s="322"/>
      <c r="X344" s="322"/>
      <c r="Z344" s="322"/>
      <c r="AB344" s="322"/>
      <c r="AD344" s="322"/>
      <c r="AF344" s="322"/>
      <c r="AH344" s="322"/>
      <c r="AJ344" s="322"/>
      <c r="AL344" s="322"/>
      <c r="AN344" s="322"/>
      <c r="AP344" s="322"/>
      <c r="AR344" s="322"/>
      <c r="AT344" s="322"/>
      <c r="AV344" s="322"/>
      <c r="AX344" s="322"/>
      <c r="AZ344" s="322"/>
      <c r="BB344" s="322"/>
      <c r="BD344" s="322"/>
      <c r="BF344" s="322"/>
      <c r="BH344" s="322"/>
      <c r="BJ344" s="322"/>
      <c r="BL344" s="322"/>
      <c r="BN344" s="322"/>
    </row>
    <row r="345" spans="1:66">
      <c r="B345" s="322" t="s">
        <v>1982</v>
      </c>
      <c r="C345" s="440" t="s">
        <v>2231</v>
      </c>
      <c r="D345" s="523" t="s">
        <v>2562</v>
      </c>
      <c r="F345" s="315">
        <v>0</v>
      </c>
      <c r="N345" s="322"/>
      <c r="P345" s="322"/>
      <c r="R345" s="322"/>
      <c r="T345" s="322"/>
      <c r="V345" s="322"/>
      <c r="X345" s="322"/>
      <c r="Z345" s="322"/>
      <c r="AB345" s="322"/>
      <c r="AD345" s="322"/>
      <c r="AF345" s="322"/>
      <c r="AH345" s="322"/>
      <c r="AJ345" s="322"/>
      <c r="AL345" s="322"/>
      <c r="AN345" s="322"/>
      <c r="AP345" s="322"/>
      <c r="AR345" s="322"/>
      <c r="AT345" s="322"/>
      <c r="AV345" s="322"/>
      <c r="AX345" s="322"/>
      <c r="AZ345" s="322"/>
      <c r="BB345" s="322"/>
      <c r="BD345" s="322"/>
      <c r="BF345" s="322"/>
      <c r="BH345" s="322"/>
      <c r="BJ345" s="322"/>
      <c r="BL345" s="322"/>
      <c r="BN345" s="322"/>
    </row>
    <row r="346" spans="1:66">
      <c r="B346" s="322" t="s">
        <v>1982</v>
      </c>
      <c r="C346"/>
      <c r="D346" s="865" t="s">
        <v>2674</v>
      </c>
      <c r="E346"/>
      <c r="F346" s="865">
        <v>80</v>
      </c>
      <c r="G346" s="322">
        <f>F346-F217</f>
        <v>10</v>
      </c>
      <c r="H346" s="322">
        <f>IF(G346&gt;30,1,0)</f>
        <v>0</v>
      </c>
      <c r="I346" s="866" t="s">
        <v>2676</v>
      </c>
      <c r="N346" s="322"/>
      <c r="P346" s="322"/>
      <c r="R346" s="322"/>
      <c r="T346" s="322"/>
      <c r="V346" s="322"/>
      <c r="X346" s="322"/>
      <c r="Z346" s="322"/>
      <c r="AB346" s="322"/>
      <c r="AD346" s="322"/>
      <c r="AF346" s="322"/>
      <c r="AH346" s="322"/>
      <c r="AJ346" s="322"/>
      <c r="AL346" s="322"/>
      <c r="AN346" s="322"/>
      <c r="AP346" s="322"/>
      <c r="AR346" s="322"/>
      <c r="AT346" s="322"/>
      <c r="AV346" s="322"/>
      <c r="AX346" s="322"/>
      <c r="AZ346" s="322"/>
      <c r="BB346" s="322"/>
      <c r="BD346" s="322"/>
      <c r="BF346" s="322"/>
      <c r="BH346" s="322"/>
      <c r="BJ346" s="322"/>
      <c r="BL346" s="322"/>
      <c r="BN346" s="322"/>
    </row>
    <row r="347" spans="1:66">
      <c r="D347" s="530" t="s">
        <v>2675</v>
      </c>
      <c r="F347" s="317">
        <v>70</v>
      </c>
      <c r="G347" s="322">
        <f>F218-F347</f>
        <v>-70</v>
      </c>
      <c r="H347" s="322">
        <f>IF(G347&gt;20,1,0)</f>
        <v>0</v>
      </c>
      <c r="N347" s="322"/>
      <c r="P347" s="322"/>
      <c r="R347" s="322"/>
      <c r="T347" s="322"/>
      <c r="V347" s="322"/>
      <c r="X347" s="322"/>
      <c r="Z347" s="322"/>
      <c r="AB347" s="322"/>
      <c r="AD347" s="322"/>
      <c r="AF347" s="322"/>
      <c r="AH347" s="322"/>
      <c r="AJ347" s="322"/>
      <c r="AL347" s="322"/>
      <c r="AN347" s="322"/>
      <c r="AP347" s="322"/>
      <c r="AR347" s="322"/>
      <c r="AT347" s="322"/>
      <c r="AV347" s="322"/>
      <c r="AX347" s="322"/>
      <c r="AZ347" s="322"/>
      <c r="BB347" s="322"/>
      <c r="BD347" s="322"/>
      <c r="BF347" s="322"/>
      <c r="BH347" s="322"/>
      <c r="BJ347" s="322"/>
      <c r="BL347" s="322"/>
      <c r="BN347" s="322"/>
    </row>
    <row r="348" spans="1:66">
      <c r="N348" s="322"/>
      <c r="P348" s="322"/>
      <c r="R348" s="322"/>
      <c r="T348" s="322"/>
      <c r="V348" s="322"/>
      <c r="X348" s="322"/>
      <c r="Z348" s="322"/>
      <c r="AB348" s="322"/>
      <c r="AD348" s="322"/>
      <c r="AF348" s="322"/>
      <c r="AH348" s="322"/>
      <c r="AJ348" s="322"/>
      <c r="AL348" s="322"/>
      <c r="AN348" s="322"/>
      <c r="AP348" s="322"/>
      <c r="AR348" s="322"/>
      <c r="AT348" s="322"/>
      <c r="AV348" s="322"/>
      <c r="AX348" s="322"/>
      <c r="AZ348" s="322"/>
      <c r="BB348" s="322"/>
      <c r="BD348" s="322"/>
      <c r="BF348" s="322"/>
      <c r="BH348" s="322"/>
      <c r="BJ348" s="322"/>
      <c r="BL348" s="322"/>
      <c r="BN348" s="322"/>
    </row>
    <row r="349" spans="1:66">
      <c r="N349" s="322"/>
      <c r="P349" s="322"/>
      <c r="R349" s="322"/>
      <c r="T349" s="322"/>
      <c r="V349" s="322"/>
      <c r="X349" s="322"/>
      <c r="Z349" s="322"/>
      <c r="AB349" s="322"/>
      <c r="AD349" s="322"/>
      <c r="AF349" s="322"/>
      <c r="AH349" s="322"/>
      <c r="AJ349" s="322"/>
      <c r="AL349" s="322"/>
      <c r="AN349" s="322"/>
      <c r="AP349" s="322"/>
      <c r="AR349" s="322"/>
      <c r="AT349" s="322"/>
      <c r="AV349" s="322"/>
      <c r="AX349" s="322"/>
      <c r="AZ349" s="322"/>
      <c r="BB349" s="322"/>
      <c r="BD349" s="322"/>
      <c r="BF349" s="322"/>
      <c r="BH349" s="322"/>
      <c r="BJ349" s="322"/>
      <c r="BL349" s="322"/>
      <c r="BN349" s="322"/>
    </row>
    <row r="350" spans="1:66">
      <c r="N350" s="322"/>
      <c r="P350" s="322"/>
      <c r="R350" s="322"/>
      <c r="T350" s="322"/>
      <c r="V350" s="322"/>
      <c r="X350" s="322"/>
      <c r="Z350" s="322"/>
      <c r="AB350" s="322"/>
      <c r="AD350" s="322"/>
      <c r="AF350" s="322"/>
      <c r="AH350" s="322"/>
      <c r="AJ350" s="322"/>
      <c r="AL350" s="322"/>
      <c r="AN350" s="322"/>
      <c r="AP350" s="322"/>
      <c r="AR350" s="322"/>
      <c r="AT350" s="322"/>
      <c r="AV350" s="322"/>
      <c r="AX350" s="322"/>
      <c r="AZ350" s="322"/>
      <c r="BB350" s="322"/>
      <c r="BD350" s="322"/>
      <c r="BF350" s="322"/>
      <c r="BH350" s="322"/>
      <c r="BJ350" s="322"/>
      <c r="BL350" s="322"/>
      <c r="BN350" s="322"/>
    </row>
    <row r="351" spans="1:66">
      <c r="A351" s="524">
        <v>1</v>
      </c>
      <c r="B351" s="353" t="s">
        <v>1018</v>
      </c>
      <c r="D351" s="530" t="s">
        <v>2204</v>
      </c>
      <c r="F351" s="319" t="s">
        <v>2334</v>
      </c>
      <c r="N351" s="322"/>
      <c r="P351" s="322"/>
      <c r="R351" s="322"/>
      <c r="T351" s="322"/>
      <c r="V351" s="322"/>
      <c r="X351" s="322"/>
      <c r="Z351" s="322"/>
      <c r="AB351" s="322"/>
      <c r="AD351" s="322"/>
      <c r="AF351" s="322"/>
      <c r="AH351" s="322"/>
      <c r="AJ351" s="322"/>
      <c r="AL351" s="322"/>
      <c r="AN351" s="322"/>
      <c r="AP351" s="322"/>
      <c r="AR351" s="322"/>
      <c r="AT351" s="322"/>
      <c r="AV351" s="322"/>
      <c r="AX351" s="322"/>
      <c r="AZ351" s="322"/>
      <c r="BB351" s="322"/>
      <c r="BD351" s="322"/>
      <c r="BF351" s="322"/>
      <c r="BH351" s="322"/>
      <c r="BJ351" s="322"/>
      <c r="BL351" s="322"/>
      <c r="BN351" s="322"/>
    </row>
    <row r="352" spans="1:66">
      <c r="A352" s="524">
        <v>1</v>
      </c>
      <c r="B352" s="353" t="s">
        <v>1018</v>
      </c>
      <c r="D352" s="530" t="s">
        <v>2205</v>
      </c>
      <c r="F352" s="319" t="s">
        <v>2335</v>
      </c>
      <c r="N352" s="322"/>
      <c r="P352" s="322"/>
      <c r="R352" s="322"/>
      <c r="T352" s="322"/>
      <c r="V352" s="322"/>
      <c r="X352" s="322"/>
      <c r="Z352" s="322"/>
      <c r="AB352" s="322"/>
      <c r="AD352" s="322"/>
      <c r="AF352" s="322"/>
      <c r="AH352" s="322"/>
      <c r="AJ352" s="322"/>
      <c r="AL352" s="322"/>
      <c r="AN352" s="322"/>
      <c r="AP352" s="322"/>
      <c r="AR352" s="322"/>
      <c r="AT352" s="322"/>
      <c r="AV352" s="322"/>
      <c r="AX352" s="322"/>
      <c r="AZ352" s="322"/>
      <c r="BB352" s="322"/>
      <c r="BD352" s="322"/>
      <c r="BF352" s="322"/>
      <c r="BH352" s="322"/>
      <c r="BJ352" s="322"/>
      <c r="BL352" s="322"/>
      <c r="BN352" s="322"/>
    </row>
    <row r="353" spans="1:66">
      <c r="A353" s="524">
        <v>1</v>
      </c>
      <c r="B353" s="353" t="s">
        <v>1018</v>
      </c>
      <c r="D353" s="530" t="s">
        <v>2206</v>
      </c>
      <c r="F353" s="814" t="s">
        <v>2336</v>
      </c>
      <c r="N353" s="322"/>
      <c r="P353" s="322"/>
      <c r="R353" s="322"/>
      <c r="T353" s="322"/>
      <c r="V353" s="322"/>
      <c r="X353" s="322"/>
      <c r="Z353" s="322"/>
      <c r="AB353" s="322"/>
      <c r="AD353" s="322"/>
      <c r="AF353" s="322"/>
      <c r="AH353" s="322"/>
      <c r="AJ353" s="322"/>
      <c r="AL353" s="322"/>
      <c r="AN353" s="322"/>
      <c r="AP353" s="322"/>
      <c r="AR353" s="322"/>
      <c r="AT353" s="322"/>
      <c r="AV353" s="322"/>
      <c r="AX353" s="322"/>
      <c r="AZ353" s="322"/>
      <c r="BB353" s="322"/>
      <c r="BD353" s="322"/>
      <c r="BF353" s="322"/>
      <c r="BH353" s="322"/>
      <c r="BJ353" s="322"/>
      <c r="BL353" s="322"/>
      <c r="BN353" s="322"/>
    </row>
    <row r="354" spans="1:66">
      <c r="A354" s="524">
        <v>1</v>
      </c>
      <c r="B354" s="353" t="s">
        <v>1018</v>
      </c>
      <c r="D354" s="530" t="s">
        <v>2207</v>
      </c>
      <c r="F354" s="825">
        <v>37723</v>
      </c>
      <c r="N354" s="322"/>
      <c r="P354" s="322"/>
      <c r="R354" s="322"/>
      <c r="T354" s="322"/>
      <c r="V354" s="322"/>
      <c r="X354" s="322"/>
      <c r="Z354" s="322"/>
      <c r="AB354" s="322"/>
      <c r="AD354" s="322"/>
      <c r="AF354" s="322"/>
      <c r="AH354" s="322"/>
      <c r="AJ354" s="322"/>
      <c r="AL354" s="322"/>
      <c r="AN354" s="322"/>
      <c r="AP354" s="322"/>
      <c r="AR354" s="322"/>
      <c r="AT354" s="322"/>
      <c r="AV354" s="322"/>
      <c r="AX354" s="322"/>
      <c r="AZ354" s="322"/>
      <c r="BB354" s="322"/>
      <c r="BD354" s="322"/>
      <c r="BF354" s="322"/>
      <c r="BH354" s="322"/>
      <c r="BJ354" s="322"/>
      <c r="BL354" s="322"/>
      <c r="BN354" s="322"/>
    </row>
    <row r="355" spans="1:66">
      <c r="A355" s="524">
        <v>1</v>
      </c>
      <c r="B355" s="353" t="s">
        <v>1018</v>
      </c>
      <c r="D355" s="530" t="s">
        <v>2208</v>
      </c>
      <c r="F355" s="813" t="s">
        <v>2214</v>
      </c>
      <c r="N355" s="322"/>
      <c r="P355" s="322"/>
      <c r="R355" s="322"/>
      <c r="T355" s="322"/>
      <c r="V355" s="322"/>
      <c r="X355" s="322"/>
      <c r="Z355" s="322"/>
      <c r="AB355" s="322"/>
      <c r="AD355" s="322"/>
      <c r="AF355" s="322"/>
      <c r="AH355" s="322"/>
      <c r="AJ355" s="322"/>
      <c r="AL355" s="322"/>
      <c r="AN355" s="322"/>
      <c r="AP355" s="322"/>
      <c r="AR355" s="322"/>
      <c r="AT355" s="322"/>
      <c r="AV355" s="322"/>
      <c r="AX355" s="322"/>
      <c r="AZ355" s="322"/>
      <c r="BB355" s="322"/>
      <c r="BD355" s="322"/>
      <c r="BF355" s="322"/>
      <c r="BH355" s="322"/>
      <c r="BJ355" s="322"/>
      <c r="BL355" s="322"/>
      <c r="BN355" s="322"/>
    </row>
    <row r="356" spans="1:66">
      <c r="A356" s="524">
        <v>1</v>
      </c>
      <c r="B356" s="353" t="s">
        <v>1018</v>
      </c>
      <c r="D356" s="530" t="s">
        <v>2209</v>
      </c>
      <c r="F356" s="319" t="s">
        <v>2212</v>
      </c>
      <c r="N356" s="322"/>
      <c r="P356" s="322"/>
      <c r="R356" s="322"/>
      <c r="T356" s="322"/>
      <c r="V356" s="322"/>
      <c r="X356" s="322"/>
      <c r="Z356" s="322"/>
      <c r="AB356" s="322"/>
      <c r="AD356" s="322"/>
      <c r="AF356" s="322"/>
      <c r="AH356" s="322"/>
      <c r="AJ356" s="322"/>
      <c r="AL356" s="322"/>
      <c r="AN356" s="322"/>
      <c r="AP356" s="322"/>
      <c r="AR356" s="322"/>
      <c r="AT356" s="322"/>
      <c r="AV356" s="322"/>
      <c r="AX356" s="322"/>
      <c r="AZ356" s="322"/>
      <c r="BB356" s="322"/>
      <c r="BD356" s="322"/>
      <c r="BF356" s="322"/>
      <c r="BH356" s="322"/>
      <c r="BJ356" s="322"/>
      <c r="BL356" s="322"/>
      <c r="BN356" s="322"/>
    </row>
    <row r="357" spans="1:66">
      <c r="N357" s="322"/>
      <c r="P357" s="322"/>
      <c r="R357" s="322"/>
      <c r="T357" s="322"/>
      <c r="V357" s="322"/>
      <c r="X357" s="322"/>
      <c r="Z357" s="322"/>
      <c r="AB357" s="322"/>
      <c r="AD357" s="322"/>
      <c r="AF357" s="322"/>
      <c r="AH357" s="322"/>
      <c r="AJ357" s="322"/>
      <c r="AL357" s="322"/>
      <c r="AN357" s="322"/>
      <c r="AP357" s="322"/>
      <c r="AR357" s="322"/>
      <c r="AT357" s="322"/>
      <c r="AV357" s="322"/>
      <c r="AX357" s="322"/>
      <c r="AZ357" s="322"/>
      <c r="BB357" s="322"/>
      <c r="BD357" s="322"/>
      <c r="BF357" s="322"/>
      <c r="BH357" s="322"/>
      <c r="BJ357" s="322"/>
      <c r="BL357" s="322"/>
      <c r="BN357" s="322"/>
    </row>
    <row r="358" spans="1:66">
      <c r="N358" s="322"/>
      <c r="P358" s="322"/>
      <c r="R358" s="322"/>
      <c r="T358" s="322"/>
      <c r="V358" s="322"/>
      <c r="X358" s="322"/>
      <c r="Z358" s="322"/>
      <c r="AB358" s="322"/>
      <c r="AD358" s="322"/>
      <c r="AF358" s="322"/>
      <c r="AH358" s="322"/>
      <c r="AJ358" s="322"/>
      <c r="AL358" s="322"/>
      <c r="AN358" s="322"/>
      <c r="AP358" s="322"/>
      <c r="AR358" s="322"/>
      <c r="AT358" s="322"/>
      <c r="AV358" s="322"/>
      <c r="AX358" s="322"/>
      <c r="AZ358" s="322"/>
      <c r="BB358" s="322"/>
      <c r="BD358" s="322"/>
      <c r="BF358" s="322"/>
      <c r="BH358" s="322"/>
      <c r="BJ358" s="322"/>
      <c r="BL358" s="322"/>
      <c r="BN358" s="322"/>
    </row>
    <row r="359" spans="1:66">
      <c r="N359" s="322"/>
      <c r="P359" s="322"/>
      <c r="R359" s="322"/>
      <c r="T359" s="322"/>
      <c r="V359" s="322"/>
      <c r="X359" s="322"/>
      <c r="Z359" s="322"/>
      <c r="AB359" s="322"/>
      <c r="AD359" s="322"/>
      <c r="AF359" s="322"/>
      <c r="AH359" s="322"/>
      <c r="AJ359" s="322"/>
      <c r="AL359" s="322"/>
      <c r="AN359" s="322"/>
      <c r="AP359" s="322"/>
      <c r="AR359" s="322"/>
      <c r="AT359" s="322"/>
      <c r="AV359" s="322"/>
      <c r="AX359" s="322"/>
      <c r="AZ359" s="322"/>
      <c r="BB359" s="322"/>
      <c r="BD359" s="322"/>
      <c r="BF359" s="322"/>
      <c r="BH359" s="322"/>
      <c r="BJ359" s="322"/>
      <c r="BL359" s="322"/>
      <c r="BN359" s="322"/>
    </row>
    <row r="360" spans="1:66">
      <c r="N360" s="322"/>
      <c r="P360" s="322"/>
      <c r="R360" s="322"/>
      <c r="T360" s="322"/>
      <c r="V360" s="322"/>
      <c r="X360" s="322"/>
      <c r="Z360" s="322"/>
      <c r="AB360" s="322"/>
      <c r="AD360" s="322"/>
      <c r="AF360" s="322"/>
      <c r="AH360" s="322"/>
      <c r="AJ360" s="322"/>
      <c r="AL360" s="322"/>
      <c r="AN360" s="322"/>
      <c r="AP360" s="322"/>
      <c r="AR360" s="322"/>
      <c r="AT360" s="322"/>
      <c r="AV360" s="322"/>
      <c r="AX360" s="322"/>
      <c r="AZ360" s="322"/>
      <c r="BB360" s="322"/>
      <c r="BD360" s="322"/>
      <c r="BF360" s="322"/>
      <c r="BH360" s="322"/>
      <c r="BJ360" s="322"/>
      <c r="BL360" s="322"/>
      <c r="BN360" s="322"/>
    </row>
    <row r="361" spans="1:66">
      <c r="N361" s="322"/>
      <c r="P361" s="322"/>
      <c r="R361" s="322"/>
      <c r="T361" s="322"/>
      <c r="V361" s="322"/>
      <c r="X361" s="322"/>
      <c r="Z361" s="322"/>
      <c r="AB361" s="322"/>
      <c r="AD361" s="322"/>
      <c r="AF361" s="322"/>
      <c r="AH361" s="322"/>
      <c r="AJ361" s="322"/>
      <c r="AL361" s="322"/>
      <c r="AN361" s="322"/>
      <c r="AP361" s="322"/>
      <c r="AR361" s="322"/>
      <c r="AT361" s="322"/>
      <c r="AV361" s="322"/>
      <c r="AX361" s="322"/>
      <c r="AZ361" s="322"/>
      <c r="BB361" s="322"/>
      <c r="BD361" s="322"/>
      <c r="BF361" s="322"/>
      <c r="BH361" s="322"/>
      <c r="BJ361" s="322"/>
      <c r="BL361" s="322"/>
      <c r="BN361" s="322"/>
    </row>
    <row r="362" spans="1:66">
      <c r="N362" s="322"/>
      <c r="P362" s="322"/>
      <c r="R362" s="322"/>
      <c r="T362" s="322"/>
      <c r="V362" s="322"/>
      <c r="X362" s="322"/>
      <c r="Z362" s="322"/>
      <c r="AB362" s="322"/>
      <c r="AD362" s="322"/>
      <c r="AF362" s="322"/>
      <c r="AH362" s="322"/>
      <c r="AJ362" s="322"/>
      <c r="AL362" s="322"/>
      <c r="AN362" s="322"/>
      <c r="AP362" s="322"/>
      <c r="AR362" s="322"/>
      <c r="AT362" s="322"/>
      <c r="AV362" s="322"/>
      <c r="AX362" s="322"/>
      <c r="AZ362" s="322"/>
      <c r="BB362" s="322"/>
      <c r="BD362" s="322"/>
      <c r="BF362" s="322"/>
      <c r="BH362" s="322"/>
      <c r="BJ362" s="322"/>
      <c r="BL362" s="322"/>
      <c r="BN362" s="322"/>
    </row>
    <row r="363" spans="1:66">
      <c r="N363" s="322"/>
      <c r="P363" s="322"/>
      <c r="R363" s="322"/>
      <c r="T363" s="322"/>
      <c r="V363" s="322"/>
      <c r="X363" s="322"/>
      <c r="Z363" s="322"/>
      <c r="AB363" s="322"/>
      <c r="AD363" s="322"/>
      <c r="AF363" s="322"/>
      <c r="AH363" s="322"/>
      <c r="AJ363" s="322"/>
      <c r="AL363" s="322"/>
      <c r="AN363" s="322"/>
      <c r="AP363" s="322"/>
      <c r="AR363" s="322"/>
      <c r="AT363" s="322"/>
      <c r="AV363" s="322"/>
      <c r="AX363" s="322"/>
      <c r="AZ363" s="322"/>
      <c r="BB363" s="322"/>
      <c r="BD363" s="322"/>
      <c r="BF363" s="322"/>
      <c r="BH363" s="322"/>
      <c r="BJ363" s="322"/>
      <c r="BL363" s="322"/>
      <c r="BN363" s="322"/>
    </row>
    <row r="364" spans="1:66">
      <c r="N364" s="322"/>
      <c r="P364" s="322"/>
      <c r="R364" s="322"/>
      <c r="T364" s="322"/>
      <c r="V364" s="322"/>
      <c r="X364" s="322"/>
      <c r="Z364" s="322"/>
      <c r="AB364" s="322"/>
      <c r="AD364" s="322"/>
      <c r="AF364" s="322"/>
      <c r="AH364" s="322"/>
      <c r="AJ364" s="322"/>
      <c r="AL364" s="322"/>
      <c r="AN364" s="322"/>
      <c r="AP364" s="322"/>
      <c r="AR364" s="322"/>
      <c r="AT364" s="322"/>
      <c r="AV364" s="322"/>
      <c r="AX364" s="322"/>
      <c r="AZ364" s="322"/>
      <c r="BB364" s="322"/>
      <c r="BD364" s="322"/>
      <c r="BF364" s="322"/>
      <c r="BH364" s="322"/>
      <c r="BJ364" s="322"/>
      <c r="BL364" s="322"/>
      <c r="BN364" s="322"/>
    </row>
    <row r="365" spans="1:66">
      <c r="N365" s="322"/>
      <c r="P365" s="322"/>
      <c r="R365" s="322"/>
      <c r="T365" s="322"/>
      <c r="V365" s="322"/>
      <c r="X365" s="322"/>
      <c r="Z365" s="322"/>
      <c r="AB365" s="322"/>
      <c r="AD365" s="322"/>
      <c r="AF365" s="322"/>
      <c r="AH365" s="322"/>
      <c r="AJ365" s="322"/>
      <c r="AL365" s="322"/>
      <c r="AN365" s="322"/>
      <c r="AP365" s="322"/>
      <c r="AR365" s="322"/>
      <c r="AT365" s="322"/>
      <c r="AV365" s="322"/>
      <c r="AX365" s="322"/>
      <c r="AZ365" s="322"/>
      <c r="BB365" s="322"/>
      <c r="BD365" s="322"/>
      <c r="BF365" s="322"/>
      <c r="BH365" s="322"/>
      <c r="BJ365" s="322"/>
      <c r="BL365" s="322"/>
      <c r="BN365" s="322"/>
    </row>
    <row r="366" spans="1:66">
      <c r="N366" s="322"/>
      <c r="P366" s="322"/>
      <c r="R366" s="322"/>
      <c r="T366" s="322"/>
      <c r="V366" s="322"/>
      <c r="X366" s="322"/>
      <c r="Z366" s="322"/>
      <c r="AB366" s="322"/>
      <c r="AD366" s="322"/>
      <c r="AF366" s="322"/>
      <c r="AH366" s="322"/>
      <c r="AJ366" s="322"/>
      <c r="AL366" s="322"/>
      <c r="AN366" s="322"/>
      <c r="AP366" s="322"/>
      <c r="AR366" s="322"/>
      <c r="AT366" s="322"/>
      <c r="AV366" s="322"/>
      <c r="AX366" s="322"/>
      <c r="AZ366" s="322"/>
      <c r="BB366" s="322"/>
      <c r="BD366" s="322"/>
      <c r="BF366" s="322"/>
      <c r="BH366" s="322"/>
      <c r="BJ366" s="322"/>
      <c r="BL366" s="322"/>
      <c r="BN366" s="322"/>
    </row>
    <row r="367" spans="1:66">
      <c r="N367" s="322"/>
      <c r="P367" s="322"/>
      <c r="R367" s="322"/>
      <c r="T367" s="322"/>
      <c r="V367" s="322"/>
      <c r="X367" s="322"/>
      <c r="Z367" s="322"/>
      <c r="AB367" s="322"/>
      <c r="AD367" s="322"/>
      <c r="AF367" s="322"/>
      <c r="AH367" s="322"/>
      <c r="AJ367" s="322"/>
      <c r="AL367" s="322"/>
      <c r="AN367" s="322"/>
      <c r="AP367" s="322"/>
      <c r="AR367" s="322"/>
      <c r="AT367" s="322"/>
      <c r="AV367" s="322"/>
      <c r="AX367" s="322"/>
      <c r="AZ367" s="322"/>
      <c r="BB367" s="322"/>
      <c r="BD367" s="322"/>
      <c r="BF367" s="322"/>
      <c r="BH367" s="322"/>
      <c r="BJ367" s="322"/>
      <c r="BL367" s="322"/>
      <c r="BN367" s="322"/>
    </row>
    <row r="368" spans="1:66">
      <c r="N368" s="322"/>
      <c r="P368" s="322"/>
      <c r="R368" s="322"/>
      <c r="T368" s="322"/>
      <c r="V368" s="322"/>
      <c r="X368" s="322"/>
      <c r="Z368" s="322"/>
      <c r="AB368" s="322"/>
      <c r="AD368" s="322"/>
      <c r="AF368" s="322"/>
      <c r="AH368" s="322"/>
      <c r="AJ368" s="322"/>
      <c r="AL368" s="322"/>
      <c r="AN368" s="322"/>
      <c r="AP368" s="322"/>
      <c r="AR368" s="322"/>
      <c r="AT368" s="322"/>
      <c r="AV368" s="322"/>
      <c r="AX368" s="322"/>
      <c r="AZ368" s="322"/>
      <c r="BB368" s="322"/>
      <c r="BD368" s="322"/>
      <c r="BF368" s="322"/>
      <c r="BH368" s="322"/>
      <c r="BJ368" s="322"/>
      <c r="BL368" s="322"/>
      <c r="BN368" s="322"/>
    </row>
    <row r="369" spans="14:66">
      <c r="N369" s="322"/>
      <c r="P369" s="322"/>
      <c r="R369" s="322"/>
      <c r="T369" s="322"/>
      <c r="V369" s="322"/>
      <c r="X369" s="322"/>
      <c r="Z369" s="322"/>
      <c r="AB369" s="322"/>
      <c r="AD369" s="322"/>
      <c r="AF369" s="322"/>
      <c r="AH369" s="322"/>
      <c r="AJ369" s="322"/>
      <c r="AL369" s="322"/>
      <c r="AN369" s="322"/>
      <c r="AP369" s="322"/>
      <c r="AR369" s="322"/>
      <c r="AT369" s="322"/>
      <c r="AV369" s="322"/>
      <c r="AX369" s="322"/>
      <c r="AZ369" s="322"/>
      <c r="BB369" s="322"/>
      <c r="BD369" s="322"/>
      <c r="BF369" s="322"/>
      <c r="BH369" s="322"/>
      <c r="BJ369" s="322"/>
      <c r="BL369" s="322"/>
      <c r="BN369" s="322"/>
    </row>
    <row r="370" spans="14:66">
      <c r="N370" s="322"/>
      <c r="P370" s="322"/>
      <c r="R370" s="322"/>
      <c r="T370" s="322"/>
      <c r="V370" s="322"/>
      <c r="X370" s="322"/>
      <c r="Z370" s="322"/>
      <c r="AB370" s="322"/>
      <c r="AD370" s="322"/>
      <c r="AF370" s="322"/>
      <c r="AH370" s="322"/>
      <c r="AJ370" s="322"/>
      <c r="AL370" s="322"/>
      <c r="AN370" s="322"/>
      <c r="AP370" s="322"/>
      <c r="AR370" s="322"/>
      <c r="AT370" s="322"/>
      <c r="AV370" s="322"/>
      <c r="AX370" s="322"/>
      <c r="AZ370" s="322"/>
      <c r="BB370" s="322"/>
      <c r="BD370" s="322"/>
      <c r="BF370" s="322"/>
      <c r="BH370" s="322"/>
      <c r="BJ370" s="322"/>
      <c r="BL370" s="322"/>
      <c r="BN370" s="322"/>
    </row>
    <row r="371" spans="14:66">
      <c r="N371" s="322"/>
      <c r="P371" s="322"/>
      <c r="R371" s="322"/>
      <c r="T371" s="322"/>
      <c r="V371" s="322"/>
      <c r="X371" s="322"/>
      <c r="Z371" s="322"/>
      <c r="AB371" s="322"/>
      <c r="AD371" s="322"/>
      <c r="AF371" s="322"/>
      <c r="AH371" s="322"/>
      <c r="AJ371" s="322"/>
      <c r="AL371" s="322"/>
      <c r="AN371" s="322"/>
      <c r="AP371" s="322"/>
      <c r="AR371" s="322"/>
      <c r="AT371" s="322"/>
      <c r="AV371" s="322"/>
      <c r="AX371" s="322"/>
      <c r="AZ371" s="322"/>
      <c r="BB371" s="322"/>
      <c r="BD371" s="322"/>
      <c r="BF371" s="322"/>
      <c r="BH371" s="322"/>
      <c r="BJ371" s="322"/>
      <c r="BL371" s="322"/>
      <c r="BN371" s="322"/>
    </row>
    <row r="372" spans="14:66">
      <c r="N372" s="322"/>
      <c r="P372" s="322"/>
      <c r="R372" s="322"/>
      <c r="T372" s="322"/>
      <c r="V372" s="322"/>
      <c r="X372" s="322"/>
      <c r="Z372" s="322"/>
      <c r="AB372" s="322"/>
      <c r="AD372" s="322"/>
      <c r="AF372" s="322"/>
      <c r="AH372" s="322"/>
      <c r="AJ372" s="322"/>
      <c r="AL372" s="322"/>
      <c r="AN372" s="322"/>
      <c r="AP372" s="322"/>
      <c r="AR372" s="322"/>
      <c r="AT372" s="322"/>
      <c r="AV372" s="322"/>
      <c r="AX372" s="322"/>
      <c r="AZ372" s="322"/>
      <c r="BB372" s="322"/>
      <c r="BD372" s="322"/>
      <c r="BF372" s="322"/>
      <c r="BH372" s="322"/>
      <c r="BJ372" s="322"/>
      <c r="BL372" s="322"/>
      <c r="BN372" s="322"/>
    </row>
    <row r="373" spans="14:66">
      <c r="N373" s="322"/>
      <c r="P373" s="322"/>
      <c r="R373" s="322"/>
      <c r="T373" s="322"/>
      <c r="V373" s="322"/>
      <c r="X373" s="322"/>
      <c r="Z373" s="322"/>
      <c r="AB373" s="322"/>
      <c r="AD373" s="322"/>
      <c r="AF373" s="322"/>
      <c r="AH373" s="322"/>
      <c r="AJ373" s="322"/>
      <c r="AL373" s="322"/>
      <c r="AN373" s="322"/>
      <c r="AP373" s="322"/>
      <c r="AR373" s="322"/>
      <c r="AT373" s="322"/>
      <c r="AV373" s="322"/>
      <c r="AX373" s="322"/>
      <c r="AZ373" s="322"/>
      <c r="BB373" s="322"/>
      <c r="BD373" s="322"/>
      <c r="BF373" s="322"/>
      <c r="BH373" s="322"/>
      <c r="BJ373" s="322"/>
      <c r="BL373" s="322"/>
      <c r="BN373" s="322"/>
    </row>
    <row r="374" spans="14:66">
      <c r="N374" s="322"/>
      <c r="P374" s="322"/>
      <c r="R374" s="322"/>
      <c r="T374" s="322"/>
      <c r="V374" s="322"/>
      <c r="X374" s="322"/>
      <c r="Z374" s="322"/>
      <c r="AB374" s="322"/>
      <c r="AD374" s="322"/>
      <c r="AF374" s="322"/>
      <c r="AH374" s="322"/>
      <c r="AJ374" s="322"/>
      <c r="AL374" s="322"/>
      <c r="AN374" s="322"/>
      <c r="AP374" s="322"/>
      <c r="AR374" s="322"/>
      <c r="AT374" s="322"/>
      <c r="AV374" s="322"/>
      <c r="AX374" s="322"/>
      <c r="AZ374" s="322"/>
      <c r="BB374" s="322"/>
      <c r="BD374" s="322"/>
      <c r="BF374" s="322"/>
      <c r="BH374" s="322"/>
      <c r="BJ374" s="322"/>
      <c r="BL374" s="322"/>
      <c r="BN374" s="322"/>
    </row>
    <row r="375" spans="14:66">
      <c r="N375" s="322"/>
      <c r="P375" s="322"/>
      <c r="R375" s="322"/>
      <c r="T375" s="322"/>
      <c r="V375" s="322"/>
      <c r="X375" s="322"/>
      <c r="Z375" s="322"/>
      <c r="AB375" s="322"/>
      <c r="AD375" s="322"/>
      <c r="AF375" s="322"/>
      <c r="AH375" s="322"/>
      <c r="AJ375" s="322"/>
      <c r="AL375" s="322"/>
      <c r="AN375" s="322"/>
      <c r="AP375" s="322"/>
      <c r="AR375" s="322"/>
      <c r="AT375" s="322"/>
      <c r="AV375" s="322"/>
      <c r="AX375" s="322"/>
      <c r="AZ375" s="322"/>
      <c r="BB375" s="322"/>
      <c r="BD375" s="322"/>
      <c r="BF375" s="322"/>
      <c r="BH375" s="322"/>
      <c r="BJ375" s="322"/>
      <c r="BL375" s="322"/>
      <c r="BN375" s="322"/>
    </row>
    <row r="376" spans="14:66">
      <c r="N376" s="322"/>
      <c r="P376" s="322"/>
      <c r="R376" s="322"/>
      <c r="T376" s="322"/>
      <c r="V376" s="322"/>
      <c r="X376" s="322"/>
      <c r="Z376" s="322"/>
      <c r="AB376" s="322"/>
      <c r="AD376" s="322"/>
      <c r="AF376" s="322"/>
      <c r="AH376" s="322"/>
      <c r="AJ376" s="322"/>
      <c r="AL376" s="322"/>
      <c r="AN376" s="322"/>
      <c r="AP376" s="322"/>
      <c r="AR376" s="322"/>
      <c r="AT376" s="322"/>
      <c r="AV376" s="322"/>
      <c r="AX376" s="322"/>
      <c r="AZ376" s="322"/>
      <c r="BB376" s="322"/>
      <c r="BD376" s="322"/>
      <c r="BF376" s="322"/>
      <c r="BH376" s="322"/>
      <c r="BJ376" s="322"/>
      <c r="BL376" s="322"/>
      <c r="BN376" s="322"/>
    </row>
    <row r="377" spans="14:66">
      <c r="N377" s="322"/>
      <c r="P377" s="322"/>
      <c r="R377" s="322"/>
      <c r="T377" s="322"/>
      <c r="V377" s="322"/>
      <c r="X377" s="322"/>
      <c r="Z377" s="322"/>
      <c r="AB377" s="322"/>
      <c r="AD377" s="322"/>
      <c r="AF377" s="322"/>
      <c r="AH377" s="322"/>
      <c r="AJ377" s="322"/>
      <c r="AL377" s="322"/>
      <c r="AN377" s="322"/>
      <c r="AP377" s="322"/>
      <c r="AR377" s="322"/>
      <c r="AT377" s="322"/>
      <c r="AV377" s="322"/>
      <c r="AX377" s="322"/>
      <c r="AZ377" s="322"/>
      <c r="BB377" s="322"/>
      <c r="BD377" s="322"/>
      <c r="BF377" s="322"/>
      <c r="BH377" s="322"/>
      <c r="BJ377" s="322"/>
      <c r="BL377" s="322"/>
      <c r="BN377" s="322"/>
    </row>
    <row r="378" spans="14:66">
      <c r="N378" s="322"/>
      <c r="P378" s="322"/>
      <c r="R378" s="322"/>
      <c r="T378" s="322"/>
      <c r="V378" s="322"/>
      <c r="X378" s="322"/>
      <c r="Z378" s="322"/>
      <c r="AB378" s="322"/>
      <c r="AD378" s="322"/>
      <c r="AF378" s="322"/>
      <c r="AH378" s="322"/>
      <c r="AJ378" s="322"/>
      <c r="AL378" s="322"/>
      <c r="AN378" s="322"/>
      <c r="AP378" s="322"/>
      <c r="AR378" s="322"/>
      <c r="AT378" s="322"/>
      <c r="AV378" s="322"/>
      <c r="AX378" s="322"/>
      <c r="AZ378" s="322"/>
      <c r="BB378" s="322"/>
      <c r="BD378" s="322"/>
      <c r="BF378" s="322"/>
      <c r="BH378" s="322"/>
      <c r="BJ378" s="322"/>
      <c r="BL378" s="322"/>
      <c r="BN378" s="322"/>
    </row>
    <row r="379" spans="14:66">
      <c r="N379" s="322"/>
      <c r="P379" s="322"/>
      <c r="R379" s="322"/>
      <c r="T379" s="322"/>
      <c r="V379" s="322"/>
      <c r="X379" s="322"/>
      <c r="Z379" s="322"/>
      <c r="AB379" s="322"/>
      <c r="AD379" s="322"/>
      <c r="AF379" s="322"/>
      <c r="AH379" s="322"/>
      <c r="AJ379" s="322"/>
      <c r="AL379" s="322"/>
      <c r="AN379" s="322"/>
      <c r="AP379" s="322"/>
      <c r="AR379" s="322"/>
      <c r="AT379" s="322"/>
      <c r="AV379" s="322"/>
      <c r="AX379" s="322"/>
      <c r="AZ379" s="322"/>
      <c r="BB379" s="322"/>
      <c r="BD379" s="322"/>
      <c r="BF379" s="322"/>
      <c r="BH379" s="322"/>
      <c r="BJ379" s="322"/>
      <c r="BL379" s="322"/>
      <c r="BN379" s="322"/>
    </row>
    <row r="380" spans="14:66">
      <c r="N380" s="322"/>
      <c r="P380" s="322"/>
      <c r="R380" s="322"/>
      <c r="T380" s="322"/>
      <c r="V380" s="322"/>
      <c r="X380" s="322"/>
      <c r="Z380" s="322"/>
      <c r="AB380" s="322"/>
      <c r="AD380" s="322"/>
      <c r="AF380" s="322"/>
      <c r="AH380" s="322"/>
      <c r="AJ380" s="322"/>
      <c r="AL380" s="322"/>
      <c r="AN380" s="322"/>
      <c r="AP380" s="322"/>
      <c r="AR380" s="322"/>
      <c r="AT380" s="322"/>
      <c r="AV380" s="322"/>
      <c r="AX380" s="322"/>
      <c r="AZ380" s="322"/>
      <c r="BB380" s="322"/>
      <c r="BD380" s="322"/>
      <c r="BF380" s="322"/>
      <c r="BH380" s="322"/>
      <c r="BJ380" s="322"/>
      <c r="BL380" s="322"/>
      <c r="BN380" s="322"/>
    </row>
    <row r="381" spans="14:66">
      <c r="N381" s="322"/>
      <c r="P381" s="322"/>
      <c r="R381" s="322"/>
      <c r="T381" s="322"/>
      <c r="V381" s="322"/>
      <c r="X381" s="322"/>
      <c r="Z381" s="322"/>
      <c r="AB381" s="322"/>
      <c r="AD381" s="322"/>
      <c r="AF381" s="322"/>
      <c r="AH381" s="322"/>
      <c r="AJ381" s="322"/>
      <c r="AL381" s="322"/>
      <c r="AN381" s="322"/>
      <c r="AP381" s="322"/>
      <c r="AR381" s="322"/>
      <c r="AT381" s="322"/>
      <c r="AV381" s="322"/>
      <c r="AX381" s="322"/>
      <c r="AZ381" s="322"/>
      <c r="BB381" s="322"/>
      <c r="BD381" s="322"/>
      <c r="BF381" s="322"/>
      <c r="BH381" s="322"/>
      <c r="BJ381" s="322"/>
      <c r="BL381" s="322"/>
      <c r="BN381" s="322"/>
    </row>
    <row r="382" spans="14:66">
      <c r="N382" s="322"/>
      <c r="P382" s="322"/>
      <c r="R382" s="322"/>
      <c r="T382" s="322"/>
      <c r="V382" s="322"/>
      <c r="X382" s="322"/>
      <c r="Z382" s="322"/>
      <c r="AB382" s="322"/>
      <c r="AD382" s="322"/>
      <c r="AF382" s="322"/>
      <c r="AH382" s="322"/>
      <c r="AJ382" s="322"/>
      <c r="AL382" s="322"/>
      <c r="AN382" s="322"/>
      <c r="AP382" s="322"/>
      <c r="AR382" s="322"/>
      <c r="AT382" s="322"/>
      <c r="AV382" s="322"/>
      <c r="AX382" s="322"/>
      <c r="AZ382" s="322"/>
      <c r="BB382" s="322"/>
      <c r="BD382" s="322"/>
      <c r="BF382" s="322"/>
      <c r="BH382" s="322"/>
      <c r="BJ382" s="322"/>
      <c r="BL382" s="322"/>
      <c r="BN382" s="322"/>
    </row>
    <row r="383" spans="14:66">
      <c r="N383" s="322"/>
      <c r="P383" s="322"/>
      <c r="R383" s="322"/>
      <c r="T383" s="322"/>
      <c r="V383" s="322"/>
      <c r="X383" s="322"/>
      <c r="Z383" s="322"/>
      <c r="AB383" s="322"/>
      <c r="AD383" s="322"/>
      <c r="AF383" s="322"/>
      <c r="AH383" s="322"/>
      <c r="AJ383" s="322"/>
      <c r="AL383" s="322"/>
      <c r="AN383" s="322"/>
      <c r="AP383" s="322"/>
      <c r="AR383" s="322"/>
      <c r="AT383" s="322"/>
      <c r="AV383" s="322"/>
      <c r="AX383" s="322"/>
      <c r="AZ383" s="322"/>
      <c r="BB383" s="322"/>
      <c r="BD383" s="322"/>
      <c r="BF383" s="322"/>
      <c r="BH383" s="322"/>
      <c r="BJ383" s="322"/>
      <c r="BL383" s="322"/>
      <c r="BN383" s="322"/>
    </row>
    <row r="384" spans="14:66">
      <c r="N384" s="322"/>
      <c r="P384" s="322"/>
      <c r="R384" s="322"/>
      <c r="T384" s="322"/>
      <c r="V384" s="322"/>
      <c r="X384" s="322"/>
      <c r="Z384" s="322"/>
      <c r="AB384" s="322"/>
      <c r="AD384" s="322"/>
      <c r="AF384" s="322"/>
      <c r="AH384" s="322"/>
      <c r="AJ384" s="322"/>
      <c r="AL384" s="322"/>
      <c r="AN384" s="322"/>
      <c r="AP384" s="322"/>
      <c r="AR384" s="322"/>
      <c r="AT384" s="322"/>
      <c r="AV384" s="322"/>
      <c r="AX384" s="322"/>
      <c r="AZ384" s="322"/>
      <c r="BB384" s="322"/>
      <c r="BD384" s="322"/>
      <c r="BF384" s="322"/>
      <c r="BH384" s="322"/>
      <c r="BJ384" s="322"/>
      <c r="BL384" s="322"/>
      <c r="BN384" s="322"/>
    </row>
    <row r="385" spans="14:66">
      <c r="N385" s="322"/>
      <c r="P385" s="322"/>
      <c r="R385" s="322"/>
      <c r="T385" s="322"/>
      <c r="V385" s="322"/>
      <c r="X385" s="322"/>
      <c r="Z385" s="322"/>
      <c r="AB385" s="322"/>
      <c r="AD385" s="322"/>
      <c r="AF385" s="322"/>
      <c r="AH385" s="322"/>
      <c r="AJ385" s="322"/>
      <c r="AL385" s="322"/>
      <c r="AN385" s="322"/>
      <c r="AP385" s="322"/>
      <c r="AR385" s="322"/>
      <c r="AT385" s="322"/>
      <c r="AV385" s="322"/>
      <c r="AX385" s="322"/>
      <c r="AZ385" s="322"/>
      <c r="BB385" s="322"/>
      <c r="BD385" s="322"/>
      <c r="BF385" s="322"/>
      <c r="BH385" s="322"/>
      <c r="BJ385" s="322"/>
      <c r="BL385" s="322"/>
      <c r="BN385" s="322"/>
    </row>
    <row r="386" spans="14:66">
      <c r="N386" s="322"/>
      <c r="P386" s="322"/>
      <c r="R386" s="322"/>
      <c r="T386" s="322"/>
      <c r="V386" s="322"/>
      <c r="X386" s="322"/>
      <c r="Z386" s="322"/>
      <c r="AB386" s="322"/>
      <c r="AD386" s="322"/>
      <c r="AF386" s="322"/>
      <c r="AH386" s="322"/>
      <c r="AJ386" s="322"/>
      <c r="AL386" s="322"/>
      <c r="AN386" s="322"/>
      <c r="AP386" s="322"/>
      <c r="AR386" s="322"/>
      <c r="AT386" s="322"/>
      <c r="AV386" s="322"/>
      <c r="AX386" s="322"/>
      <c r="AZ386" s="322"/>
      <c r="BB386" s="322"/>
      <c r="BD386" s="322"/>
      <c r="BF386" s="322"/>
      <c r="BH386" s="322"/>
      <c r="BJ386" s="322"/>
      <c r="BL386" s="322"/>
      <c r="BN386" s="322"/>
    </row>
    <row r="387" spans="14:66">
      <c r="N387" s="322"/>
      <c r="P387" s="322"/>
      <c r="R387" s="322"/>
      <c r="T387" s="322"/>
      <c r="V387" s="322"/>
      <c r="X387" s="322"/>
      <c r="Z387" s="322"/>
      <c r="AB387" s="322"/>
      <c r="AD387" s="322"/>
      <c r="AF387" s="322"/>
      <c r="AH387" s="322"/>
      <c r="AJ387" s="322"/>
      <c r="AL387" s="322"/>
      <c r="AN387" s="322"/>
      <c r="AP387" s="322"/>
      <c r="AR387" s="322"/>
      <c r="AT387" s="322"/>
      <c r="AV387" s="322"/>
      <c r="AX387" s="322"/>
      <c r="AZ387" s="322"/>
      <c r="BB387" s="322"/>
      <c r="BD387" s="322"/>
      <c r="BF387" s="322"/>
      <c r="BH387" s="322"/>
      <c r="BJ387" s="322"/>
      <c r="BL387" s="322"/>
      <c r="BN387" s="322"/>
    </row>
    <row r="388" spans="14:66">
      <c r="N388" s="322"/>
      <c r="P388" s="322"/>
      <c r="R388" s="322"/>
      <c r="T388" s="322"/>
      <c r="V388" s="322"/>
      <c r="X388" s="322"/>
      <c r="Z388" s="322"/>
      <c r="AB388" s="322"/>
      <c r="AD388" s="322"/>
      <c r="AF388" s="322"/>
      <c r="AH388" s="322"/>
      <c r="AJ388" s="322"/>
      <c r="AL388" s="322"/>
      <c r="AN388" s="322"/>
      <c r="AP388" s="322"/>
      <c r="AR388" s="322"/>
      <c r="AT388" s="322"/>
      <c r="AV388" s="322"/>
      <c r="AX388" s="322"/>
      <c r="AZ388" s="322"/>
      <c r="BB388" s="322"/>
      <c r="BD388" s="322"/>
      <c r="BF388" s="322"/>
      <c r="BH388" s="322"/>
      <c r="BJ388" s="322"/>
      <c r="BL388" s="322"/>
      <c r="BN388" s="322"/>
    </row>
    <row r="389" spans="14:66">
      <c r="N389" s="322"/>
      <c r="P389" s="322"/>
      <c r="R389" s="322"/>
      <c r="T389" s="322"/>
      <c r="V389" s="322"/>
      <c r="X389" s="322"/>
      <c r="Z389" s="322"/>
      <c r="AB389" s="322"/>
      <c r="AD389" s="322"/>
      <c r="AF389" s="322"/>
      <c r="AH389" s="322"/>
      <c r="AJ389" s="322"/>
      <c r="AL389" s="322"/>
      <c r="AN389" s="322"/>
      <c r="AP389" s="322"/>
      <c r="AR389" s="322"/>
      <c r="AT389" s="322"/>
      <c r="AV389" s="322"/>
      <c r="AX389" s="322"/>
      <c r="AZ389" s="322"/>
      <c r="BB389" s="322"/>
      <c r="BD389" s="322"/>
      <c r="BF389" s="322"/>
      <c r="BH389" s="322"/>
      <c r="BJ389" s="322"/>
      <c r="BL389" s="322"/>
      <c r="BN389" s="322"/>
    </row>
    <row r="390" spans="14:66">
      <c r="N390" s="322"/>
      <c r="P390" s="322"/>
      <c r="R390" s="322"/>
      <c r="T390" s="322"/>
      <c r="V390" s="322"/>
      <c r="X390" s="322"/>
      <c r="Z390" s="322"/>
      <c r="AB390" s="322"/>
      <c r="AD390" s="322"/>
      <c r="AF390" s="322"/>
      <c r="AH390" s="322"/>
      <c r="AJ390" s="322"/>
      <c r="AL390" s="322"/>
      <c r="AN390" s="322"/>
      <c r="AP390" s="322"/>
      <c r="AR390" s="322"/>
      <c r="AT390" s="322"/>
      <c r="AV390" s="322"/>
      <c r="AX390" s="322"/>
      <c r="AZ390" s="322"/>
      <c r="BB390" s="322"/>
      <c r="BD390" s="322"/>
      <c r="BF390" s="322"/>
      <c r="BH390" s="322"/>
      <c r="BJ390" s="322"/>
      <c r="BL390" s="322"/>
      <c r="BN390" s="322"/>
    </row>
    <row r="391" spans="14:66">
      <c r="N391" s="322"/>
      <c r="P391" s="322"/>
      <c r="R391" s="322"/>
      <c r="T391" s="322"/>
      <c r="V391" s="322"/>
      <c r="X391" s="322"/>
      <c r="Z391" s="322"/>
      <c r="AB391" s="322"/>
      <c r="AD391" s="322"/>
      <c r="AF391" s="322"/>
      <c r="AH391" s="322"/>
      <c r="AJ391" s="322"/>
      <c r="AL391" s="322"/>
      <c r="AN391" s="322"/>
      <c r="AP391" s="322"/>
      <c r="AR391" s="322"/>
      <c r="AT391" s="322"/>
      <c r="AV391" s="322"/>
      <c r="AX391" s="322"/>
      <c r="AZ391" s="322"/>
      <c r="BB391" s="322"/>
      <c r="BD391" s="322"/>
      <c r="BF391" s="322"/>
      <c r="BH391" s="322"/>
      <c r="BJ391" s="322"/>
      <c r="BL391" s="322"/>
      <c r="BN391" s="322"/>
    </row>
    <row r="392" spans="14:66">
      <c r="N392" s="322"/>
      <c r="P392" s="322"/>
      <c r="R392" s="322"/>
      <c r="T392" s="322"/>
      <c r="V392" s="322"/>
      <c r="X392" s="322"/>
      <c r="Z392" s="322"/>
      <c r="AB392" s="322"/>
      <c r="AD392" s="322"/>
      <c r="AF392" s="322"/>
      <c r="AH392" s="322"/>
      <c r="AJ392" s="322"/>
      <c r="AL392" s="322"/>
      <c r="AN392" s="322"/>
      <c r="AP392" s="322"/>
      <c r="AR392" s="322"/>
      <c r="AT392" s="322"/>
      <c r="AV392" s="322"/>
      <c r="AX392" s="322"/>
      <c r="AZ392" s="322"/>
      <c r="BB392" s="322"/>
      <c r="BD392" s="322"/>
      <c r="BF392" s="322"/>
      <c r="BH392" s="322"/>
      <c r="BJ392" s="322"/>
      <c r="BL392" s="322"/>
      <c r="BN392" s="322"/>
    </row>
    <row r="393" spans="14:66">
      <c r="N393" s="322"/>
      <c r="P393" s="322"/>
      <c r="R393" s="322"/>
      <c r="T393" s="322"/>
      <c r="V393" s="322"/>
      <c r="X393" s="322"/>
      <c r="Z393" s="322"/>
      <c r="AB393" s="322"/>
      <c r="AD393" s="322"/>
      <c r="AF393" s="322"/>
      <c r="AH393" s="322"/>
      <c r="AJ393" s="322"/>
      <c r="AL393" s="322"/>
      <c r="AN393" s="322"/>
      <c r="AP393" s="322"/>
      <c r="AR393" s="322"/>
      <c r="AT393" s="322"/>
      <c r="AV393" s="322"/>
      <c r="AX393" s="322"/>
      <c r="AZ393" s="322"/>
      <c r="BB393" s="322"/>
      <c r="BD393" s="322"/>
      <c r="BF393" s="322"/>
      <c r="BH393" s="322"/>
      <c r="BJ393" s="322"/>
      <c r="BL393" s="322"/>
      <c r="BN393" s="322"/>
    </row>
    <row r="394" spans="14:66">
      <c r="N394" s="322"/>
      <c r="P394" s="322"/>
      <c r="R394" s="322"/>
      <c r="T394" s="322"/>
      <c r="V394" s="322"/>
      <c r="X394" s="322"/>
      <c r="Z394" s="322"/>
      <c r="AB394" s="322"/>
      <c r="AD394" s="322"/>
      <c r="AF394" s="322"/>
      <c r="AH394" s="322"/>
      <c r="AJ394" s="322"/>
      <c r="AL394" s="322"/>
      <c r="AN394" s="322"/>
      <c r="AP394" s="322"/>
      <c r="AR394" s="322"/>
      <c r="AT394" s="322"/>
      <c r="AV394" s="322"/>
      <c r="AX394" s="322"/>
      <c r="AZ394" s="322"/>
      <c r="BB394" s="322"/>
      <c r="BD394" s="322"/>
      <c r="BF394" s="322"/>
      <c r="BH394" s="322"/>
      <c r="BJ394" s="322"/>
      <c r="BL394" s="322"/>
      <c r="BN394" s="322"/>
    </row>
    <row r="395" spans="14:66">
      <c r="N395" s="322"/>
      <c r="P395" s="322"/>
      <c r="R395" s="322"/>
      <c r="T395" s="322"/>
      <c r="V395" s="322"/>
      <c r="X395" s="322"/>
      <c r="Z395" s="322"/>
      <c r="AB395" s="322"/>
      <c r="AD395" s="322"/>
      <c r="AF395" s="322"/>
      <c r="AH395" s="322"/>
      <c r="AJ395" s="322"/>
      <c r="AL395" s="322"/>
      <c r="AN395" s="322"/>
      <c r="AP395" s="322"/>
      <c r="AR395" s="322"/>
      <c r="AT395" s="322"/>
      <c r="AV395" s="322"/>
      <c r="AX395" s="322"/>
      <c r="AZ395" s="322"/>
      <c r="BB395" s="322"/>
      <c r="BD395" s="322"/>
      <c r="BF395" s="322"/>
      <c r="BH395" s="322"/>
      <c r="BJ395" s="322"/>
      <c r="BL395" s="322"/>
      <c r="BN395" s="322"/>
    </row>
    <row r="396" spans="14:66">
      <c r="N396" s="322"/>
      <c r="P396" s="322"/>
      <c r="R396" s="322"/>
      <c r="T396" s="322"/>
      <c r="V396" s="322"/>
      <c r="X396" s="322"/>
      <c r="Z396" s="322"/>
      <c r="AB396" s="322"/>
      <c r="AD396" s="322"/>
      <c r="AF396" s="322"/>
      <c r="AH396" s="322"/>
      <c r="AJ396" s="322"/>
      <c r="AL396" s="322"/>
      <c r="AN396" s="322"/>
      <c r="AP396" s="322"/>
      <c r="AR396" s="322"/>
      <c r="AT396" s="322"/>
      <c r="AV396" s="322"/>
      <c r="AX396" s="322"/>
      <c r="AZ396" s="322"/>
      <c r="BB396" s="322"/>
      <c r="BD396" s="322"/>
      <c r="BF396" s="322"/>
      <c r="BH396" s="322"/>
      <c r="BJ396" s="322"/>
      <c r="BL396" s="322"/>
      <c r="BN396" s="322"/>
    </row>
    <row r="397" spans="14:66">
      <c r="N397" s="322"/>
      <c r="P397" s="322"/>
      <c r="R397" s="322"/>
      <c r="T397" s="322"/>
      <c r="V397" s="322"/>
      <c r="X397" s="322"/>
      <c r="Z397" s="322"/>
      <c r="AB397" s="322"/>
      <c r="AD397" s="322"/>
      <c r="AF397" s="322"/>
      <c r="AH397" s="322"/>
      <c r="AJ397" s="322"/>
      <c r="AL397" s="322"/>
      <c r="AN397" s="322"/>
      <c r="AP397" s="322"/>
      <c r="AR397" s="322"/>
      <c r="AT397" s="322"/>
      <c r="AV397" s="322"/>
      <c r="AX397" s="322"/>
      <c r="AZ397" s="322"/>
      <c r="BB397" s="322"/>
      <c r="BD397" s="322"/>
      <c r="BF397" s="322"/>
      <c r="BH397" s="322"/>
      <c r="BJ397" s="322"/>
      <c r="BL397" s="322"/>
      <c r="BN397" s="322"/>
    </row>
    <row r="398" spans="14:66">
      <c r="N398" s="322"/>
      <c r="P398" s="322"/>
      <c r="R398" s="322"/>
      <c r="T398" s="322"/>
      <c r="V398" s="322"/>
      <c r="X398" s="322"/>
      <c r="Z398" s="322"/>
      <c r="AB398" s="322"/>
      <c r="AD398" s="322"/>
      <c r="AF398" s="322"/>
      <c r="AH398" s="322"/>
      <c r="AJ398" s="322"/>
      <c r="AL398" s="322"/>
      <c r="AN398" s="322"/>
      <c r="AP398" s="322"/>
      <c r="AR398" s="322"/>
      <c r="AT398" s="322"/>
      <c r="AV398" s="322"/>
      <c r="AX398" s="322"/>
      <c r="AZ398" s="322"/>
      <c r="BB398" s="322"/>
      <c r="BD398" s="322"/>
      <c r="BF398" s="322"/>
      <c r="BH398" s="322"/>
      <c r="BJ398" s="322"/>
      <c r="BL398" s="322"/>
      <c r="BN398" s="322"/>
    </row>
    <row r="399" spans="14:66">
      <c r="N399" s="322"/>
      <c r="P399" s="322"/>
      <c r="R399" s="322"/>
      <c r="T399" s="322"/>
      <c r="V399" s="322"/>
      <c r="X399" s="322"/>
      <c r="Z399" s="322"/>
      <c r="AB399" s="322"/>
      <c r="AD399" s="322"/>
      <c r="AF399" s="322"/>
      <c r="AH399" s="322"/>
      <c r="AJ399" s="322"/>
      <c r="AL399" s="322"/>
      <c r="AN399" s="322"/>
      <c r="AP399" s="322"/>
      <c r="AR399" s="322"/>
      <c r="AT399" s="322"/>
      <c r="AV399" s="322"/>
      <c r="AX399" s="322"/>
      <c r="AZ399" s="322"/>
      <c r="BB399" s="322"/>
      <c r="BD399" s="322"/>
      <c r="BF399" s="322"/>
      <c r="BH399" s="322"/>
      <c r="BJ399" s="322"/>
      <c r="BL399" s="322"/>
      <c r="BN399" s="322"/>
    </row>
    <row r="400" spans="14:66">
      <c r="N400" s="322"/>
      <c r="P400" s="322"/>
      <c r="R400" s="322"/>
      <c r="T400" s="322"/>
      <c r="V400" s="322"/>
      <c r="X400" s="322"/>
      <c r="Z400" s="322"/>
      <c r="AB400" s="322"/>
      <c r="AD400" s="322"/>
      <c r="AF400" s="322"/>
      <c r="AH400" s="322"/>
      <c r="AJ400" s="322"/>
      <c r="AL400" s="322"/>
      <c r="AN400" s="322"/>
      <c r="AP400" s="322"/>
      <c r="AR400" s="322"/>
      <c r="AT400" s="322"/>
      <c r="AV400" s="322"/>
      <c r="AX400" s="322"/>
      <c r="AZ400" s="322"/>
      <c r="BB400" s="322"/>
      <c r="BD400" s="322"/>
      <c r="BF400" s="322"/>
      <c r="BH400" s="322"/>
      <c r="BJ400" s="322"/>
      <c r="BL400" s="322"/>
      <c r="BN400" s="322"/>
    </row>
    <row r="401" spans="14:66">
      <c r="N401" s="322"/>
      <c r="P401" s="322"/>
      <c r="R401" s="322"/>
      <c r="T401" s="322"/>
      <c r="V401" s="322"/>
      <c r="X401" s="322"/>
      <c r="Z401" s="322"/>
      <c r="AB401" s="322"/>
      <c r="AD401" s="322"/>
      <c r="AF401" s="322"/>
      <c r="AH401" s="322"/>
      <c r="AJ401" s="322"/>
      <c r="AL401" s="322"/>
      <c r="AN401" s="322"/>
      <c r="AP401" s="322"/>
      <c r="AR401" s="322"/>
      <c r="AT401" s="322"/>
      <c r="AV401" s="322"/>
      <c r="AX401" s="322"/>
      <c r="AZ401" s="322"/>
      <c r="BB401" s="322"/>
      <c r="BD401" s="322"/>
      <c r="BF401" s="322"/>
      <c r="BH401" s="322"/>
      <c r="BJ401" s="322"/>
      <c r="BL401" s="322"/>
      <c r="BN401" s="322"/>
    </row>
    <row r="402" spans="14:66">
      <c r="N402" s="322"/>
      <c r="P402" s="322"/>
      <c r="R402" s="322"/>
      <c r="T402" s="322"/>
      <c r="V402" s="322"/>
      <c r="X402" s="322"/>
      <c r="Z402" s="322"/>
      <c r="AB402" s="322"/>
      <c r="AD402" s="322"/>
      <c r="AF402" s="322"/>
      <c r="AH402" s="322"/>
      <c r="AJ402" s="322"/>
      <c r="AL402" s="322"/>
      <c r="AN402" s="322"/>
      <c r="AP402" s="322"/>
      <c r="AR402" s="322"/>
      <c r="AT402" s="322"/>
      <c r="AV402" s="322"/>
      <c r="AX402" s="322"/>
      <c r="AZ402" s="322"/>
      <c r="BB402" s="322"/>
      <c r="BD402" s="322"/>
      <c r="BF402" s="322"/>
      <c r="BH402" s="322"/>
      <c r="BJ402" s="322"/>
      <c r="BL402" s="322"/>
      <c r="BN402" s="322"/>
    </row>
    <row r="403" spans="14:66">
      <c r="N403" s="322"/>
      <c r="P403" s="322"/>
      <c r="R403" s="322"/>
      <c r="T403" s="322"/>
      <c r="V403" s="322"/>
      <c r="X403" s="322"/>
      <c r="Z403" s="322"/>
      <c r="AB403" s="322"/>
      <c r="AD403" s="322"/>
      <c r="AF403" s="322"/>
      <c r="AH403" s="322"/>
      <c r="AJ403" s="322"/>
      <c r="AL403" s="322"/>
      <c r="AN403" s="322"/>
      <c r="AP403" s="322"/>
      <c r="AR403" s="322"/>
      <c r="AT403" s="322"/>
      <c r="AV403" s="322"/>
      <c r="AX403" s="322"/>
      <c r="AZ403" s="322"/>
      <c r="BB403" s="322"/>
      <c r="BD403" s="322"/>
      <c r="BF403" s="322"/>
      <c r="BH403" s="322"/>
      <c r="BJ403" s="322"/>
      <c r="BL403" s="322"/>
      <c r="BN403" s="322"/>
    </row>
    <row r="404" spans="14:66">
      <c r="N404" s="322"/>
      <c r="P404" s="322"/>
      <c r="R404" s="322"/>
      <c r="T404" s="322"/>
      <c r="V404" s="322"/>
      <c r="X404" s="322"/>
      <c r="Z404" s="322"/>
      <c r="AB404" s="322"/>
      <c r="AD404" s="322"/>
      <c r="AF404" s="322"/>
      <c r="AH404" s="322"/>
      <c r="AJ404" s="322"/>
      <c r="AL404" s="322"/>
      <c r="AN404" s="322"/>
      <c r="AP404" s="322"/>
      <c r="AR404" s="322"/>
      <c r="AT404" s="322"/>
      <c r="AV404" s="322"/>
      <c r="AX404" s="322"/>
      <c r="AZ404" s="322"/>
      <c r="BB404" s="322"/>
      <c r="BD404" s="322"/>
      <c r="BF404" s="322"/>
      <c r="BH404" s="322"/>
      <c r="BJ404" s="322"/>
      <c r="BL404" s="322"/>
      <c r="BN404" s="322"/>
    </row>
    <row r="405" spans="14:66">
      <c r="N405" s="322"/>
      <c r="P405" s="322"/>
      <c r="R405" s="322"/>
      <c r="T405" s="322"/>
      <c r="V405" s="322"/>
      <c r="X405" s="322"/>
      <c r="Z405" s="322"/>
      <c r="AB405" s="322"/>
      <c r="AD405" s="322"/>
      <c r="AF405" s="322"/>
      <c r="AH405" s="322"/>
      <c r="AJ405" s="322"/>
      <c r="AL405" s="322"/>
      <c r="AN405" s="322"/>
      <c r="AP405" s="322"/>
      <c r="AR405" s="322"/>
      <c r="AT405" s="322"/>
      <c r="AV405" s="322"/>
      <c r="AX405" s="322"/>
      <c r="AZ405" s="322"/>
      <c r="BB405" s="322"/>
      <c r="BD405" s="322"/>
      <c r="BF405" s="322"/>
      <c r="BH405" s="322"/>
      <c r="BJ405" s="322"/>
      <c r="BL405" s="322"/>
      <c r="BN405" s="322"/>
    </row>
    <row r="406" spans="14:66">
      <c r="N406" s="322"/>
      <c r="P406" s="322"/>
      <c r="R406" s="322"/>
      <c r="T406" s="322"/>
      <c r="V406" s="322"/>
      <c r="X406" s="322"/>
      <c r="Z406" s="322"/>
      <c r="AB406" s="322"/>
      <c r="AD406" s="322"/>
      <c r="AF406" s="322"/>
      <c r="AH406" s="322"/>
      <c r="AJ406" s="322"/>
      <c r="AL406" s="322"/>
      <c r="AN406" s="322"/>
      <c r="AP406" s="322"/>
      <c r="AR406" s="322"/>
      <c r="AT406" s="322"/>
      <c r="AV406" s="322"/>
      <c r="AX406" s="322"/>
      <c r="AZ406" s="322"/>
      <c r="BB406" s="322"/>
      <c r="BD406" s="322"/>
      <c r="BF406" s="322"/>
      <c r="BH406" s="322"/>
      <c r="BJ406" s="322"/>
      <c r="BL406" s="322"/>
      <c r="BN406" s="322"/>
    </row>
    <row r="407" spans="14:66">
      <c r="N407" s="322"/>
      <c r="P407" s="322"/>
      <c r="R407" s="322"/>
      <c r="T407" s="322"/>
      <c r="V407" s="322"/>
      <c r="X407" s="322"/>
      <c r="Z407" s="322"/>
      <c r="AB407" s="322"/>
      <c r="AD407" s="322"/>
      <c r="AF407" s="322"/>
      <c r="AH407" s="322"/>
      <c r="AJ407" s="322"/>
      <c r="AL407" s="322"/>
      <c r="AN407" s="322"/>
      <c r="AP407" s="322"/>
      <c r="AR407" s="322"/>
      <c r="AT407" s="322"/>
      <c r="AV407" s="322"/>
      <c r="AX407" s="322"/>
      <c r="AZ407" s="322"/>
      <c r="BB407" s="322"/>
      <c r="BD407" s="322"/>
      <c r="BF407" s="322"/>
      <c r="BH407" s="322"/>
      <c r="BJ407" s="322"/>
      <c r="BL407" s="322"/>
      <c r="BN407" s="322"/>
    </row>
    <row r="408" spans="14:66">
      <c r="N408" s="322"/>
      <c r="P408" s="322"/>
      <c r="R408" s="322"/>
      <c r="T408" s="322"/>
      <c r="V408" s="322"/>
      <c r="X408" s="322"/>
      <c r="Z408" s="322"/>
      <c r="AB408" s="322"/>
      <c r="AD408" s="322"/>
      <c r="AF408" s="322"/>
      <c r="AH408" s="322"/>
      <c r="AJ408" s="322"/>
      <c r="AL408" s="322"/>
      <c r="AN408" s="322"/>
      <c r="AP408" s="322"/>
      <c r="AR408" s="322"/>
      <c r="AT408" s="322"/>
      <c r="AV408" s="322"/>
      <c r="AX408" s="322"/>
      <c r="AZ408" s="322"/>
      <c r="BB408" s="322"/>
      <c r="BD408" s="322"/>
      <c r="BF408" s="322"/>
      <c r="BH408" s="322"/>
      <c r="BJ408" s="322"/>
      <c r="BL408" s="322"/>
      <c r="BN408" s="322"/>
    </row>
    <row r="409" spans="14:66">
      <c r="N409" s="322"/>
      <c r="P409" s="322"/>
      <c r="R409" s="322"/>
      <c r="T409" s="322"/>
      <c r="V409" s="322"/>
      <c r="X409" s="322"/>
      <c r="Z409" s="322"/>
      <c r="AB409" s="322"/>
      <c r="AD409" s="322"/>
      <c r="AF409" s="322"/>
      <c r="AH409" s="322"/>
      <c r="AJ409" s="322"/>
      <c r="AL409" s="322"/>
      <c r="AN409" s="322"/>
      <c r="AP409" s="322"/>
      <c r="AR409" s="322"/>
      <c r="AT409" s="322"/>
      <c r="AV409" s="322"/>
      <c r="AX409" s="322"/>
      <c r="AZ409" s="322"/>
      <c r="BB409" s="322"/>
      <c r="BD409" s="322"/>
      <c r="BF409" s="322"/>
      <c r="BH409" s="322"/>
      <c r="BJ409" s="322"/>
      <c r="BL409" s="322"/>
      <c r="BN409" s="322"/>
    </row>
    <row r="410" spans="14:66">
      <c r="N410" s="322"/>
      <c r="P410" s="322"/>
      <c r="R410" s="322"/>
      <c r="T410" s="322"/>
      <c r="V410" s="322"/>
      <c r="X410" s="322"/>
      <c r="Z410" s="322"/>
      <c r="AB410" s="322"/>
      <c r="AD410" s="322"/>
      <c r="AF410" s="322"/>
      <c r="AH410" s="322"/>
      <c r="AJ410" s="322"/>
      <c r="AL410" s="322"/>
      <c r="AN410" s="322"/>
      <c r="AP410" s="322"/>
      <c r="AR410" s="322"/>
      <c r="AT410" s="322"/>
      <c r="AV410" s="322"/>
      <c r="AX410" s="322"/>
      <c r="AZ410" s="322"/>
      <c r="BB410" s="322"/>
      <c r="BD410" s="322"/>
      <c r="BF410" s="322"/>
      <c r="BH410" s="322"/>
      <c r="BJ410" s="322"/>
      <c r="BL410" s="322"/>
      <c r="BN410" s="322"/>
    </row>
    <row r="411" spans="14:66">
      <c r="N411" s="322"/>
      <c r="P411" s="322"/>
      <c r="R411" s="322"/>
      <c r="T411" s="322"/>
      <c r="V411" s="322"/>
      <c r="X411" s="322"/>
      <c r="Z411" s="322"/>
      <c r="AB411" s="322"/>
      <c r="AD411" s="322"/>
      <c r="AF411" s="322"/>
      <c r="AH411" s="322"/>
      <c r="AJ411" s="322"/>
      <c r="AL411" s="322"/>
      <c r="AN411" s="322"/>
      <c r="AP411" s="322"/>
      <c r="AR411" s="322"/>
      <c r="AT411" s="322"/>
      <c r="AV411" s="322"/>
      <c r="AX411" s="322"/>
      <c r="AZ411" s="322"/>
      <c r="BB411" s="322"/>
      <c r="BD411" s="322"/>
      <c r="BF411" s="322"/>
      <c r="BH411" s="322"/>
      <c r="BJ411" s="322"/>
      <c r="BL411" s="322"/>
      <c r="BN411" s="322"/>
    </row>
    <row r="412" spans="14:66">
      <c r="N412" s="322"/>
      <c r="P412" s="322"/>
      <c r="R412" s="322"/>
      <c r="T412" s="322"/>
      <c r="V412" s="322"/>
      <c r="X412" s="322"/>
      <c r="Z412" s="322"/>
      <c r="AB412" s="322"/>
      <c r="AD412" s="322"/>
      <c r="AF412" s="322"/>
      <c r="AH412" s="322"/>
      <c r="AJ412" s="322"/>
      <c r="AL412" s="322"/>
      <c r="AN412" s="322"/>
      <c r="AP412" s="322"/>
      <c r="AR412" s="322"/>
      <c r="AT412" s="322"/>
      <c r="AV412" s="322"/>
      <c r="AX412" s="322"/>
      <c r="AZ412" s="322"/>
      <c r="BB412" s="322"/>
      <c r="BD412" s="322"/>
      <c r="BF412" s="322"/>
      <c r="BH412" s="322"/>
      <c r="BJ412" s="322"/>
      <c r="BL412" s="322"/>
      <c r="BN412" s="322"/>
    </row>
    <row r="413" spans="14:66">
      <c r="N413" s="322"/>
      <c r="P413" s="322"/>
      <c r="R413" s="322"/>
      <c r="T413" s="322"/>
      <c r="V413" s="322"/>
      <c r="X413" s="322"/>
      <c r="Z413" s="322"/>
      <c r="AB413" s="322"/>
      <c r="AD413" s="322"/>
      <c r="AF413" s="322"/>
      <c r="AH413" s="322"/>
      <c r="AJ413" s="322"/>
      <c r="AL413" s="322"/>
      <c r="AN413" s="322"/>
      <c r="AP413" s="322"/>
      <c r="AR413" s="322"/>
      <c r="AT413" s="322"/>
      <c r="AV413" s="322"/>
      <c r="AX413" s="322"/>
      <c r="AZ413" s="322"/>
      <c r="BB413" s="322"/>
      <c r="BD413" s="322"/>
      <c r="BF413" s="322"/>
      <c r="BH413" s="322"/>
      <c r="BJ413" s="322"/>
      <c r="BL413" s="322"/>
      <c r="BN413" s="322"/>
    </row>
    <row r="414" spans="14:66">
      <c r="N414" s="322"/>
      <c r="P414" s="322"/>
      <c r="R414" s="322"/>
      <c r="T414" s="322"/>
      <c r="V414" s="322"/>
      <c r="X414" s="322"/>
      <c r="Z414" s="322"/>
      <c r="AB414" s="322"/>
      <c r="AD414" s="322"/>
      <c r="AF414" s="322"/>
      <c r="AH414" s="322"/>
      <c r="AJ414" s="322"/>
      <c r="AL414" s="322"/>
      <c r="AN414" s="322"/>
      <c r="AP414" s="322"/>
      <c r="AR414" s="322"/>
      <c r="AT414" s="322"/>
      <c r="AV414" s="322"/>
      <c r="AX414" s="322"/>
      <c r="AZ414" s="322"/>
      <c r="BB414" s="322"/>
      <c r="BD414" s="322"/>
      <c r="BF414" s="322"/>
      <c r="BH414" s="322"/>
      <c r="BJ414" s="322"/>
      <c r="BL414" s="322"/>
      <c r="BN414" s="322"/>
    </row>
    <row r="415" spans="14:66">
      <c r="N415" s="322"/>
      <c r="P415" s="322"/>
      <c r="R415" s="322"/>
      <c r="T415" s="322"/>
      <c r="V415" s="322"/>
      <c r="X415" s="322"/>
      <c r="Z415" s="322"/>
      <c r="AB415" s="322"/>
      <c r="AD415" s="322"/>
      <c r="AF415" s="322"/>
      <c r="AH415" s="322"/>
      <c r="AJ415" s="322"/>
      <c r="AL415" s="322"/>
      <c r="AN415" s="322"/>
      <c r="AP415" s="322"/>
      <c r="AR415" s="322"/>
      <c r="AT415" s="322"/>
      <c r="AV415" s="322"/>
      <c r="AX415" s="322"/>
      <c r="AZ415" s="322"/>
      <c r="BB415" s="322"/>
      <c r="BD415" s="322"/>
      <c r="BF415" s="322"/>
      <c r="BH415" s="322"/>
      <c r="BJ415" s="322"/>
      <c r="BL415" s="322"/>
      <c r="BN415" s="322"/>
    </row>
    <row r="416" spans="14:66">
      <c r="N416" s="322"/>
      <c r="P416" s="322"/>
      <c r="R416" s="322"/>
      <c r="T416" s="322"/>
      <c r="V416" s="322"/>
      <c r="X416" s="322"/>
      <c r="Z416" s="322"/>
      <c r="AB416" s="322"/>
      <c r="AD416" s="322"/>
      <c r="AF416" s="322"/>
      <c r="AH416" s="322"/>
      <c r="AJ416" s="322"/>
      <c r="AL416" s="322"/>
      <c r="AN416" s="322"/>
      <c r="AP416" s="322"/>
      <c r="AR416" s="322"/>
      <c r="AT416" s="322"/>
      <c r="AV416" s="322"/>
      <c r="AX416" s="322"/>
      <c r="AZ416" s="322"/>
      <c r="BB416" s="322"/>
      <c r="BD416" s="322"/>
      <c r="BF416" s="322"/>
      <c r="BH416" s="322"/>
      <c r="BJ416" s="322"/>
      <c r="BL416" s="322"/>
      <c r="BN416" s="322"/>
    </row>
    <row r="417" spans="14:66">
      <c r="N417" s="322"/>
      <c r="P417" s="322"/>
      <c r="R417" s="322"/>
      <c r="T417" s="322"/>
      <c r="V417" s="322"/>
      <c r="X417" s="322"/>
      <c r="Z417" s="322"/>
      <c r="AB417" s="322"/>
      <c r="AD417" s="322"/>
      <c r="AF417" s="322"/>
      <c r="AH417" s="322"/>
      <c r="AJ417" s="322"/>
      <c r="AL417" s="322"/>
      <c r="AN417" s="322"/>
      <c r="AP417" s="322"/>
      <c r="AR417" s="322"/>
      <c r="AT417" s="322"/>
      <c r="AV417" s="322"/>
      <c r="AX417" s="322"/>
      <c r="AZ417" s="322"/>
      <c r="BB417" s="322"/>
      <c r="BD417" s="322"/>
      <c r="BF417" s="322"/>
      <c r="BH417" s="322"/>
      <c r="BJ417" s="322"/>
      <c r="BL417" s="322"/>
      <c r="BN417" s="322"/>
    </row>
    <row r="418" spans="14:66">
      <c r="N418" s="322"/>
      <c r="P418" s="322"/>
      <c r="R418" s="322"/>
      <c r="T418" s="322"/>
      <c r="V418" s="322"/>
      <c r="X418" s="322"/>
      <c r="Z418" s="322"/>
      <c r="AB418" s="322"/>
      <c r="AD418" s="322"/>
      <c r="AF418" s="322"/>
      <c r="AH418" s="322"/>
      <c r="AJ418" s="322"/>
      <c r="AL418" s="322"/>
      <c r="AN418" s="322"/>
      <c r="AP418" s="322"/>
      <c r="AR418" s="322"/>
      <c r="AT418" s="322"/>
      <c r="AV418" s="322"/>
      <c r="AX418" s="322"/>
      <c r="AZ418" s="322"/>
      <c r="BB418" s="322"/>
      <c r="BD418" s="322"/>
      <c r="BF418" s="322"/>
      <c r="BH418" s="322"/>
      <c r="BJ418" s="322"/>
      <c r="BL418" s="322"/>
      <c r="BN418" s="322"/>
    </row>
    <row r="419" spans="14:66">
      <c r="N419" s="322"/>
      <c r="P419" s="322"/>
      <c r="R419" s="322"/>
      <c r="T419" s="322"/>
      <c r="V419" s="322"/>
      <c r="X419" s="322"/>
      <c r="Z419" s="322"/>
      <c r="AB419" s="322"/>
      <c r="AD419" s="322"/>
      <c r="AF419" s="322"/>
      <c r="AH419" s="322"/>
      <c r="AJ419" s="322"/>
      <c r="AL419" s="322"/>
      <c r="AN419" s="322"/>
      <c r="AP419" s="322"/>
      <c r="AR419" s="322"/>
      <c r="AT419" s="322"/>
      <c r="AV419" s="322"/>
      <c r="AX419" s="322"/>
      <c r="AZ419" s="322"/>
      <c r="BB419" s="322"/>
      <c r="BD419" s="322"/>
      <c r="BF419" s="322"/>
      <c r="BH419" s="322"/>
      <c r="BJ419" s="322"/>
      <c r="BL419" s="322"/>
      <c r="BN419" s="322"/>
    </row>
    <row r="420" spans="14:66">
      <c r="N420" s="322"/>
      <c r="P420" s="322"/>
      <c r="R420" s="322"/>
      <c r="T420" s="322"/>
      <c r="V420" s="322"/>
      <c r="X420" s="322"/>
      <c r="Z420" s="322"/>
      <c r="AB420" s="322"/>
      <c r="AD420" s="322"/>
      <c r="AF420" s="322"/>
      <c r="AH420" s="322"/>
      <c r="AJ420" s="322"/>
      <c r="AL420" s="322"/>
      <c r="AN420" s="322"/>
      <c r="AP420" s="322"/>
      <c r="AR420" s="322"/>
      <c r="AT420" s="322"/>
      <c r="AV420" s="322"/>
      <c r="AX420" s="322"/>
      <c r="AZ420" s="322"/>
      <c r="BB420" s="322"/>
      <c r="BD420" s="322"/>
      <c r="BF420" s="322"/>
      <c r="BH420" s="322"/>
      <c r="BJ420" s="322"/>
      <c r="BL420" s="322"/>
      <c r="BN420" s="322"/>
    </row>
    <row r="421" spans="14:66">
      <c r="N421" s="322"/>
      <c r="P421" s="322"/>
      <c r="R421" s="322"/>
      <c r="T421" s="322"/>
      <c r="V421" s="322"/>
      <c r="X421" s="322"/>
      <c r="Z421" s="322"/>
      <c r="AB421" s="322"/>
      <c r="AD421" s="322"/>
      <c r="AF421" s="322"/>
      <c r="AH421" s="322"/>
      <c r="AJ421" s="322"/>
      <c r="AL421" s="322"/>
      <c r="AN421" s="322"/>
      <c r="AP421" s="322"/>
      <c r="AR421" s="322"/>
      <c r="AT421" s="322"/>
      <c r="AV421" s="322"/>
      <c r="AX421" s="322"/>
      <c r="AZ421" s="322"/>
      <c r="BB421" s="322"/>
      <c r="BD421" s="322"/>
      <c r="BF421" s="322"/>
      <c r="BH421" s="322"/>
      <c r="BJ421" s="322"/>
      <c r="BL421" s="322"/>
      <c r="BN421" s="322"/>
    </row>
    <row r="422" spans="14:66">
      <c r="N422" s="322"/>
      <c r="P422" s="322"/>
      <c r="R422" s="322"/>
      <c r="T422" s="322"/>
      <c r="V422" s="322"/>
      <c r="X422" s="322"/>
      <c r="Z422" s="322"/>
      <c r="AB422" s="322"/>
      <c r="AD422" s="322"/>
      <c r="AF422" s="322"/>
      <c r="AH422" s="322"/>
      <c r="AJ422" s="322"/>
      <c r="AL422" s="322"/>
      <c r="AN422" s="322"/>
      <c r="AP422" s="322"/>
      <c r="AR422" s="322"/>
      <c r="AT422" s="322"/>
      <c r="AV422" s="322"/>
      <c r="AX422" s="322"/>
      <c r="AZ422" s="322"/>
      <c r="BB422" s="322"/>
      <c r="BD422" s="322"/>
      <c r="BF422" s="322"/>
      <c r="BH422" s="322"/>
      <c r="BJ422" s="322"/>
      <c r="BL422" s="322"/>
      <c r="BN422" s="322"/>
    </row>
    <row r="423" spans="14:66">
      <c r="N423" s="322"/>
      <c r="P423" s="322"/>
      <c r="R423" s="322"/>
      <c r="T423" s="322"/>
      <c r="V423" s="322"/>
      <c r="X423" s="322"/>
      <c r="Z423" s="322"/>
      <c r="AB423" s="322"/>
      <c r="AD423" s="322"/>
      <c r="AF423" s="322"/>
      <c r="AH423" s="322"/>
      <c r="AJ423" s="322"/>
      <c r="AL423" s="322"/>
      <c r="AN423" s="322"/>
      <c r="AP423" s="322"/>
      <c r="AR423" s="322"/>
      <c r="AT423" s="322"/>
      <c r="AV423" s="322"/>
      <c r="AX423" s="322"/>
      <c r="AZ423" s="322"/>
      <c r="BB423" s="322"/>
      <c r="BD423" s="322"/>
      <c r="BF423" s="322"/>
      <c r="BH423" s="322"/>
      <c r="BJ423" s="322"/>
      <c r="BL423" s="322"/>
      <c r="BN423" s="322"/>
    </row>
    <row r="424" spans="14:66">
      <c r="N424" s="322"/>
      <c r="P424" s="322"/>
      <c r="R424" s="322"/>
      <c r="T424" s="322"/>
      <c r="V424" s="322"/>
      <c r="X424" s="322"/>
      <c r="Z424" s="322"/>
      <c r="AB424" s="322"/>
      <c r="AD424" s="322"/>
      <c r="AF424" s="322"/>
      <c r="AH424" s="322"/>
      <c r="AJ424" s="322"/>
      <c r="AL424" s="322"/>
      <c r="AN424" s="322"/>
      <c r="AP424" s="322"/>
      <c r="AR424" s="322"/>
      <c r="AT424" s="322"/>
      <c r="AV424" s="322"/>
      <c r="AX424" s="322"/>
      <c r="AZ424" s="322"/>
      <c r="BB424" s="322"/>
      <c r="BD424" s="322"/>
      <c r="BF424" s="322"/>
      <c r="BH424" s="322"/>
      <c r="BJ424" s="322"/>
      <c r="BL424" s="322"/>
      <c r="BN424" s="322"/>
    </row>
    <row r="425" spans="14:66">
      <c r="N425" s="322"/>
      <c r="P425" s="322"/>
      <c r="R425" s="322"/>
      <c r="T425" s="322"/>
      <c r="V425" s="322"/>
      <c r="X425" s="322"/>
      <c r="Z425" s="322"/>
      <c r="AB425" s="322"/>
      <c r="AD425" s="322"/>
      <c r="AF425" s="322"/>
      <c r="AH425" s="322"/>
      <c r="AJ425" s="322"/>
      <c r="AL425" s="322"/>
      <c r="AN425" s="322"/>
      <c r="AP425" s="322"/>
      <c r="AR425" s="322"/>
      <c r="AT425" s="322"/>
      <c r="AV425" s="322"/>
      <c r="AX425" s="322"/>
      <c r="AZ425" s="322"/>
      <c r="BB425" s="322"/>
      <c r="BD425" s="322"/>
      <c r="BF425" s="322"/>
      <c r="BH425" s="322"/>
      <c r="BJ425" s="322"/>
      <c r="BL425" s="322"/>
      <c r="BN425" s="322"/>
    </row>
    <row r="426" spans="14:66">
      <c r="N426" s="322"/>
      <c r="P426" s="322"/>
      <c r="R426" s="322"/>
      <c r="T426" s="322"/>
      <c r="V426" s="322"/>
      <c r="X426" s="322"/>
      <c r="Z426" s="322"/>
      <c r="AB426" s="322"/>
      <c r="AD426" s="322"/>
      <c r="AF426" s="322"/>
      <c r="AH426" s="322"/>
      <c r="AJ426" s="322"/>
      <c r="AL426" s="322"/>
      <c r="AN426" s="322"/>
      <c r="AP426" s="322"/>
      <c r="AR426" s="322"/>
      <c r="AT426" s="322"/>
      <c r="AV426" s="322"/>
      <c r="AX426" s="322"/>
      <c r="AZ426" s="322"/>
      <c r="BB426" s="322"/>
      <c r="BD426" s="322"/>
      <c r="BF426" s="322"/>
      <c r="BH426" s="322"/>
      <c r="BJ426" s="322"/>
      <c r="BL426" s="322"/>
      <c r="BN426" s="322"/>
    </row>
    <row r="427" spans="14:66">
      <c r="N427" s="322"/>
      <c r="P427" s="322"/>
      <c r="R427" s="322"/>
      <c r="T427" s="322"/>
      <c r="V427" s="322"/>
      <c r="X427" s="322"/>
      <c r="Z427" s="322"/>
      <c r="AB427" s="322"/>
      <c r="AD427" s="322"/>
      <c r="AF427" s="322"/>
      <c r="AH427" s="322"/>
      <c r="AJ427" s="322"/>
      <c r="AL427" s="322"/>
      <c r="AN427" s="322"/>
      <c r="AP427" s="322"/>
      <c r="AR427" s="322"/>
      <c r="AT427" s="322"/>
      <c r="AV427" s="322"/>
      <c r="AX427" s="322"/>
      <c r="AZ427" s="322"/>
      <c r="BB427" s="322"/>
      <c r="BD427" s="322"/>
      <c r="BF427" s="322"/>
      <c r="BH427" s="322"/>
      <c r="BJ427" s="322"/>
      <c r="BL427" s="322"/>
      <c r="BN427" s="322"/>
    </row>
    <row r="428" spans="14:66">
      <c r="N428" s="322"/>
      <c r="P428" s="322"/>
      <c r="R428" s="322"/>
      <c r="T428" s="322"/>
      <c r="V428" s="322"/>
      <c r="X428" s="322"/>
      <c r="Z428" s="322"/>
      <c r="AB428" s="322"/>
      <c r="AD428" s="322"/>
      <c r="AF428" s="322"/>
      <c r="AH428" s="322"/>
      <c r="AJ428" s="322"/>
      <c r="AL428" s="322"/>
      <c r="AN428" s="322"/>
      <c r="AP428" s="322"/>
      <c r="AR428" s="322"/>
      <c r="AT428" s="322"/>
      <c r="AV428" s="322"/>
      <c r="AX428" s="322"/>
      <c r="AZ428" s="322"/>
      <c r="BB428" s="322"/>
      <c r="BD428" s="322"/>
      <c r="BF428" s="322"/>
      <c r="BH428" s="322"/>
      <c r="BJ428" s="322"/>
      <c r="BL428" s="322"/>
      <c r="BN428" s="322"/>
    </row>
    <row r="429" spans="14:66">
      <c r="N429" s="322"/>
      <c r="P429" s="322"/>
      <c r="R429" s="322"/>
      <c r="T429" s="322"/>
      <c r="V429" s="322"/>
      <c r="X429" s="322"/>
      <c r="Z429" s="322"/>
      <c r="AB429" s="322"/>
      <c r="AD429" s="322"/>
      <c r="AF429" s="322"/>
      <c r="AH429" s="322"/>
      <c r="AJ429" s="322"/>
      <c r="AL429" s="322"/>
      <c r="AN429" s="322"/>
      <c r="AP429" s="322"/>
      <c r="AR429" s="322"/>
      <c r="AT429" s="322"/>
      <c r="AV429" s="322"/>
      <c r="AX429" s="322"/>
      <c r="AZ429" s="322"/>
      <c r="BB429" s="322"/>
      <c r="BD429" s="322"/>
      <c r="BF429" s="322"/>
      <c r="BH429" s="322"/>
      <c r="BJ429" s="322"/>
      <c r="BL429" s="322"/>
      <c r="BN429" s="322"/>
    </row>
    <row r="430" spans="14:66">
      <c r="N430" s="322"/>
      <c r="P430" s="322"/>
      <c r="R430" s="322"/>
      <c r="T430" s="322"/>
      <c r="V430" s="322"/>
      <c r="X430" s="322"/>
      <c r="Z430" s="322"/>
      <c r="AB430" s="322"/>
      <c r="AD430" s="322"/>
      <c r="AF430" s="322"/>
      <c r="AH430" s="322"/>
      <c r="AJ430" s="322"/>
      <c r="AL430" s="322"/>
      <c r="AN430" s="322"/>
      <c r="AP430" s="322"/>
      <c r="AR430" s="322"/>
      <c r="AT430" s="322"/>
      <c r="AV430" s="322"/>
      <c r="AX430" s="322"/>
      <c r="AZ430" s="322"/>
      <c r="BB430" s="322"/>
      <c r="BD430" s="322"/>
      <c r="BF430" s="322"/>
      <c r="BH430" s="322"/>
      <c r="BJ430" s="322"/>
      <c r="BL430" s="322"/>
      <c r="BN430" s="322"/>
    </row>
    <row r="431" spans="14:66">
      <c r="N431" s="322"/>
      <c r="P431" s="322"/>
      <c r="R431" s="322"/>
      <c r="T431" s="322"/>
      <c r="V431" s="322"/>
      <c r="X431" s="322"/>
      <c r="Z431" s="322"/>
      <c r="AB431" s="322"/>
      <c r="AD431" s="322"/>
      <c r="AF431" s="322"/>
      <c r="AH431" s="322"/>
      <c r="AJ431" s="322"/>
      <c r="AL431" s="322"/>
      <c r="AN431" s="322"/>
      <c r="AP431" s="322"/>
      <c r="AR431" s="322"/>
      <c r="AT431" s="322"/>
      <c r="AV431" s="322"/>
      <c r="AX431" s="322"/>
      <c r="AZ431" s="322"/>
      <c r="BB431" s="322"/>
      <c r="BD431" s="322"/>
      <c r="BF431" s="322"/>
      <c r="BH431" s="322"/>
      <c r="BJ431" s="322"/>
      <c r="BL431" s="322"/>
      <c r="BN431" s="322"/>
    </row>
    <row r="432" spans="14:66">
      <c r="N432" s="322"/>
      <c r="P432" s="322"/>
      <c r="R432" s="322"/>
      <c r="T432" s="322"/>
      <c r="V432" s="322"/>
      <c r="X432" s="322"/>
      <c r="Z432" s="322"/>
      <c r="AB432" s="322"/>
      <c r="AD432" s="322"/>
      <c r="AF432" s="322"/>
      <c r="AH432" s="322"/>
      <c r="AJ432" s="322"/>
      <c r="AL432" s="322"/>
      <c r="AN432" s="322"/>
      <c r="AP432" s="322"/>
      <c r="AR432" s="322"/>
      <c r="AT432" s="322"/>
      <c r="AV432" s="322"/>
      <c r="AX432" s="322"/>
      <c r="AZ432" s="322"/>
      <c r="BB432" s="322"/>
      <c r="BD432" s="322"/>
      <c r="BF432" s="322"/>
      <c r="BH432" s="322"/>
      <c r="BJ432" s="322"/>
      <c r="BL432" s="322"/>
      <c r="BN432" s="322"/>
    </row>
    <row r="433" spans="14:66">
      <c r="N433" s="322"/>
      <c r="P433" s="322"/>
      <c r="R433" s="322"/>
      <c r="T433" s="322"/>
      <c r="V433" s="322"/>
      <c r="X433" s="322"/>
      <c r="Z433" s="322"/>
      <c r="AB433" s="322"/>
      <c r="AD433" s="322"/>
      <c r="AF433" s="322"/>
      <c r="AH433" s="322"/>
      <c r="AJ433" s="322"/>
      <c r="AL433" s="322"/>
      <c r="AN433" s="322"/>
      <c r="AP433" s="322"/>
      <c r="AR433" s="322"/>
      <c r="AT433" s="322"/>
      <c r="AV433" s="322"/>
      <c r="AX433" s="322"/>
      <c r="AZ433" s="322"/>
      <c r="BB433" s="322"/>
      <c r="BD433" s="322"/>
      <c r="BF433" s="322"/>
      <c r="BH433" s="322"/>
      <c r="BJ433" s="322"/>
      <c r="BL433" s="322"/>
      <c r="BN433" s="322"/>
    </row>
    <row r="434" spans="14:66">
      <c r="N434" s="322"/>
      <c r="P434" s="322"/>
      <c r="R434" s="322"/>
      <c r="T434" s="322"/>
      <c r="V434" s="322"/>
      <c r="X434" s="322"/>
      <c r="Z434" s="322"/>
      <c r="AB434" s="322"/>
      <c r="AD434" s="322"/>
      <c r="AF434" s="322"/>
      <c r="AH434" s="322"/>
      <c r="AJ434" s="322"/>
      <c r="AL434" s="322"/>
      <c r="AN434" s="322"/>
      <c r="AP434" s="322"/>
      <c r="AR434" s="322"/>
      <c r="AT434" s="322"/>
      <c r="AV434" s="322"/>
      <c r="AX434" s="322"/>
      <c r="AZ434" s="322"/>
      <c r="BB434" s="322"/>
      <c r="BD434" s="322"/>
      <c r="BF434" s="322"/>
      <c r="BH434" s="322"/>
      <c r="BJ434" s="322"/>
      <c r="BL434" s="322"/>
      <c r="BN434" s="322"/>
    </row>
    <row r="435" spans="14:66">
      <c r="N435" s="322"/>
      <c r="P435" s="322"/>
      <c r="R435" s="322"/>
      <c r="T435" s="322"/>
      <c r="V435" s="322"/>
      <c r="X435" s="322"/>
      <c r="Z435" s="322"/>
      <c r="AB435" s="322"/>
      <c r="AD435" s="322"/>
      <c r="AF435" s="322"/>
      <c r="AH435" s="322"/>
      <c r="AJ435" s="322"/>
      <c r="AL435" s="322"/>
      <c r="AN435" s="322"/>
      <c r="AP435" s="322"/>
      <c r="AR435" s="322"/>
      <c r="AT435" s="322"/>
      <c r="AV435" s="322"/>
      <c r="AX435" s="322"/>
      <c r="AZ435" s="322"/>
      <c r="BB435" s="322"/>
      <c r="BD435" s="322"/>
      <c r="BF435" s="322"/>
      <c r="BH435" s="322"/>
      <c r="BJ435" s="322"/>
      <c r="BL435" s="322"/>
      <c r="BN435" s="322"/>
    </row>
    <row r="436" spans="14:66">
      <c r="N436" s="322"/>
      <c r="P436" s="322"/>
      <c r="R436" s="322"/>
      <c r="T436" s="322"/>
      <c r="V436" s="322"/>
      <c r="X436" s="322"/>
      <c r="Z436" s="322"/>
      <c r="AB436" s="322"/>
      <c r="AD436" s="322"/>
      <c r="AF436" s="322"/>
      <c r="AH436" s="322"/>
      <c r="AJ436" s="322"/>
      <c r="AL436" s="322"/>
      <c r="AN436" s="322"/>
      <c r="AP436" s="322"/>
      <c r="AR436" s="322"/>
      <c r="AT436" s="322"/>
      <c r="AV436" s="322"/>
      <c r="AX436" s="322"/>
      <c r="AZ436" s="322"/>
      <c r="BB436" s="322"/>
      <c r="BD436" s="322"/>
      <c r="BF436" s="322"/>
      <c r="BH436" s="322"/>
      <c r="BJ436" s="322"/>
      <c r="BL436" s="322"/>
      <c r="BN436" s="322"/>
    </row>
    <row r="437" spans="14:66">
      <c r="N437" s="322"/>
      <c r="P437" s="322"/>
      <c r="R437" s="322"/>
      <c r="T437" s="322"/>
      <c r="V437" s="322"/>
      <c r="X437" s="322"/>
      <c r="Z437" s="322"/>
      <c r="AB437" s="322"/>
      <c r="AD437" s="322"/>
      <c r="AF437" s="322"/>
      <c r="AH437" s="322"/>
      <c r="AJ437" s="322"/>
      <c r="AL437" s="322"/>
      <c r="AN437" s="322"/>
      <c r="AP437" s="322"/>
      <c r="AR437" s="322"/>
      <c r="AT437" s="322"/>
      <c r="AV437" s="322"/>
      <c r="AX437" s="322"/>
      <c r="AZ437" s="322"/>
      <c r="BB437" s="322"/>
      <c r="BD437" s="322"/>
      <c r="BF437" s="322"/>
      <c r="BH437" s="322"/>
      <c r="BJ437" s="322"/>
      <c r="BL437" s="322"/>
      <c r="BN437" s="322"/>
    </row>
    <row r="438" spans="14:66">
      <c r="N438" s="322"/>
      <c r="P438" s="322"/>
      <c r="R438" s="322"/>
      <c r="T438" s="322"/>
      <c r="V438" s="322"/>
      <c r="X438" s="322"/>
      <c r="Z438" s="322"/>
      <c r="AB438" s="322"/>
      <c r="AD438" s="322"/>
      <c r="AF438" s="322"/>
      <c r="AH438" s="322"/>
      <c r="AJ438" s="322"/>
      <c r="AL438" s="322"/>
      <c r="AN438" s="322"/>
      <c r="AP438" s="322"/>
      <c r="AR438" s="322"/>
      <c r="AT438" s="322"/>
      <c r="AV438" s="322"/>
      <c r="AX438" s="322"/>
      <c r="AZ438" s="322"/>
      <c r="BB438" s="322"/>
      <c r="BD438" s="322"/>
      <c r="BF438" s="322"/>
      <c r="BH438" s="322"/>
      <c r="BJ438" s="322"/>
      <c r="BL438" s="322"/>
      <c r="BN438" s="322"/>
    </row>
    <row r="439" spans="14:66">
      <c r="N439" s="322"/>
      <c r="P439" s="322"/>
      <c r="R439" s="322"/>
      <c r="T439" s="322"/>
      <c r="V439" s="322"/>
      <c r="X439" s="322"/>
      <c r="Z439" s="322"/>
      <c r="AB439" s="322"/>
      <c r="AD439" s="322"/>
      <c r="AF439" s="322"/>
      <c r="AH439" s="322"/>
      <c r="AJ439" s="322"/>
      <c r="AL439" s="322"/>
      <c r="AN439" s="322"/>
      <c r="AP439" s="322"/>
      <c r="AR439" s="322"/>
      <c r="AT439" s="322"/>
      <c r="AV439" s="322"/>
      <c r="AX439" s="322"/>
      <c r="AZ439" s="322"/>
      <c r="BB439" s="322"/>
      <c r="BD439" s="322"/>
      <c r="BF439" s="322"/>
      <c r="BH439" s="322"/>
      <c r="BJ439" s="322"/>
      <c r="BL439" s="322"/>
      <c r="BN439" s="322"/>
    </row>
    <row r="440" spans="14:66">
      <c r="N440" s="322"/>
      <c r="P440" s="322"/>
      <c r="R440" s="322"/>
      <c r="T440" s="322"/>
      <c r="V440" s="322"/>
      <c r="X440" s="322"/>
      <c r="Z440" s="322"/>
      <c r="AB440" s="322"/>
      <c r="AD440" s="322"/>
      <c r="AF440" s="322"/>
      <c r="AH440" s="322"/>
      <c r="AJ440" s="322"/>
      <c r="AL440" s="322"/>
      <c r="AN440" s="322"/>
      <c r="AP440" s="322"/>
      <c r="AR440" s="322"/>
      <c r="AT440" s="322"/>
      <c r="AV440" s="322"/>
      <c r="AX440" s="322"/>
      <c r="AZ440" s="322"/>
      <c r="BB440" s="322"/>
      <c r="BD440" s="322"/>
      <c r="BF440" s="322"/>
      <c r="BH440" s="322"/>
      <c r="BJ440" s="322"/>
      <c r="BL440" s="322"/>
      <c r="BN440" s="322"/>
    </row>
    <row r="441" spans="14:66">
      <c r="N441" s="322"/>
      <c r="P441" s="322"/>
      <c r="R441" s="322"/>
      <c r="T441" s="322"/>
      <c r="V441" s="322"/>
      <c r="X441" s="322"/>
      <c r="Z441" s="322"/>
      <c r="AB441" s="322"/>
      <c r="AD441" s="322"/>
      <c r="AF441" s="322"/>
      <c r="AH441" s="322"/>
      <c r="AJ441" s="322"/>
      <c r="AL441" s="322"/>
      <c r="AN441" s="322"/>
      <c r="AP441" s="322"/>
      <c r="AR441" s="322"/>
      <c r="AT441" s="322"/>
      <c r="AV441" s="322"/>
      <c r="AX441" s="322"/>
      <c r="AZ441" s="322"/>
      <c r="BB441" s="322"/>
      <c r="BD441" s="322"/>
      <c r="BF441" s="322"/>
      <c r="BH441" s="322"/>
      <c r="BJ441" s="322"/>
      <c r="BL441" s="322"/>
      <c r="BN441" s="322"/>
    </row>
    <row r="442" spans="14:66">
      <c r="N442" s="322"/>
      <c r="P442" s="322"/>
      <c r="R442" s="322"/>
      <c r="T442" s="322"/>
      <c r="V442" s="322"/>
      <c r="X442" s="322"/>
      <c r="Z442" s="322"/>
      <c r="AB442" s="322"/>
      <c r="AD442" s="322"/>
      <c r="AF442" s="322"/>
      <c r="AH442" s="322"/>
      <c r="AJ442" s="322"/>
      <c r="AL442" s="322"/>
      <c r="AN442" s="322"/>
      <c r="AP442" s="322"/>
      <c r="AR442" s="322"/>
      <c r="AT442" s="322"/>
      <c r="AV442" s="322"/>
      <c r="AX442" s="322"/>
      <c r="AZ442" s="322"/>
      <c r="BB442" s="322"/>
      <c r="BD442" s="322"/>
      <c r="BF442" s="322"/>
      <c r="BH442" s="322"/>
      <c r="BJ442" s="322"/>
      <c r="BL442" s="322"/>
      <c r="BN442" s="322"/>
    </row>
    <row r="443" spans="14:66">
      <c r="N443" s="322"/>
      <c r="P443" s="322"/>
      <c r="R443" s="322"/>
      <c r="T443" s="322"/>
      <c r="V443" s="322"/>
      <c r="X443" s="322"/>
      <c r="Z443" s="322"/>
      <c r="AB443" s="322"/>
      <c r="AD443" s="322"/>
      <c r="AF443" s="322"/>
      <c r="AH443" s="322"/>
      <c r="AJ443" s="322"/>
      <c r="AL443" s="322"/>
      <c r="AN443" s="322"/>
      <c r="AP443" s="322"/>
      <c r="AR443" s="322"/>
      <c r="AT443" s="322"/>
      <c r="AV443" s="322"/>
      <c r="AX443" s="322"/>
      <c r="AZ443" s="322"/>
      <c r="BB443" s="322"/>
      <c r="BD443" s="322"/>
      <c r="BF443" s="322"/>
      <c r="BH443" s="322"/>
      <c r="BJ443" s="322"/>
      <c r="BL443" s="322"/>
      <c r="BN443" s="322"/>
    </row>
    <row r="444" spans="14:66">
      <c r="N444" s="322"/>
      <c r="P444" s="322"/>
      <c r="R444" s="322"/>
      <c r="T444" s="322"/>
      <c r="V444" s="322"/>
      <c r="X444" s="322"/>
      <c r="Z444" s="322"/>
      <c r="AB444" s="322"/>
      <c r="AD444" s="322"/>
      <c r="AF444" s="322"/>
      <c r="AH444" s="322"/>
      <c r="AJ444" s="322"/>
      <c r="AL444" s="322"/>
      <c r="AN444" s="322"/>
      <c r="AP444" s="322"/>
      <c r="AR444" s="322"/>
      <c r="AT444" s="322"/>
      <c r="AV444" s="322"/>
      <c r="AX444" s="322"/>
      <c r="AZ444" s="322"/>
      <c r="BB444" s="322"/>
      <c r="BD444" s="322"/>
      <c r="BF444" s="322"/>
      <c r="BH444" s="322"/>
      <c r="BJ444" s="322"/>
      <c r="BL444" s="322"/>
      <c r="BN444" s="322"/>
    </row>
    <row r="445" spans="14:66">
      <c r="N445" s="322"/>
      <c r="P445" s="322"/>
      <c r="R445" s="322"/>
      <c r="T445" s="322"/>
      <c r="V445" s="322"/>
      <c r="X445" s="322"/>
      <c r="Z445" s="322"/>
      <c r="AB445" s="322"/>
      <c r="AD445" s="322"/>
      <c r="AF445" s="322"/>
      <c r="AH445" s="322"/>
      <c r="AJ445" s="322"/>
      <c r="AL445" s="322"/>
      <c r="AN445" s="322"/>
      <c r="AP445" s="322"/>
      <c r="AR445" s="322"/>
      <c r="AT445" s="322"/>
      <c r="AV445" s="322"/>
      <c r="AX445" s="322"/>
      <c r="AZ445" s="322"/>
      <c r="BB445" s="322"/>
      <c r="BD445" s="322"/>
      <c r="BF445" s="322"/>
      <c r="BH445" s="322"/>
      <c r="BJ445" s="322"/>
      <c r="BL445" s="322"/>
      <c r="BN445" s="322"/>
    </row>
    <row r="446" spans="14:66">
      <c r="N446" s="322"/>
      <c r="P446" s="322"/>
      <c r="R446" s="322"/>
      <c r="T446" s="322"/>
      <c r="V446" s="322"/>
      <c r="X446" s="322"/>
      <c r="Z446" s="322"/>
      <c r="AB446" s="322"/>
      <c r="AD446" s="322"/>
      <c r="AF446" s="322"/>
      <c r="AH446" s="322"/>
      <c r="AJ446" s="322"/>
      <c r="AL446" s="322"/>
      <c r="AN446" s="322"/>
      <c r="AP446" s="322"/>
      <c r="AR446" s="322"/>
      <c r="AT446" s="322"/>
      <c r="AV446" s="322"/>
      <c r="AX446" s="322"/>
      <c r="AZ446" s="322"/>
      <c r="BB446" s="322"/>
      <c r="BD446" s="322"/>
      <c r="BF446" s="322"/>
      <c r="BH446" s="322"/>
      <c r="BJ446" s="322"/>
      <c r="BL446" s="322"/>
      <c r="BN446" s="322"/>
    </row>
    <row r="447" spans="14:66">
      <c r="N447" s="322"/>
      <c r="P447" s="322"/>
      <c r="R447" s="322"/>
      <c r="T447" s="322"/>
      <c r="V447" s="322"/>
      <c r="X447" s="322"/>
      <c r="Z447" s="322"/>
      <c r="AB447" s="322"/>
      <c r="AD447" s="322"/>
      <c r="AF447" s="322"/>
      <c r="AH447" s="322"/>
      <c r="AJ447" s="322"/>
      <c r="AL447" s="322"/>
      <c r="AN447" s="322"/>
      <c r="AP447" s="322"/>
      <c r="AR447" s="322"/>
      <c r="AT447" s="322"/>
      <c r="AV447" s="322"/>
      <c r="AX447" s="322"/>
      <c r="AZ447" s="322"/>
      <c r="BB447" s="322"/>
      <c r="BD447" s="322"/>
      <c r="BF447" s="322"/>
      <c r="BH447" s="322"/>
      <c r="BJ447" s="322"/>
      <c r="BL447" s="322"/>
      <c r="BN447" s="322"/>
    </row>
    <row r="448" spans="14:66">
      <c r="N448" s="322"/>
      <c r="P448" s="322"/>
      <c r="R448" s="322"/>
      <c r="T448" s="322"/>
      <c r="V448" s="322"/>
      <c r="X448" s="322"/>
      <c r="Z448" s="322"/>
      <c r="AB448" s="322"/>
      <c r="AD448" s="322"/>
      <c r="AF448" s="322"/>
      <c r="AH448" s="322"/>
      <c r="AJ448" s="322"/>
      <c r="AL448" s="322"/>
      <c r="AN448" s="322"/>
      <c r="AP448" s="322"/>
      <c r="AR448" s="322"/>
      <c r="AT448" s="322"/>
      <c r="AV448" s="322"/>
      <c r="AX448" s="322"/>
      <c r="AZ448" s="322"/>
      <c r="BB448" s="322"/>
      <c r="BD448" s="322"/>
      <c r="BF448" s="322"/>
      <c r="BH448" s="322"/>
      <c r="BJ448" s="322"/>
      <c r="BL448" s="322"/>
      <c r="BN448" s="322"/>
    </row>
    <row r="449" spans="14:66">
      <c r="N449" s="322"/>
      <c r="P449" s="322"/>
      <c r="R449" s="322"/>
      <c r="T449" s="322"/>
      <c r="V449" s="322"/>
      <c r="X449" s="322"/>
      <c r="Z449" s="322"/>
      <c r="AB449" s="322"/>
      <c r="AD449" s="322"/>
      <c r="AF449" s="322"/>
      <c r="AH449" s="322"/>
      <c r="AJ449" s="322"/>
      <c r="AL449" s="322"/>
      <c r="AN449" s="322"/>
      <c r="AP449" s="322"/>
      <c r="AR449" s="322"/>
      <c r="AT449" s="322"/>
      <c r="AV449" s="322"/>
      <c r="AX449" s="322"/>
      <c r="AZ449" s="322"/>
      <c r="BB449" s="322"/>
      <c r="BD449" s="322"/>
      <c r="BF449" s="322"/>
      <c r="BH449" s="322"/>
      <c r="BJ449" s="322"/>
      <c r="BL449" s="322"/>
      <c r="BN449" s="322"/>
    </row>
    <row r="450" spans="14:66">
      <c r="N450" s="322"/>
      <c r="P450" s="322"/>
      <c r="R450" s="322"/>
      <c r="T450" s="322"/>
      <c r="V450" s="322"/>
      <c r="X450" s="322"/>
      <c r="Z450" s="322"/>
      <c r="AB450" s="322"/>
      <c r="AD450" s="322"/>
      <c r="AF450" s="322"/>
      <c r="AH450" s="322"/>
      <c r="AJ450" s="322"/>
      <c r="AL450" s="322"/>
      <c r="AN450" s="322"/>
      <c r="AP450" s="322"/>
      <c r="AR450" s="322"/>
      <c r="AT450" s="322"/>
      <c r="AV450" s="322"/>
      <c r="AX450" s="322"/>
      <c r="AZ450" s="322"/>
      <c r="BB450" s="322"/>
      <c r="BD450" s="322"/>
      <c r="BF450" s="322"/>
      <c r="BH450" s="322"/>
      <c r="BJ450" s="322"/>
      <c r="BL450" s="322"/>
      <c r="BN450" s="322"/>
    </row>
    <row r="451" spans="14:66">
      <c r="N451" s="322"/>
      <c r="P451" s="322"/>
      <c r="R451" s="322"/>
      <c r="T451" s="322"/>
      <c r="V451" s="322"/>
      <c r="X451" s="322"/>
      <c r="Z451" s="322"/>
      <c r="AB451" s="322"/>
      <c r="AD451" s="322"/>
      <c r="AF451" s="322"/>
      <c r="AH451" s="322"/>
      <c r="AJ451" s="322"/>
      <c r="AL451" s="322"/>
      <c r="AN451" s="322"/>
      <c r="AP451" s="322"/>
      <c r="AR451" s="322"/>
      <c r="AT451" s="322"/>
      <c r="AV451" s="322"/>
      <c r="AX451" s="322"/>
      <c r="AZ451" s="322"/>
      <c r="BB451" s="322"/>
      <c r="BD451" s="322"/>
      <c r="BF451" s="322"/>
      <c r="BH451" s="322"/>
      <c r="BJ451" s="322"/>
      <c r="BL451" s="322"/>
      <c r="BN451" s="322"/>
    </row>
    <row r="452" spans="14:66">
      <c r="N452" s="322"/>
      <c r="P452" s="322"/>
      <c r="R452" s="322"/>
      <c r="T452" s="322"/>
      <c r="V452" s="322"/>
      <c r="X452" s="322"/>
      <c r="Z452" s="322"/>
      <c r="AB452" s="322"/>
      <c r="AD452" s="322"/>
      <c r="AF452" s="322"/>
      <c r="AH452" s="322"/>
      <c r="AJ452" s="322"/>
      <c r="AL452" s="322"/>
      <c r="AN452" s="322"/>
      <c r="AP452" s="322"/>
      <c r="AR452" s="322"/>
      <c r="AT452" s="322"/>
      <c r="AV452" s="322"/>
      <c r="AX452" s="322"/>
      <c r="AZ452" s="322"/>
      <c r="BB452" s="322"/>
      <c r="BD452" s="322"/>
      <c r="BF452" s="322"/>
      <c r="BH452" s="322"/>
      <c r="BJ452" s="322"/>
      <c r="BL452" s="322"/>
      <c r="BN452" s="322"/>
    </row>
    <row r="453" spans="14:66">
      <c r="N453" s="322"/>
      <c r="P453" s="322"/>
      <c r="R453" s="322"/>
      <c r="T453" s="322"/>
      <c r="V453" s="322"/>
      <c r="X453" s="322"/>
      <c r="Z453" s="322"/>
      <c r="AB453" s="322"/>
      <c r="AD453" s="322"/>
      <c r="AF453" s="322"/>
      <c r="AH453" s="322"/>
      <c r="AJ453" s="322"/>
      <c r="AL453" s="322"/>
      <c r="AN453" s="322"/>
      <c r="AP453" s="322"/>
      <c r="AR453" s="322"/>
      <c r="AT453" s="322"/>
      <c r="AV453" s="322"/>
      <c r="AX453" s="322"/>
      <c r="AZ453" s="322"/>
      <c r="BB453" s="322"/>
      <c r="BD453" s="322"/>
      <c r="BF453" s="322"/>
      <c r="BH453" s="322"/>
      <c r="BJ453" s="322"/>
      <c r="BL453" s="322"/>
      <c r="BN453" s="322"/>
    </row>
    <row r="454" spans="14:66">
      <c r="N454" s="322"/>
      <c r="P454" s="322"/>
      <c r="R454" s="322"/>
      <c r="T454" s="322"/>
      <c r="V454" s="322"/>
      <c r="X454" s="322"/>
      <c r="Z454" s="322"/>
      <c r="AB454" s="322"/>
      <c r="AD454" s="322"/>
      <c r="AF454" s="322"/>
      <c r="AH454" s="322"/>
      <c r="AJ454" s="322"/>
      <c r="AL454" s="322"/>
      <c r="AN454" s="322"/>
      <c r="AP454" s="322"/>
      <c r="AR454" s="322"/>
      <c r="AT454" s="322"/>
      <c r="AV454" s="322"/>
      <c r="AX454" s="322"/>
      <c r="AZ454" s="322"/>
      <c r="BB454" s="322"/>
      <c r="BD454" s="322"/>
      <c r="BF454" s="322"/>
      <c r="BH454" s="322"/>
      <c r="BJ454" s="322"/>
      <c r="BL454" s="322"/>
      <c r="BN454" s="322"/>
    </row>
    <row r="455" spans="14:66">
      <c r="N455" s="322"/>
      <c r="P455" s="322"/>
      <c r="R455" s="322"/>
      <c r="T455" s="322"/>
      <c r="V455" s="322"/>
      <c r="X455" s="322"/>
      <c r="Z455" s="322"/>
      <c r="AB455" s="322"/>
      <c r="AD455" s="322"/>
      <c r="AF455" s="322"/>
      <c r="AH455" s="322"/>
      <c r="AJ455" s="322"/>
      <c r="AL455" s="322"/>
      <c r="AN455" s="322"/>
      <c r="AP455" s="322"/>
      <c r="AR455" s="322"/>
      <c r="AT455" s="322"/>
      <c r="AV455" s="322"/>
      <c r="AX455" s="322"/>
      <c r="AZ455" s="322"/>
      <c r="BB455" s="322"/>
      <c r="BD455" s="322"/>
      <c r="BF455" s="322"/>
      <c r="BH455" s="322"/>
      <c r="BJ455" s="322"/>
      <c r="BL455" s="322"/>
      <c r="BN455" s="322"/>
    </row>
    <row r="456" spans="14:66">
      <c r="N456" s="322"/>
      <c r="P456" s="322"/>
      <c r="R456" s="322"/>
      <c r="T456" s="322"/>
      <c r="V456" s="322"/>
      <c r="X456" s="322"/>
      <c r="Z456" s="322"/>
      <c r="AB456" s="322"/>
      <c r="AD456" s="322"/>
      <c r="AF456" s="322"/>
      <c r="AH456" s="322"/>
      <c r="AJ456" s="322"/>
      <c r="AL456" s="322"/>
      <c r="AN456" s="322"/>
      <c r="AP456" s="322"/>
      <c r="AR456" s="322"/>
      <c r="AT456" s="322"/>
      <c r="AV456" s="322"/>
      <c r="AX456" s="322"/>
      <c r="AZ456" s="322"/>
      <c r="BB456" s="322"/>
      <c r="BD456" s="322"/>
      <c r="BF456" s="322"/>
      <c r="BH456" s="322"/>
      <c r="BJ456" s="322"/>
      <c r="BL456" s="322"/>
      <c r="BN456" s="322"/>
    </row>
    <row r="457" spans="14:66">
      <c r="N457" s="322"/>
      <c r="P457" s="322"/>
      <c r="R457" s="322"/>
      <c r="T457" s="322"/>
      <c r="V457" s="322"/>
      <c r="X457" s="322"/>
      <c r="Z457" s="322"/>
      <c r="AB457" s="322"/>
      <c r="AD457" s="322"/>
      <c r="AF457" s="322"/>
      <c r="AH457" s="322"/>
      <c r="AJ457" s="322"/>
      <c r="AL457" s="322"/>
      <c r="AN457" s="322"/>
      <c r="AP457" s="322"/>
      <c r="AR457" s="322"/>
      <c r="AT457" s="322"/>
      <c r="AV457" s="322"/>
      <c r="AX457" s="322"/>
      <c r="AZ457" s="322"/>
      <c r="BB457" s="322"/>
      <c r="BD457" s="322"/>
      <c r="BF457" s="322"/>
      <c r="BH457" s="322"/>
      <c r="BJ457" s="322"/>
      <c r="BL457" s="322"/>
      <c r="BN457" s="322"/>
    </row>
    <row r="458" spans="14:66">
      <c r="N458" s="322"/>
      <c r="P458" s="322"/>
      <c r="R458" s="322"/>
      <c r="T458" s="322"/>
      <c r="V458" s="322"/>
      <c r="X458" s="322"/>
      <c r="Z458" s="322"/>
      <c r="AB458" s="322"/>
      <c r="AD458" s="322"/>
      <c r="AF458" s="322"/>
      <c r="AH458" s="322"/>
      <c r="AJ458" s="322"/>
      <c r="AL458" s="322"/>
      <c r="AN458" s="322"/>
      <c r="AP458" s="322"/>
      <c r="AR458" s="322"/>
      <c r="AT458" s="322"/>
      <c r="AV458" s="322"/>
      <c r="AX458" s="322"/>
      <c r="AZ458" s="322"/>
      <c r="BB458" s="322"/>
      <c r="BD458" s="322"/>
      <c r="BF458" s="322"/>
      <c r="BH458" s="322"/>
      <c r="BJ458" s="322"/>
      <c r="BL458" s="322"/>
      <c r="BN458" s="322"/>
    </row>
    <row r="459" spans="14:66">
      <c r="N459" s="322"/>
      <c r="P459" s="322"/>
      <c r="R459" s="322"/>
      <c r="T459" s="322"/>
      <c r="V459" s="322"/>
      <c r="X459" s="322"/>
      <c r="Z459" s="322"/>
      <c r="AB459" s="322"/>
      <c r="AD459" s="322"/>
      <c r="AF459" s="322"/>
      <c r="AH459" s="322"/>
      <c r="AJ459" s="322"/>
      <c r="AL459" s="322"/>
      <c r="AN459" s="322"/>
      <c r="AP459" s="322"/>
      <c r="AR459" s="322"/>
      <c r="AT459" s="322"/>
      <c r="AV459" s="322"/>
      <c r="AX459" s="322"/>
      <c r="AZ459" s="322"/>
      <c r="BB459" s="322"/>
      <c r="BD459" s="322"/>
      <c r="BF459" s="322"/>
      <c r="BH459" s="322"/>
      <c r="BJ459" s="322"/>
      <c r="BL459" s="322"/>
      <c r="BN459" s="322"/>
    </row>
    <row r="460" spans="14:66">
      <c r="N460" s="322"/>
      <c r="P460" s="322"/>
      <c r="R460" s="322"/>
      <c r="T460" s="322"/>
      <c r="V460" s="322"/>
      <c r="X460" s="322"/>
      <c r="Z460" s="322"/>
      <c r="AB460" s="322"/>
      <c r="AD460" s="322"/>
      <c r="AF460" s="322"/>
      <c r="AH460" s="322"/>
      <c r="AJ460" s="322"/>
      <c r="AL460" s="322"/>
      <c r="AN460" s="322"/>
      <c r="AP460" s="322"/>
      <c r="AR460" s="322"/>
      <c r="AT460" s="322"/>
      <c r="AV460" s="322"/>
      <c r="AX460" s="322"/>
      <c r="AZ460" s="322"/>
      <c r="BB460" s="322"/>
      <c r="BD460" s="322"/>
      <c r="BF460" s="322"/>
      <c r="BH460" s="322"/>
      <c r="BJ460" s="322"/>
      <c r="BL460" s="322"/>
      <c r="BN460" s="322"/>
    </row>
    <row r="461" spans="14:66">
      <c r="N461" s="322"/>
      <c r="P461" s="322"/>
      <c r="R461" s="322"/>
      <c r="T461" s="322"/>
      <c r="V461" s="322"/>
      <c r="X461" s="322"/>
      <c r="Z461" s="322"/>
      <c r="AB461" s="322"/>
      <c r="AD461" s="322"/>
      <c r="AF461" s="322"/>
      <c r="AH461" s="322"/>
      <c r="AJ461" s="322"/>
      <c r="AL461" s="322"/>
      <c r="AN461" s="322"/>
      <c r="AP461" s="322"/>
      <c r="AR461" s="322"/>
      <c r="AT461" s="322"/>
      <c r="AV461" s="322"/>
      <c r="AX461" s="322"/>
      <c r="AZ461" s="322"/>
      <c r="BB461" s="322"/>
      <c r="BD461" s="322"/>
      <c r="BF461" s="322"/>
      <c r="BH461" s="322"/>
      <c r="BJ461" s="322"/>
      <c r="BL461" s="322"/>
      <c r="BN461" s="322"/>
    </row>
    <row r="462" spans="14:66">
      <c r="N462" s="322"/>
      <c r="P462" s="322"/>
      <c r="R462" s="322"/>
      <c r="T462" s="322"/>
      <c r="V462" s="322"/>
      <c r="X462" s="322"/>
      <c r="Z462" s="322"/>
      <c r="AB462" s="322"/>
      <c r="AD462" s="322"/>
      <c r="AF462" s="322"/>
      <c r="AH462" s="322"/>
      <c r="AJ462" s="322"/>
      <c r="AL462" s="322"/>
      <c r="AN462" s="322"/>
      <c r="AP462" s="322"/>
      <c r="AR462" s="322"/>
      <c r="AT462" s="322"/>
      <c r="AV462" s="322"/>
      <c r="AX462" s="322"/>
      <c r="AZ462" s="322"/>
      <c r="BB462" s="322"/>
      <c r="BD462" s="322"/>
      <c r="BF462" s="322"/>
      <c r="BH462" s="322"/>
      <c r="BJ462" s="322"/>
      <c r="BL462" s="322"/>
      <c r="BN462" s="322"/>
    </row>
    <row r="463" spans="14:66">
      <c r="N463" s="322"/>
      <c r="P463" s="322"/>
      <c r="R463" s="322"/>
      <c r="T463" s="322"/>
      <c r="V463" s="322"/>
      <c r="X463" s="322"/>
      <c r="Z463" s="322"/>
      <c r="AB463" s="322"/>
      <c r="AD463" s="322"/>
      <c r="AF463" s="322"/>
      <c r="AH463" s="322"/>
      <c r="AJ463" s="322"/>
      <c r="AL463" s="322"/>
      <c r="AN463" s="322"/>
      <c r="AP463" s="322"/>
      <c r="AR463" s="322"/>
      <c r="AT463" s="322"/>
      <c r="AV463" s="322"/>
      <c r="AX463" s="322"/>
      <c r="AZ463" s="322"/>
      <c r="BB463" s="322"/>
      <c r="BD463" s="322"/>
      <c r="BF463" s="322"/>
      <c r="BH463" s="322"/>
      <c r="BJ463" s="322"/>
      <c r="BL463" s="322"/>
      <c r="BN463" s="322"/>
    </row>
    <row r="464" spans="14:66">
      <c r="N464" s="322"/>
      <c r="P464" s="322"/>
      <c r="R464" s="322"/>
      <c r="T464" s="322"/>
      <c r="V464" s="322"/>
      <c r="X464" s="322"/>
      <c r="Z464" s="322"/>
      <c r="AB464" s="322"/>
      <c r="AD464" s="322"/>
      <c r="AF464" s="322"/>
      <c r="AH464" s="322"/>
      <c r="AJ464" s="322"/>
      <c r="AL464" s="322"/>
      <c r="AN464" s="322"/>
      <c r="AP464" s="322"/>
      <c r="AR464" s="322"/>
      <c r="AT464" s="322"/>
      <c r="AV464" s="322"/>
      <c r="AX464" s="322"/>
      <c r="AZ464" s="322"/>
      <c r="BB464" s="322"/>
      <c r="BD464" s="322"/>
      <c r="BF464" s="322"/>
      <c r="BH464" s="322"/>
      <c r="BJ464" s="322"/>
      <c r="BL464" s="322"/>
      <c r="BN464" s="322"/>
    </row>
    <row r="465" spans="14:66">
      <c r="N465" s="322"/>
      <c r="P465" s="322"/>
      <c r="R465" s="322"/>
      <c r="T465" s="322"/>
      <c r="V465" s="322"/>
      <c r="X465" s="322"/>
      <c r="Z465" s="322"/>
      <c r="AB465" s="322"/>
      <c r="AD465" s="322"/>
      <c r="AF465" s="322"/>
      <c r="AH465" s="322"/>
      <c r="AJ465" s="322"/>
      <c r="AL465" s="322"/>
      <c r="AN465" s="322"/>
      <c r="AP465" s="322"/>
      <c r="AR465" s="322"/>
      <c r="AT465" s="322"/>
      <c r="AV465" s="322"/>
      <c r="AX465" s="322"/>
      <c r="AZ465" s="322"/>
      <c r="BB465" s="322"/>
      <c r="BD465" s="322"/>
      <c r="BF465" s="322"/>
      <c r="BH465" s="322"/>
      <c r="BJ465" s="322"/>
      <c r="BL465" s="322"/>
      <c r="BN465" s="322"/>
    </row>
    <row r="466" spans="14:66">
      <c r="N466" s="322"/>
      <c r="P466" s="322"/>
      <c r="R466" s="322"/>
      <c r="T466" s="322"/>
      <c r="V466" s="322"/>
      <c r="X466" s="322"/>
      <c r="Z466" s="322"/>
      <c r="AB466" s="322"/>
      <c r="AD466" s="322"/>
      <c r="AF466" s="322"/>
      <c r="AH466" s="322"/>
      <c r="AJ466" s="322"/>
      <c r="AL466" s="322"/>
      <c r="AN466" s="322"/>
      <c r="AP466" s="322"/>
      <c r="AR466" s="322"/>
      <c r="AT466" s="322"/>
      <c r="AV466" s="322"/>
      <c r="AX466" s="322"/>
      <c r="AZ466" s="322"/>
      <c r="BB466" s="322"/>
      <c r="BD466" s="322"/>
      <c r="BF466" s="322"/>
      <c r="BH466" s="322"/>
      <c r="BJ466" s="322"/>
      <c r="BL466" s="322"/>
      <c r="BN466" s="322"/>
    </row>
    <row r="467" spans="14:66">
      <c r="N467" s="322"/>
      <c r="P467" s="322"/>
      <c r="R467" s="322"/>
      <c r="T467" s="322"/>
      <c r="V467" s="322"/>
      <c r="X467" s="322"/>
      <c r="Z467" s="322"/>
      <c r="AB467" s="322"/>
      <c r="AD467" s="322"/>
      <c r="AF467" s="322"/>
      <c r="AH467" s="322"/>
      <c r="AJ467" s="322"/>
      <c r="AL467" s="322"/>
      <c r="AN467" s="322"/>
      <c r="AP467" s="322"/>
      <c r="AR467" s="322"/>
      <c r="AT467" s="322"/>
      <c r="AV467" s="322"/>
      <c r="AX467" s="322"/>
      <c r="AZ467" s="322"/>
      <c r="BB467" s="322"/>
      <c r="BD467" s="322"/>
      <c r="BF467" s="322"/>
      <c r="BH467" s="322"/>
      <c r="BJ467" s="322"/>
      <c r="BL467" s="322"/>
      <c r="BN467" s="322"/>
    </row>
    <row r="468" spans="14:66">
      <c r="N468" s="322"/>
      <c r="P468" s="322"/>
      <c r="R468" s="322"/>
      <c r="T468" s="322"/>
      <c r="V468" s="322"/>
      <c r="X468" s="322"/>
      <c r="Z468" s="322"/>
      <c r="AB468" s="322"/>
      <c r="AD468" s="322"/>
      <c r="AF468" s="322"/>
      <c r="AH468" s="322"/>
      <c r="AJ468" s="322"/>
      <c r="AL468" s="322"/>
      <c r="AN468" s="322"/>
      <c r="AP468" s="322"/>
      <c r="AR468" s="322"/>
      <c r="AT468" s="322"/>
      <c r="AV468" s="322"/>
      <c r="AX468" s="322"/>
      <c r="AZ468" s="322"/>
      <c r="BB468" s="322"/>
      <c r="BD468" s="322"/>
      <c r="BF468" s="322"/>
      <c r="BH468" s="322"/>
      <c r="BJ468" s="322"/>
      <c r="BL468" s="322"/>
      <c r="BN468" s="322"/>
    </row>
    <row r="469" spans="14:66">
      <c r="N469" s="322"/>
      <c r="P469" s="322"/>
      <c r="R469" s="322"/>
      <c r="T469" s="322"/>
      <c r="V469" s="322"/>
      <c r="X469" s="322"/>
      <c r="Z469" s="322"/>
      <c r="AB469" s="322"/>
      <c r="AD469" s="322"/>
      <c r="AF469" s="322"/>
      <c r="AH469" s="322"/>
      <c r="AJ469" s="322"/>
      <c r="AL469" s="322"/>
      <c r="AN469" s="322"/>
      <c r="AP469" s="322"/>
      <c r="AR469" s="322"/>
      <c r="AT469" s="322"/>
      <c r="AV469" s="322"/>
      <c r="AX469" s="322"/>
      <c r="AZ469" s="322"/>
      <c r="BB469" s="322"/>
      <c r="BD469" s="322"/>
      <c r="BF469" s="322"/>
      <c r="BH469" s="322"/>
      <c r="BJ469" s="322"/>
      <c r="BL469" s="322"/>
      <c r="BN469" s="322"/>
    </row>
    <row r="470" spans="14:66">
      <c r="N470" s="322"/>
      <c r="P470" s="322"/>
      <c r="R470" s="322"/>
      <c r="T470" s="322"/>
      <c r="V470" s="322"/>
      <c r="X470" s="322"/>
      <c r="Z470" s="322"/>
      <c r="AB470" s="322"/>
      <c r="AD470" s="322"/>
      <c r="AF470" s="322"/>
      <c r="AH470" s="322"/>
      <c r="AJ470" s="322"/>
      <c r="AL470" s="322"/>
      <c r="AN470" s="322"/>
      <c r="AP470" s="322"/>
      <c r="AR470" s="322"/>
      <c r="AT470" s="322"/>
      <c r="AV470" s="322"/>
      <c r="AX470" s="322"/>
      <c r="AZ470" s="322"/>
      <c r="BB470" s="322"/>
      <c r="BD470" s="322"/>
      <c r="BF470" s="322"/>
      <c r="BH470" s="322"/>
      <c r="BJ470" s="322"/>
      <c r="BL470" s="322"/>
      <c r="BN470" s="322"/>
    </row>
    <row r="471" spans="14:66">
      <c r="N471" s="322"/>
      <c r="P471" s="322"/>
      <c r="R471" s="322"/>
      <c r="T471" s="322"/>
      <c r="V471" s="322"/>
      <c r="X471" s="322"/>
      <c r="Z471" s="322"/>
      <c r="AB471" s="322"/>
      <c r="AD471" s="322"/>
      <c r="AF471" s="322"/>
      <c r="AH471" s="322"/>
      <c r="AJ471" s="322"/>
      <c r="AL471" s="322"/>
      <c r="AN471" s="322"/>
      <c r="AP471" s="322"/>
      <c r="AR471" s="322"/>
      <c r="AT471" s="322"/>
      <c r="AV471" s="322"/>
      <c r="AX471" s="322"/>
      <c r="AZ471" s="322"/>
      <c r="BB471" s="322"/>
      <c r="BD471" s="322"/>
      <c r="BF471" s="322"/>
      <c r="BH471" s="322"/>
      <c r="BJ471" s="322"/>
      <c r="BL471" s="322"/>
      <c r="BN471" s="322"/>
    </row>
    <row r="472" spans="14:66">
      <c r="N472" s="322"/>
      <c r="P472" s="322"/>
      <c r="R472" s="322"/>
      <c r="T472" s="322"/>
      <c r="V472" s="322"/>
      <c r="X472" s="322"/>
      <c r="Z472" s="322"/>
      <c r="AB472" s="322"/>
      <c r="AD472" s="322"/>
      <c r="AF472" s="322"/>
      <c r="AH472" s="322"/>
      <c r="AJ472" s="322"/>
      <c r="AL472" s="322"/>
      <c r="AN472" s="322"/>
      <c r="AP472" s="322"/>
      <c r="AR472" s="322"/>
      <c r="AT472" s="322"/>
      <c r="AV472" s="322"/>
      <c r="AX472" s="322"/>
      <c r="AZ472" s="322"/>
      <c r="BB472" s="322"/>
      <c r="BD472" s="322"/>
      <c r="BF472" s="322"/>
      <c r="BH472" s="322"/>
      <c r="BJ472" s="322"/>
      <c r="BL472" s="322"/>
      <c r="BN472" s="322"/>
    </row>
    <row r="473" spans="14:66">
      <c r="N473" s="322"/>
      <c r="P473" s="322"/>
      <c r="R473" s="322"/>
      <c r="T473" s="322"/>
      <c r="V473" s="322"/>
      <c r="X473" s="322"/>
      <c r="Z473" s="322"/>
      <c r="AB473" s="322"/>
      <c r="AD473" s="322"/>
      <c r="AF473" s="322"/>
      <c r="AH473" s="322"/>
      <c r="AJ473" s="322"/>
      <c r="AL473" s="322"/>
      <c r="AN473" s="322"/>
      <c r="AP473" s="322"/>
      <c r="AR473" s="322"/>
      <c r="AT473" s="322"/>
      <c r="AV473" s="322"/>
      <c r="AX473" s="322"/>
      <c r="AZ473" s="322"/>
      <c r="BB473" s="322"/>
      <c r="BD473" s="322"/>
      <c r="BF473" s="322"/>
      <c r="BH473" s="322"/>
      <c r="BJ473" s="322"/>
      <c r="BL473" s="322"/>
      <c r="BN473" s="322"/>
    </row>
    <row r="474" spans="14:66">
      <c r="N474" s="322"/>
      <c r="P474" s="322"/>
      <c r="R474" s="322"/>
      <c r="T474" s="322"/>
      <c r="V474" s="322"/>
      <c r="X474" s="322"/>
      <c r="Z474" s="322"/>
      <c r="AB474" s="322"/>
      <c r="AD474" s="322"/>
      <c r="AF474" s="322"/>
      <c r="AH474" s="322"/>
      <c r="AJ474" s="322"/>
      <c r="AL474" s="322"/>
      <c r="AN474" s="322"/>
      <c r="AP474" s="322"/>
      <c r="AR474" s="322"/>
      <c r="AT474" s="322"/>
      <c r="AV474" s="322"/>
      <c r="AX474" s="322"/>
      <c r="AZ474" s="322"/>
      <c r="BB474" s="322"/>
      <c r="BD474" s="322"/>
      <c r="BF474" s="322"/>
      <c r="BH474" s="322"/>
      <c r="BJ474" s="322"/>
      <c r="BL474" s="322"/>
      <c r="BN474" s="322"/>
    </row>
    <row r="475" spans="14:66">
      <c r="N475" s="322"/>
      <c r="P475" s="322"/>
      <c r="R475" s="322"/>
      <c r="T475" s="322"/>
      <c r="V475" s="322"/>
      <c r="X475" s="322"/>
      <c r="Z475" s="322"/>
      <c r="AB475" s="322"/>
      <c r="AD475" s="322"/>
      <c r="AF475" s="322"/>
      <c r="AH475" s="322"/>
      <c r="AJ475" s="322"/>
      <c r="AL475" s="322"/>
      <c r="AN475" s="322"/>
      <c r="AP475" s="322"/>
      <c r="AR475" s="322"/>
      <c r="AT475" s="322"/>
      <c r="AV475" s="322"/>
      <c r="AX475" s="322"/>
      <c r="AZ475" s="322"/>
      <c r="BB475" s="322"/>
      <c r="BD475" s="322"/>
      <c r="BF475" s="322"/>
      <c r="BH475" s="322"/>
      <c r="BJ475" s="322"/>
      <c r="BL475" s="322"/>
      <c r="BN475" s="322"/>
    </row>
    <row r="476" spans="14:66">
      <c r="N476" s="322"/>
      <c r="P476" s="322"/>
      <c r="R476" s="322"/>
      <c r="T476" s="322"/>
      <c r="V476" s="322"/>
      <c r="X476" s="322"/>
      <c r="Z476" s="322"/>
      <c r="AB476" s="322"/>
      <c r="AD476" s="322"/>
      <c r="AF476" s="322"/>
      <c r="AH476" s="322"/>
      <c r="AJ476" s="322"/>
      <c r="AL476" s="322"/>
      <c r="AN476" s="322"/>
      <c r="AP476" s="322"/>
      <c r="AR476" s="322"/>
      <c r="AT476" s="322"/>
      <c r="AV476" s="322"/>
      <c r="AX476" s="322"/>
      <c r="AZ476" s="322"/>
      <c r="BB476" s="322"/>
      <c r="BD476" s="322"/>
      <c r="BF476" s="322"/>
      <c r="BH476" s="322"/>
      <c r="BJ476" s="322"/>
      <c r="BL476" s="322"/>
      <c r="BN476" s="322"/>
    </row>
    <row r="477" spans="14:66">
      <c r="N477" s="322"/>
      <c r="P477" s="322"/>
      <c r="R477" s="322"/>
      <c r="T477" s="322"/>
      <c r="V477" s="322"/>
      <c r="X477" s="322"/>
      <c r="Z477" s="322"/>
      <c r="AB477" s="322"/>
      <c r="AD477" s="322"/>
      <c r="AF477" s="322"/>
      <c r="AH477" s="322"/>
      <c r="AJ477" s="322"/>
      <c r="AL477" s="322"/>
      <c r="AN477" s="322"/>
      <c r="AP477" s="322"/>
      <c r="AR477" s="322"/>
      <c r="AT477" s="322"/>
      <c r="AV477" s="322"/>
      <c r="AX477" s="322"/>
      <c r="AZ477" s="322"/>
      <c r="BB477" s="322"/>
      <c r="BD477" s="322"/>
      <c r="BF477" s="322"/>
      <c r="BH477" s="322"/>
      <c r="BJ477" s="322"/>
      <c r="BL477" s="322"/>
      <c r="BN477" s="322"/>
    </row>
    <row r="478" spans="14:66">
      <c r="N478" s="322"/>
      <c r="P478" s="322"/>
      <c r="R478" s="322"/>
      <c r="T478" s="322"/>
      <c r="V478" s="322"/>
      <c r="X478" s="322"/>
      <c r="Z478" s="322"/>
      <c r="AB478" s="322"/>
      <c r="AD478" s="322"/>
      <c r="AF478" s="322"/>
      <c r="AH478" s="322"/>
      <c r="AJ478" s="322"/>
      <c r="AL478" s="322"/>
      <c r="AN478" s="322"/>
      <c r="AP478" s="322"/>
      <c r="AR478" s="322"/>
      <c r="AT478" s="322"/>
      <c r="AV478" s="322"/>
      <c r="AX478" s="322"/>
      <c r="AZ478" s="322"/>
      <c r="BB478" s="322"/>
      <c r="BD478" s="322"/>
      <c r="BF478" s="322"/>
      <c r="BH478" s="322"/>
      <c r="BJ478" s="322"/>
      <c r="BL478" s="322"/>
      <c r="BN478" s="322"/>
    </row>
    <row r="479" spans="14:66">
      <c r="N479" s="322"/>
      <c r="P479" s="322"/>
      <c r="R479" s="322"/>
      <c r="T479" s="322"/>
      <c r="V479" s="322"/>
      <c r="X479" s="322"/>
      <c r="Z479" s="322"/>
      <c r="AB479" s="322"/>
      <c r="AD479" s="322"/>
      <c r="AF479" s="322"/>
      <c r="AH479" s="322"/>
      <c r="AJ479" s="322"/>
      <c r="AL479" s="322"/>
      <c r="AN479" s="322"/>
      <c r="AP479" s="322"/>
      <c r="AR479" s="322"/>
      <c r="AT479" s="322"/>
      <c r="AV479" s="322"/>
      <c r="AX479" s="322"/>
      <c r="AZ479" s="322"/>
      <c r="BB479" s="322"/>
      <c r="BD479" s="322"/>
      <c r="BF479" s="322"/>
      <c r="BH479" s="322"/>
      <c r="BJ479" s="322"/>
      <c r="BL479" s="322"/>
      <c r="BN479" s="322"/>
    </row>
    <row r="480" spans="14:66">
      <c r="N480" s="322"/>
      <c r="P480" s="322"/>
      <c r="R480" s="322"/>
      <c r="T480" s="322"/>
      <c r="V480" s="322"/>
      <c r="X480" s="322"/>
      <c r="Z480" s="322"/>
      <c r="AB480" s="322"/>
      <c r="AD480" s="322"/>
      <c r="AF480" s="322"/>
      <c r="AH480" s="322"/>
      <c r="AJ480" s="322"/>
      <c r="AL480" s="322"/>
      <c r="AN480" s="322"/>
      <c r="AP480" s="322"/>
      <c r="AR480" s="322"/>
      <c r="AT480" s="322"/>
      <c r="AV480" s="322"/>
      <c r="AX480" s="322"/>
      <c r="AZ480" s="322"/>
      <c r="BB480" s="322"/>
      <c r="BD480" s="322"/>
      <c r="BF480" s="322"/>
      <c r="BH480" s="322"/>
      <c r="BJ480" s="322"/>
      <c r="BL480" s="322"/>
      <c r="BN480" s="322"/>
    </row>
    <row r="481" spans="14:66">
      <c r="N481" s="322"/>
      <c r="P481" s="322"/>
      <c r="R481" s="322"/>
      <c r="T481" s="322"/>
      <c r="V481" s="322"/>
      <c r="X481" s="322"/>
      <c r="Z481" s="322"/>
      <c r="AB481" s="322"/>
      <c r="AD481" s="322"/>
      <c r="AF481" s="322"/>
      <c r="AH481" s="322"/>
      <c r="AJ481" s="322"/>
      <c r="AL481" s="322"/>
      <c r="AN481" s="322"/>
      <c r="AP481" s="322"/>
      <c r="AR481" s="322"/>
      <c r="AT481" s="322"/>
      <c r="AV481" s="322"/>
      <c r="AX481" s="322"/>
      <c r="AZ481" s="322"/>
      <c r="BB481" s="322"/>
      <c r="BD481" s="322"/>
      <c r="BF481" s="322"/>
      <c r="BH481" s="322"/>
      <c r="BJ481" s="322"/>
      <c r="BL481" s="322"/>
      <c r="BN481" s="322"/>
    </row>
    <row r="482" spans="14:66">
      <c r="N482" s="322"/>
      <c r="P482" s="322"/>
      <c r="R482" s="322"/>
      <c r="T482" s="322"/>
      <c r="V482" s="322"/>
      <c r="X482" s="322"/>
      <c r="Z482" s="322"/>
      <c r="AB482" s="322"/>
      <c r="AD482" s="322"/>
      <c r="AF482" s="322"/>
      <c r="AH482" s="322"/>
      <c r="AJ482" s="322"/>
      <c r="AL482" s="322"/>
      <c r="AN482" s="322"/>
      <c r="AP482" s="322"/>
      <c r="AR482" s="322"/>
      <c r="AT482" s="322"/>
      <c r="AV482" s="322"/>
      <c r="AX482" s="322"/>
      <c r="AZ482" s="322"/>
      <c r="BB482" s="322"/>
      <c r="BD482" s="322"/>
      <c r="BF482" s="322"/>
      <c r="BH482" s="322"/>
      <c r="BJ482" s="322"/>
      <c r="BL482" s="322"/>
      <c r="BN482" s="322"/>
    </row>
    <row r="483" spans="14:66">
      <c r="N483" s="322"/>
      <c r="P483" s="322"/>
      <c r="R483" s="322"/>
      <c r="T483" s="322"/>
      <c r="V483" s="322"/>
      <c r="X483" s="322"/>
      <c r="Z483" s="322"/>
      <c r="AB483" s="322"/>
      <c r="AD483" s="322"/>
      <c r="AF483" s="322"/>
      <c r="AH483" s="322"/>
      <c r="AJ483" s="322"/>
      <c r="AL483" s="322"/>
      <c r="AN483" s="322"/>
      <c r="AP483" s="322"/>
      <c r="AR483" s="322"/>
      <c r="AT483" s="322"/>
      <c r="AV483" s="322"/>
      <c r="AX483" s="322"/>
      <c r="AZ483" s="322"/>
      <c r="BB483" s="322"/>
      <c r="BD483" s="322"/>
      <c r="BF483" s="322"/>
      <c r="BH483" s="322"/>
      <c r="BJ483" s="322"/>
      <c r="BL483" s="322"/>
      <c r="BN483" s="322"/>
    </row>
    <row r="484" spans="14:66">
      <c r="N484" s="322"/>
      <c r="P484" s="322"/>
      <c r="R484" s="322"/>
      <c r="T484" s="322"/>
      <c r="V484" s="322"/>
      <c r="X484" s="322"/>
      <c r="Z484" s="322"/>
      <c r="AB484" s="322"/>
      <c r="AD484" s="322"/>
      <c r="AF484" s="322"/>
      <c r="AH484" s="322"/>
      <c r="AJ484" s="322"/>
      <c r="AL484" s="322"/>
      <c r="AN484" s="322"/>
      <c r="AP484" s="322"/>
      <c r="AR484" s="322"/>
      <c r="AT484" s="322"/>
      <c r="AV484" s="322"/>
      <c r="AX484" s="322"/>
      <c r="AZ484" s="322"/>
      <c r="BB484" s="322"/>
      <c r="BD484" s="322"/>
      <c r="BF484" s="322"/>
      <c r="BH484" s="322"/>
      <c r="BJ484" s="322"/>
      <c r="BL484" s="322"/>
      <c r="BN484" s="322"/>
    </row>
    <row r="485" spans="14:66">
      <c r="N485" s="322"/>
      <c r="P485" s="322"/>
      <c r="R485" s="322"/>
      <c r="T485" s="322"/>
      <c r="V485" s="322"/>
      <c r="X485" s="322"/>
      <c r="Z485" s="322"/>
      <c r="AB485" s="322"/>
      <c r="AD485" s="322"/>
      <c r="AF485" s="322"/>
      <c r="AH485" s="322"/>
      <c r="AJ485" s="322"/>
      <c r="AL485" s="322"/>
      <c r="AN485" s="322"/>
      <c r="AP485" s="322"/>
      <c r="AR485" s="322"/>
      <c r="AT485" s="322"/>
      <c r="AV485" s="322"/>
      <c r="AX485" s="322"/>
      <c r="AZ485" s="322"/>
      <c r="BB485" s="322"/>
      <c r="BD485" s="322"/>
      <c r="BF485" s="322"/>
      <c r="BH485" s="322"/>
      <c r="BJ485" s="322"/>
      <c r="BL485" s="322"/>
      <c r="BN485" s="322"/>
    </row>
    <row r="486" spans="14:66">
      <c r="N486" s="322"/>
      <c r="P486" s="322"/>
      <c r="R486" s="322"/>
      <c r="T486" s="322"/>
      <c r="V486" s="322"/>
      <c r="X486" s="322"/>
      <c r="Z486" s="322"/>
      <c r="AB486" s="322"/>
      <c r="AD486" s="322"/>
      <c r="AF486" s="322"/>
      <c r="AH486" s="322"/>
      <c r="AJ486" s="322"/>
      <c r="AL486" s="322"/>
      <c r="AN486" s="322"/>
      <c r="AP486" s="322"/>
      <c r="AR486" s="322"/>
      <c r="AT486" s="322"/>
      <c r="AV486" s="322"/>
      <c r="AX486" s="322"/>
      <c r="AZ486" s="322"/>
      <c r="BB486" s="322"/>
      <c r="BD486" s="322"/>
      <c r="BF486" s="322"/>
      <c r="BH486" s="322"/>
      <c r="BJ486" s="322"/>
      <c r="BL486" s="322"/>
      <c r="BN486" s="322"/>
    </row>
    <row r="487" spans="14:66">
      <c r="N487" s="322"/>
      <c r="P487" s="322"/>
      <c r="R487" s="322"/>
      <c r="T487" s="322"/>
      <c r="V487" s="322"/>
      <c r="X487" s="322"/>
      <c r="Z487" s="322"/>
      <c r="AB487" s="322"/>
      <c r="AD487" s="322"/>
      <c r="AF487" s="322"/>
      <c r="AH487" s="322"/>
      <c r="AJ487" s="322"/>
      <c r="AL487" s="322"/>
      <c r="AN487" s="322"/>
      <c r="AP487" s="322"/>
      <c r="AR487" s="322"/>
      <c r="AT487" s="322"/>
      <c r="AV487" s="322"/>
      <c r="AX487" s="322"/>
      <c r="AZ487" s="322"/>
      <c r="BB487" s="322"/>
      <c r="BD487" s="322"/>
      <c r="BF487" s="322"/>
      <c r="BH487" s="322"/>
      <c r="BJ487" s="322"/>
      <c r="BL487" s="322"/>
      <c r="BN487" s="322"/>
    </row>
    <row r="488" spans="14:66">
      <c r="N488" s="322"/>
      <c r="P488" s="322"/>
      <c r="R488" s="322"/>
      <c r="T488" s="322"/>
      <c r="V488" s="322"/>
      <c r="X488" s="322"/>
      <c r="Z488" s="322"/>
      <c r="AB488" s="322"/>
      <c r="AD488" s="322"/>
      <c r="AF488" s="322"/>
      <c r="AH488" s="322"/>
      <c r="AJ488" s="322"/>
      <c r="AL488" s="322"/>
      <c r="AN488" s="322"/>
      <c r="AP488" s="322"/>
      <c r="AR488" s="322"/>
      <c r="AT488" s="322"/>
      <c r="AV488" s="322"/>
      <c r="AX488" s="322"/>
      <c r="AZ488" s="322"/>
      <c r="BB488" s="322"/>
      <c r="BD488" s="322"/>
      <c r="BF488" s="322"/>
      <c r="BH488" s="322"/>
      <c r="BJ488" s="322"/>
      <c r="BL488" s="322"/>
      <c r="BN488" s="322"/>
    </row>
    <row r="489" spans="14:66">
      <c r="N489" s="322"/>
      <c r="P489" s="322"/>
      <c r="R489" s="322"/>
      <c r="T489" s="322"/>
      <c r="V489" s="322"/>
      <c r="X489" s="322"/>
      <c r="Z489" s="322"/>
      <c r="AB489" s="322"/>
      <c r="AD489" s="322"/>
      <c r="AF489" s="322"/>
      <c r="AH489" s="322"/>
      <c r="AJ489" s="322"/>
      <c r="AL489" s="322"/>
      <c r="AN489" s="322"/>
      <c r="AP489" s="322"/>
      <c r="AR489" s="322"/>
      <c r="AT489" s="322"/>
      <c r="AV489" s="322"/>
      <c r="AX489" s="322"/>
      <c r="AZ489" s="322"/>
      <c r="BB489" s="322"/>
      <c r="BD489" s="322"/>
      <c r="BF489" s="322"/>
      <c r="BH489" s="322"/>
      <c r="BJ489" s="322"/>
      <c r="BL489" s="322"/>
      <c r="BN489" s="322"/>
    </row>
    <row r="490" spans="14:66">
      <c r="N490" s="322"/>
      <c r="P490" s="322"/>
      <c r="R490" s="322"/>
      <c r="T490" s="322"/>
      <c r="V490" s="322"/>
      <c r="X490" s="322"/>
      <c r="Z490" s="322"/>
      <c r="AB490" s="322"/>
      <c r="AD490" s="322"/>
      <c r="AF490" s="322"/>
      <c r="AH490" s="322"/>
      <c r="AJ490" s="322"/>
      <c r="AL490" s="322"/>
      <c r="AN490" s="322"/>
      <c r="AP490" s="322"/>
      <c r="AR490" s="322"/>
      <c r="AT490" s="322"/>
      <c r="AV490" s="322"/>
      <c r="AX490" s="322"/>
      <c r="AZ490" s="322"/>
      <c r="BB490" s="322"/>
      <c r="BD490" s="322"/>
      <c r="BF490" s="322"/>
      <c r="BH490" s="322"/>
      <c r="BJ490" s="322"/>
      <c r="BL490" s="322"/>
      <c r="BN490" s="322"/>
    </row>
    <row r="491" spans="14:66">
      <c r="N491" s="322"/>
      <c r="P491" s="322"/>
      <c r="R491" s="322"/>
      <c r="T491" s="322"/>
      <c r="V491" s="322"/>
      <c r="X491" s="322"/>
      <c r="Z491" s="322"/>
      <c r="AB491" s="322"/>
      <c r="AD491" s="322"/>
      <c r="AF491" s="322"/>
      <c r="AH491" s="322"/>
      <c r="AJ491" s="322"/>
      <c r="AL491" s="322"/>
      <c r="AN491" s="322"/>
      <c r="AP491" s="322"/>
      <c r="AR491" s="322"/>
      <c r="AT491" s="322"/>
      <c r="AV491" s="322"/>
      <c r="AX491" s="322"/>
      <c r="AZ491" s="322"/>
      <c r="BB491" s="322"/>
      <c r="BD491" s="322"/>
      <c r="BF491" s="322"/>
      <c r="BH491" s="322"/>
      <c r="BJ491" s="322"/>
      <c r="BL491" s="322"/>
      <c r="BN491" s="322"/>
    </row>
    <row r="492" spans="14:66">
      <c r="N492" s="322"/>
      <c r="P492" s="322"/>
      <c r="R492" s="322"/>
      <c r="T492" s="322"/>
      <c r="V492" s="322"/>
      <c r="X492" s="322"/>
      <c r="Z492" s="322"/>
      <c r="AB492" s="322"/>
      <c r="AD492" s="322"/>
      <c r="AF492" s="322"/>
      <c r="AH492" s="322"/>
      <c r="AJ492" s="322"/>
      <c r="AL492" s="322"/>
      <c r="AN492" s="322"/>
      <c r="AP492" s="322"/>
      <c r="AR492" s="322"/>
      <c r="AT492" s="322"/>
      <c r="AV492" s="322"/>
      <c r="AX492" s="322"/>
      <c r="AZ492" s="322"/>
      <c r="BB492" s="322"/>
      <c r="BD492" s="322"/>
      <c r="BF492" s="322"/>
      <c r="BH492" s="322"/>
      <c r="BJ492" s="322"/>
      <c r="BL492" s="322"/>
      <c r="BN492" s="322"/>
    </row>
    <row r="493" spans="14:66">
      <c r="N493" s="322"/>
      <c r="P493" s="322"/>
      <c r="R493" s="322"/>
      <c r="T493" s="322"/>
      <c r="V493" s="322"/>
      <c r="X493" s="322"/>
      <c r="Z493" s="322"/>
      <c r="AB493" s="322"/>
      <c r="AD493" s="322"/>
      <c r="AF493" s="322"/>
      <c r="AH493" s="322"/>
      <c r="AJ493" s="322"/>
      <c r="AL493" s="322"/>
      <c r="AN493" s="322"/>
      <c r="AP493" s="322"/>
      <c r="AR493" s="322"/>
      <c r="AT493" s="322"/>
      <c r="AV493" s="322"/>
      <c r="AX493" s="322"/>
      <c r="AZ493" s="322"/>
      <c r="BB493" s="322"/>
      <c r="BD493" s="322"/>
      <c r="BF493" s="322"/>
      <c r="BH493" s="322"/>
      <c r="BJ493" s="322"/>
      <c r="BL493" s="322"/>
      <c r="BN493" s="322"/>
    </row>
    <row r="494" spans="14:66">
      <c r="N494" s="322"/>
      <c r="P494" s="322"/>
      <c r="R494" s="322"/>
      <c r="T494" s="322"/>
      <c r="V494" s="322"/>
      <c r="X494" s="322"/>
      <c r="Z494" s="322"/>
      <c r="AB494" s="322"/>
      <c r="AD494" s="322"/>
      <c r="AF494" s="322"/>
      <c r="AH494" s="322"/>
      <c r="AJ494" s="322"/>
      <c r="AL494" s="322"/>
      <c r="AN494" s="322"/>
      <c r="AP494" s="322"/>
      <c r="AR494" s="322"/>
      <c r="AT494" s="322"/>
      <c r="AV494" s="322"/>
      <c r="AX494" s="322"/>
      <c r="AZ494" s="322"/>
      <c r="BB494" s="322"/>
      <c r="BD494" s="322"/>
      <c r="BF494" s="322"/>
      <c r="BH494" s="322"/>
      <c r="BJ494" s="322"/>
      <c r="BL494" s="322"/>
      <c r="BN494" s="322"/>
    </row>
    <row r="495" spans="14:66">
      <c r="N495" s="322"/>
      <c r="P495" s="322"/>
      <c r="R495" s="322"/>
      <c r="T495" s="322"/>
      <c r="V495" s="322"/>
      <c r="X495" s="322"/>
      <c r="Z495" s="322"/>
      <c r="AB495" s="322"/>
      <c r="AD495" s="322"/>
      <c r="AF495" s="322"/>
      <c r="AH495" s="322"/>
      <c r="AJ495" s="322"/>
      <c r="AL495" s="322"/>
      <c r="AN495" s="322"/>
      <c r="AP495" s="322"/>
      <c r="AR495" s="322"/>
      <c r="AT495" s="322"/>
      <c r="AV495" s="322"/>
      <c r="AX495" s="322"/>
      <c r="AZ495" s="322"/>
      <c r="BB495" s="322"/>
      <c r="BD495" s="322"/>
      <c r="BF495" s="322"/>
      <c r="BH495" s="322"/>
      <c r="BJ495" s="322"/>
      <c r="BL495" s="322"/>
      <c r="BN495" s="322"/>
    </row>
    <row r="496" spans="14:66">
      <c r="N496" s="322"/>
      <c r="P496" s="322"/>
      <c r="R496" s="322"/>
      <c r="T496" s="322"/>
      <c r="V496" s="322"/>
      <c r="X496" s="322"/>
      <c r="Z496" s="322"/>
      <c r="AB496" s="322"/>
      <c r="AD496" s="322"/>
      <c r="AF496" s="322"/>
      <c r="AH496" s="322"/>
      <c r="AJ496" s="322"/>
      <c r="AL496" s="322"/>
      <c r="AN496" s="322"/>
      <c r="AP496" s="322"/>
      <c r="AR496" s="322"/>
      <c r="AT496" s="322"/>
      <c r="AV496" s="322"/>
      <c r="AX496" s="322"/>
      <c r="AZ496" s="322"/>
      <c r="BB496" s="322"/>
      <c r="BD496" s="322"/>
      <c r="BF496" s="322"/>
      <c r="BH496" s="322"/>
      <c r="BJ496" s="322"/>
      <c r="BL496" s="322"/>
      <c r="BN496" s="322"/>
    </row>
    <row r="497" spans="14:66">
      <c r="N497" s="322"/>
      <c r="P497" s="322"/>
      <c r="R497" s="322"/>
      <c r="T497" s="322"/>
      <c r="V497" s="322"/>
      <c r="X497" s="322"/>
      <c r="Z497" s="322"/>
      <c r="AB497" s="322"/>
      <c r="AD497" s="322"/>
      <c r="AF497" s="322"/>
      <c r="AH497" s="322"/>
      <c r="AJ497" s="322"/>
      <c r="AL497" s="322"/>
      <c r="AN497" s="322"/>
      <c r="AP497" s="322"/>
      <c r="AR497" s="322"/>
      <c r="AT497" s="322"/>
      <c r="AV497" s="322"/>
      <c r="AX497" s="322"/>
      <c r="AZ497" s="322"/>
      <c r="BB497" s="322"/>
      <c r="BD497" s="322"/>
      <c r="BF497" s="322"/>
      <c r="BH497" s="322"/>
      <c r="BJ497" s="322"/>
      <c r="BL497" s="322"/>
      <c r="BN497" s="322"/>
    </row>
    <row r="498" spans="14:66">
      <c r="N498" s="322"/>
      <c r="P498" s="322"/>
      <c r="R498" s="322"/>
      <c r="T498" s="322"/>
      <c r="V498" s="322"/>
      <c r="X498" s="322"/>
      <c r="Z498" s="322"/>
      <c r="AB498" s="322"/>
      <c r="AD498" s="322"/>
      <c r="AF498" s="322"/>
      <c r="AH498" s="322"/>
      <c r="AJ498" s="322"/>
      <c r="AL498" s="322"/>
      <c r="AN498" s="322"/>
      <c r="AP498" s="322"/>
      <c r="AR498" s="322"/>
      <c r="AT498" s="322"/>
      <c r="AV498" s="322"/>
      <c r="AX498" s="322"/>
      <c r="AZ498" s="322"/>
      <c r="BB498" s="322"/>
      <c r="BD498" s="322"/>
      <c r="BF498" s="322"/>
      <c r="BH498" s="322"/>
      <c r="BJ498" s="322"/>
      <c r="BL498" s="322"/>
      <c r="BN498" s="322"/>
    </row>
    <row r="499" spans="14:66">
      <c r="N499" s="322"/>
      <c r="P499" s="322"/>
      <c r="R499" s="322"/>
      <c r="T499" s="322"/>
      <c r="V499" s="322"/>
      <c r="X499" s="322"/>
      <c r="Z499" s="322"/>
      <c r="AB499" s="322"/>
      <c r="AD499" s="322"/>
      <c r="AF499" s="322"/>
      <c r="AH499" s="322"/>
      <c r="AJ499" s="322"/>
      <c r="AL499" s="322"/>
      <c r="AN499" s="322"/>
      <c r="AP499" s="322"/>
      <c r="AR499" s="322"/>
      <c r="AT499" s="322"/>
      <c r="AV499" s="322"/>
      <c r="AX499" s="322"/>
      <c r="AZ499" s="322"/>
      <c r="BB499" s="322"/>
      <c r="BD499" s="322"/>
      <c r="BF499" s="322"/>
      <c r="BH499" s="322"/>
      <c r="BJ499" s="322"/>
      <c r="BL499" s="322"/>
      <c r="BN499" s="322"/>
    </row>
    <row r="500" spans="14:66">
      <c r="N500" s="322"/>
      <c r="P500" s="322"/>
      <c r="R500" s="322"/>
      <c r="T500" s="322"/>
      <c r="V500" s="322"/>
      <c r="X500" s="322"/>
      <c r="Z500" s="322"/>
      <c r="AB500" s="322"/>
      <c r="AD500" s="322"/>
      <c r="AF500" s="322"/>
      <c r="AH500" s="322"/>
      <c r="AJ500" s="322"/>
      <c r="AL500" s="322"/>
      <c r="AN500" s="322"/>
      <c r="AP500" s="322"/>
      <c r="AR500" s="322"/>
      <c r="AT500" s="322"/>
      <c r="AV500" s="322"/>
      <c r="AX500" s="322"/>
      <c r="AZ500" s="322"/>
      <c r="BB500" s="322"/>
      <c r="BD500" s="322"/>
      <c r="BF500" s="322"/>
      <c r="BH500" s="322"/>
      <c r="BJ500" s="322"/>
      <c r="BL500" s="322"/>
      <c r="BN500" s="322"/>
    </row>
    <row r="501" spans="14:66">
      <c r="N501" s="322"/>
      <c r="P501" s="322"/>
      <c r="R501" s="322"/>
      <c r="T501" s="322"/>
      <c r="V501" s="322"/>
      <c r="X501" s="322"/>
      <c r="Z501" s="322"/>
      <c r="AB501" s="322"/>
      <c r="AD501" s="322"/>
      <c r="AF501" s="322"/>
      <c r="AH501" s="322"/>
      <c r="AJ501" s="322"/>
      <c r="AL501" s="322"/>
      <c r="AN501" s="322"/>
      <c r="AP501" s="322"/>
      <c r="AR501" s="322"/>
      <c r="AT501" s="322"/>
      <c r="AV501" s="322"/>
      <c r="AX501" s="322"/>
      <c r="AZ501" s="322"/>
      <c r="BB501" s="322"/>
      <c r="BD501" s="322"/>
      <c r="BF501" s="322"/>
      <c r="BH501" s="322"/>
      <c r="BJ501" s="322"/>
      <c r="BL501" s="322"/>
      <c r="BN501" s="322"/>
    </row>
    <row r="502" spans="14:66">
      <c r="N502" s="322"/>
      <c r="P502" s="322"/>
      <c r="R502" s="322"/>
      <c r="T502" s="322"/>
      <c r="V502" s="322"/>
      <c r="X502" s="322"/>
      <c r="Z502" s="322"/>
      <c r="AB502" s="322"/>
      <c r="AD502" s="322"/>
      <c r="AF502" s="322"/>
      <c r="AH502" s="322"/>
      <c r="AJ502" s="322"/>
      <c r="AL502" s="322"/>
      <c r="AN502" s="322"/>
      <c r="AP502" s="322"/>
      <c r="AR502" s="322"/>
      <c r="AT502" s="322"/>
      <c r="AV502" s="322"/>
      <c r="AX502" s="322"/>
      <c r="AZ502" s="322"/>
      <c r="BB502" s="322"/>
      <c r="BD502" s="322"/>
      <c r="BF502" s="322"/>
      <c r="BH502" s="322"/>
      <c r="BJ502" s="322"/>
      <c r="BL502" s="322"/>
      <c r="BN502" s="322"/>
    </row>
    <row r="503" spans="14:66">
      <c r="N503" s="322"/>
      <c r="P503" s="322"/>
      <c r="R503" s="322"/>
      <c r="T503" s="322"/>
      <c r="V503" s="322"/>
      <c r="X503" s="322"/>
      <c r="Z503" s="322"/>
      <c r="AB503" s="322"/>
      <c r="AD503" s="322"/>
      <c r="AF503" s="322"/>
      <c r="AH503" s="322"/>
      <c r="AJ503" s="322"/>
      <c r="AL503" s="322"/>
      <c r="AN503" s="322"/>
      <c r="AP503" s="322"/>
      <c r="AR503" s="322"/>
      <c r="AT503" s="322"/>
      <c r="AV503" s="322"/>
      <c r="AX503" s="322"/>
      <c r="AZ503" s="322"/>
      <c r="BB503" s="322"/>
      <c r="BD503" s="322"/>
      <c r="BF503" s="322"/>
      <c r="BH503" s="322"/>
      <c r="BJ503" s="322"/>
      <c r="BL503" s="322"/>
      <c r="BN503" s="322"/>
    </row>
    <row r="504" spans="14:66">
      <c r="N504" s="322"/>
      <c r="P504" s="322"/>
      <c r="R504" s="322"/>
      <c r="T504" s="322"/>
      <c r="V504" s="322"/>
      <c r="X504" s="322"/>
      <c r="Z504" s="322"/>
      <c r="AB504" s="322"/>
      <c r="AD504" s="322"/>
      <c r="AF504" s="322"/>
      <c r="AH504" s="322"/>
      <c r="AJ504" s="322"/>
      <c r="AL504" s="322"/>
      <c r="AN504" s="322"/>
      <c r="AP504" s="322"/>
      <c r="AR504" s="322"/>
      <c r="AT504" s="322"/>
      <c r="AV504" s="322"/>
      <c r="AX504" s="322"/>
      <c r="AZ504" s="322"/>
      <c r="BB504" s="322"/>
      <c r="BD504" s="322"/>
      <c r="BF504" s="322"/>
      <c r="BH504" s="322"/>
      <c r="BJ504" s="322"/>
      <c r="BL504" s="322"/>
      <c r="BN504" s="322"/>
    </row>
    <row r="505" spans="14:66">
      <c r="N505" s="322"/>
      <c r="P505" s="322"/>
      <c r="R505" s="322"/>
      <c r="T505" s="322"/>
      <c r="V505" s="322"/>
      <c r="X505" s="322"/>
      <c r="Z505" s="322"/>
      <c r="AB505" s="322"/>
      <c r="AD505" s="322"/>
      <c r="AF505" s="322"/>
      <c r="AH505" s="322"/>
      <c r="AJ505" s="322"/>
      <c r="AL505" s="322"/>
      <c r="AN505" s="322"/>
      <c r="AP505" s="322"/>
      <c r="AR505" s="322"/>
      <c r="AT505" s="322"/>
      <c r="AV505" s="322"/>
      <c r="AX505" s="322"/>
      <c r="AZ505" s="322"/>
      <c r="BB505" s="322"/>
      <c r="BD505" s="322"/>
      <c r="BF505" s="322"/>
      <c r="BH505" s="322"/>
      <c r="BJ505" s="322"/>
      <c r="BL505" s="322"/>
      <c r="BN505" s="322"/>
    </row>
    <row r="506" spans="14:66">
      <c r="N506" s="322"/>
      <c r="P506" s="322"/>
      <c r="R506" s="322"/>
      <c r="T506" s="322"/>
      <c r="V506" s="322"/>
      <c r="X506" s="322"/>
      <c r="Z506" s="322"/>
      <c r="AB506" s="322"/>
      <c r="AD506" s="322"/>
      <c r="AF506" s="322"/>
      <c r="AH506" s="322"/>
      <c r="AJ506" s="322"/>
      <c r="AL506" s="322"/>
      <c r="AN506" s="322"/>
      <c r="AP506" s="322"/>
      <c r="AR506" s="322"/>
      <c r="AT506" s="322"/>
      <c r="AV506" s="322"/>
      <c r="AX506" s="322"/>
      <c r="AZ506" s="322"/>
      <c r="BB506" s="322"/>
      <c r="BD506" s="322"/>
      <c r="BF506" s="322"/>
      <c r="BH506" s="322"/>
      <c r="BJ506" s="322"/>
      <c r="BL506" s="322"/>
      <c r="BN506" s="322"/>
    </row>
    <row r="507" spans="14:66">
      <c r="N507" s="322"/>
      <c r="P507" s="322"/>
      <c r="R507" s="322"/>
      <c r="T507" s="322"/>
      <c r="V507" s="322"/>
      <c r="X507" s="322"/>
      <c r="Z507" s="322"/>
      <c r="AB507" s="322"/>
      <c r="AD507" s="322"/>
      <c r="AF507" s="322"/>
      <c r="AH507" s="322"/>
      <c r="AJ507" s="322"/>
      <c r="AL507" s="322"/>
      <c r="AN507" s="322"/>
      <c r="AP507" s="322"/>
      <c r="AR507" s="322"/>
      <c r="AT507" s="322"/>
      <c r="AV507" s="322"/>
      <c r="AX507" s="322"/>
      <c r="AZ507" s="322"/>
      <c r="BB507" s="322"/>
      <c r="BD507" s="322"/>
      <c r="BF507" s="322"/>
      <c r="BH507" s="322"/>
      <c r="BJ507" s="322"/>
      <c r="BL507" s="322"/>
      <c r="BN507" s="322"/>
    </row>
    <row r="508" spans="14:66">
      <c r="N508" s="322"/>
      <c r="P508" s="322"/>
      <c r="R508" s="322"/>
      <c r="T508" s="322"/>
      <c r="V508" s="322"/>
      <c r="X508" s="322"/>
      <c r="Z508" s="322"/>
      <c r="AB508" s="322"/>
      <c r="AD508" s="322"/>
      <c r="AF508" s="322"/>
      <c r="AH508" s="322"/>
      <c r="AJ508" s="322"/>
      <c r="AL508" s="322"/>
      <c r="AN508" s="322"/>
      <c r="AP508" s="322"/>
      <c r="AR508" s="322"/>
      <c r="AT508" s="322"/>
      <c r="AV508" s="322"/>
      <c r="AX508" s="322"/>
      <c r="AZ508" s="322"/>
      <c r="BB508" s="322"/>
      <c r="BD508" s="322"/>
      <c r="BF508" s="322"/>
      <c r="BH508" s="322"/>
      <c r="BJ508" s="322"/>
      <c r="BL508" s="322"/>
      <c r="BN508" s="322"/>
    </row>
    <row r="509" spans="14:66">
      <c r="N509" s="322"/>
      <c r="P509" s="322"/>
      <c r="R509" s="322"/>
      <c r="T509" s="322"/>
      <c r="V509" s="322"/>
      <c r="X509" s="322"/>
      <c r="Z509" s="322"/>
      <c r="AB509" s="322"/>
      <c r="AD509" s="322"/>
      <c r="AF509" s="322"/>
      <c r="AH509" s="322"/>
      <c r="AJ509" s="322"/>
      <c r="AL509" s="322"/>
      <c r="AN509" s="322"/>
      <c r="AP509" s="322"/>
      <c r="AR509" s="322"/>
      <c r="AT509" s="322"/>
      <c r="AV509" s="322"/>
      <c r="AX509" s="322"/>
      <c r="AZ509" s="322"/>
      <c r="BB509" s="322"/>
      <c r="BD509" s="322"/>
      <c r="BF509" s="322"/>
      <c r="BH509" s="322"/>
      <c r="BJ509" s="322"/>
      <c r="BL509" s="322"/>
      <c r="BN509" s="322"/>
    </row>
    <row r="510" spans="14:66">
      <c r="N510" s="322"/>
      <c r="P510" s="322"/>
      <c r="R510" s="322"/>
      <c r="T510" s="322"/>
      <c r="V510" s="322"/>
      <c r="X510" s="322"/>
      <c r="Z510" s="322"/>
      <c r="AB510" s="322"/>
      <c r="AD510" s="322"/>
      <c r="AF510" s="322"/>
      <c r="AH510" s="322"/>
      <c r="AJ510" s="322"/>
      <c r="AL510" s="322"/>
      <c r="AN510" s="322"/>
      <c r="AP510" s="322"/>
      <c r="AR510" s="322"/>
      <c r="AT510" s="322"/>
      <c r="AV510" s="322"/>
      <c r="AX510" s="322"/>
      <c r="AZ510" s="322"/>
      <c r="BB510" s="322"/>
      <c r="BD510" s="322"/>
      <c r="BF510" s="322"/>
      <c r="BH510" s="322"/>
      <c r="BJ510" s="322"/>
      <c r="BL510" s="322"/>
      <c r="BN510" s="322"/>
    </row>
    <row r="511" spans="14:66">
      <c r="N511" s="322"/>
      <c r="P511" s="322"/>
      <c r="R511" s="322"/>
      <c r="T511" s="322"/>
      <c r="V511" s="322"/>
      <c r="X511" s="322"/>
      <c r="Z511" s="322"/>
      <c r="AB511" s="322"/>
      <c r="AD511" s="322"/>
      <c r="AF511" s="322"/>
      <c r="AH511" s="322"/>
      <c r="AJ511" s="322"/>
      <c r="AL511" s="322"/>
      <c r="AN511" s="322"/>
      <c r="AP511" s="322"/>
      <c r="AR511" s="322"/>
      <c r="AT511" s="322"/>
      <c r="AV511" s="322"/>
      <c r="AX511" s="322"/>
      <c r="AZ511" s="322"/>
      <c r="BB511" s="322"/>
      <c r="BD511" s="322"/>
      <c r="BF511" s="322"/>
      <c r="BH511" s="322"/>
      <c r="BJ511" s="322"/>
      <c r="BL511" s="322"/>
      <c r="BN511" s="322"/>
    </row>
    <row r="512" spans="14:66">
      <c r="N512" s="322"/>
      <c r="P512" s="322"/>
      <c r="R512" s="322"/>
      <c r="T512" s="322"/>
      <c r="V512" s="322"/>
      <c r="X512" s="322"/>
      <c r="Z512" s="322"/>
      <c r="AB512" s="322"/>
      <c r="AD512" s="322"/>
      <c r="AF512" s="322"/>
      <c r="AH512" s="322"/>
      <c r="AJ512" s="322"/>
      <c r="AL512" s="322"/>
      <c r="AN512" s="322"/>
      <c r="AP512" s="322"/>
      <c r="AR512" s="322"/>
      <c r="AT512" s="322"/>
      <c r="AV512" s="322"/>
      <c r="AX512" s="322"/>
      <c r="AZ512" s="322"/>
      <c r="BB512" s="322"/>
      <c r="BD512" s="322"/>
      <c r="BF512" s="322"/>
      <c r="BH512" s="322"/>
      <c r="BJ512" s="322"/>
      <c r="BL512" s="322"/>
      <c r="BN512" s="322"/>
    </row>
    <row r="513" spans="14:66">
      <c r="N513" s="322"/>
      <c r="P513" s="322"/>
      <c r="R513" s="322"/>
      <c r="T513" s="322"/>
      <c r="V513" s="322"/>
      <c r="X513" s="322"/>
      <c r="Z513" s="322"/>
      <c r="AB513" s="322"/>
      <c r="AD513" s="322"/>
      <c r="AF513" s="322"/>
      <c r="AH513" s="322"/>
      <c r="AJ513" s="322"/>
      <c r="AL513" s="322"/>
      <c r="AN513" s="322"/>
      <c r="AP513" s="322"/>
      <c r="AR513" s="322"/>
      <c r="AT513" s="322"/>
      <c r="AV513" s="322"/>
      <c r="AX513" s="322"/>
      <c r="AZ513" s="322"/>
      <c r="BB513" s="322"/>
      <c r="BD513" s="322"/>
      <c r="BF513" s="322"/>
      <c r="BH513" s="322"/>
      <c r="BJ513" s="322"/>
      <c r="BL513" s="322"/>
      <c r="BN513" s="322"/>
    </row>
    <row r="514" spans="14:66">
      <c r="N514" s="322"/>
      <c r="P514" s="322"/>
      <c r="R514" s="322"/>
      <c r="T514" s="322"/>
      <c r="V514" s="322"/>
      <c r="X514" s="322"/>
      <c r="Z514" s="322"/>
      <c r="AB514" s="322"/>
      <c r="AD514" s="322"/>
      <c r="AF514" s="322"/>
      <c r="AH514" s="322"/>
      <c r="AJ514" s="322"/>
      <c r="AL514" s="322"/>
      <c r="AN514" s="322"/>
      <c r="AP514" s="322"/>
      <c r="AR514" s="322"/>
      <c r="AT514" s="322"/>
      <c r="AV514" s="322"/>
      <c r="AX514" s="322"/>
      <c r="AZ514" s="322"/>
      <c r="BB514" s="322"/>
      <c r="BD514" s="322"/>
      <c r="BF514" s="322"/>
      <c r="BH514" s="322"/>
      <c r="BJ514" s="322"/>
      <c r="BL514" s="322"/>
      <c r="BN514" s="322"/>
    </row>
    <row r="515" spans="14:66">
      <c r="N515" s="322"/>
      <c r="P515" s="322"/>
      <c r="R515" s="322"/>
      <c r="T515" s="322"/>
      <c r="V515" s="322"/>
      <c r="X515" s="322"/>
      <c r="Z515" s="322"/>
      <c r="AB515" s="322"/>
      <c r="AD515" s="322"/>
      <c r="AF515" s="322"/>
      <c r="AH515" s="322"/>
      <c r="AJ515" s="322"/>
      <c r="AL515" s="322"/>
      <c r="AN515" s="322"/>
      <c r="AP515" s="322"/>
      <c r="AR515" s="322"/>
      <c r="AT515" s="322"/>
      <c r="AV515" s="322"/>
      <c r="AX515" s="322"/>
      <c r="AZ515" s="322"/>
      <c r="BB515" s="322"/>
      <c r="BD515" s="322"/>
      <c r="BF515" s="322"/>
      <c r="BH515" s="322"/>
      <c r="BJ515" s="322"/>
      <c r="BL515" s="322"/>
      <c r="BN515" s="322"/>
    </row>
    <row r="516" spans="14:66">
      <c r="N516" s="322"/>
      <c r="P516" s="322"/>
      <c r="R516" s="322"/>
      <c r="T516" s="322"/>
      <c r="V516" s="322"/>
      <c r="X516" s="322"/>
      <c r="Z516" s="322"/>
      <c r="AB516" s="322"/>
      <c r="AD516" s="322"/>
      <c r="AF516" s="322"/>
      <c r="AH516" s="322"/>
      <c r="AJ516" s="322"/>
      <c r="AL516" s="322"/>
      <c r="AN516" s="322"/>
      <c r="AP516" s="322"/>
      <c r="AR516" s="322"/>
      <c r="AT516" s="322"/>
      <c r="AV516" s="322"/>
      <c r="AX516" s="322"/>
      <c r="AZ516" s="322"/>
      <c r="BB516" s="322"/>
      <c r="BD516" s="322"/>
      <c r="BF516" s="322"/>
      <c r="BH516" s="322"/>
      <c r="BJ516" s="322"/>
      <c r="BL516" s="322"/>
      <c r="BN516" s="322"/>
    </row>
    <row r="517" spans="14:66">
      <c r="N517" s="322"/>
      <c r="P517" s="322"/>
      <c r="R517" s="322"/>
      <c r="T517" s="322"/>
      <c r="V517" s="322"/>
      <c r="X517" s="322"/>
      <c r="Z517" s="322"/>
      <c r="AB517" s="322"/>
      <c r="AD517" s="322"/>
      <c r="AF517" s="322"/>
      <c r="AH517" s="322"/>
      <c r="AJ517" s="322"/>
      <c r="AL517" s="322"/>
      <c r="AN517" s="322"/>
      <c r="AP517" s="322"/>
      <c r="AR517" s="322"/>
      <c r="AT517" s="322"/>
      <c r="AV517" s="322"/>
      <c r="AX517" s="322"/>
      <c r="AZ517" s="322"/>
      <c r="BB517" s="322"/>
      <c r="BD517" s="322"/>
      <c r="BF517" s="322"/>
      <c r="BH517" s="322"/>
      <c r="BJ517" s="322"/>
      <c r="BL517" s="322"/>
      <c r="BN517" s="322"/>
    </row>
    <row r="518" spans="14:66">
      <c r="N518" s="322"/>
      <c r="P518" s="322"/>
      <c r="R518" s="322"/>
      <c r="T518" s="322"/>
      <c r="V518" s="322"/>
      <c r="X518" s="322"/>
      <c r="Z518" s="322"/>
      <c r="AB518" s="322"/>
      <c r="AD518" s="322"/>
      <c r="AF518" s="322"/>
      <c r="AH518" s="322"/>
      <c r="AJ518" s="322"/>
      <c r="AL518" s="322"/>
      <c r="AN518" s="322"/>
      <c r="AP518" s="322"/>
      <c r="AR518" s="322"/>
      <c r="AT518" s="322"/>
      <c r="AV518" s="322"/>
      <c r="AX518" s="322"/>
      <c r="AZ518" s="322"/>
      <c r="BB518" s="322"/>
      <c r="BD518" s="322"/>
      <c r="BF518" s="322"/>
      <c r="BH518" s="322"/>
      <c r="BJ518" s="322"/>
      <c r="BL518" s="322"/>
      <c r="BN518" s="322"/>
    </row>
    <row r="519" spans="14:66">
      <c r="N519" s="322"/>
      <c r="P519" s="322"/>
      <c r="R519" s="322"/>
      <c r="T519" s="322"/>
      <c r="V519" s="322"/>
      <c r="X519" s="322"/>
      <c r="Z519" s="322"/>
      <c r="AB519" s="322"/>
      <c r="AD519" s="322"/>
      <c r="AF519" s="322"/>
      <c r="AH519" s="322"/>
      <c r="AJ519" s="322"/>
      <c r="AL519" s="322"/>
      <c r="AN519" s="322"/>
      <c r="AP519" s="322"/>
      <c r="AR519" s="322"/>
      <c r="AT519" s="322"/>
      <c r="AV519" s="322"/>
      <c r="AX519" s="322"/>
      <c r="AZ519" s="322"/>
      <c r="BB519" s="322"/>
      <c r="BD519" s="322"/>
      <c r="BF519" s="322"/>
      <c r="BH519" s="322"/>
      <c r="BJ519" s="322"/>
      <c r="BL519" s="322"/>
      <c r="BN519" s="322"/>
    </row>
    <row r="520" spans="14:66">
      <c r="N520" s="322"/>
      <c r="P520" s="322"/>
      <c r="R520" s="322"/>
      <c r="T520" s="322"/>
      <c r="V520" s="322"/>
      <c r="X520" s="322"/>
      <c r="Z520" s="322"/>
      <c r="AB520" s="322"/>
      <c r="AD520" s="322"/>
      <c r="AF520" s="322"/>
      <c r="AH520" s="322"/>
      <c r="AJ520" s="322"/>
      <c r="AL520" s="322"/>
      <c r="AN520" s="322"/>
      <c r="AP520" s="322"/>
      <c r="AR520" s="322"/>
      <c r="AT520" s="322"/>
      <c r="AV520" s="322"/>
      <c r="AX520" s="322"/>
      <c r="AZ520" s="322"/>
      <c r="BB520" s="322"/>
      <c r="BD520" s="322"/>
      <c r="BF520" s="322"/>
      <c r="BH520" s="322"/>
      <c r="BJ520" s="322"/>
      <c r="BL520" s="322"/>
      <c r="BN520" s="322"/>
    </row>
    <row r="521" spans="14:66">
      <c r="N521" s="322"/>
      <c r="P521" s="322"/>
      <c r="R521" s="322"/>
      <c r="T521" s="322"/>
      <c r="V521" s="322"/>
      <c r="X521" s="322"/>
      <c r="Z521" s="322"/>
      <c r="AB521" s="322"/>
      <c r="AD521" s="322"/>
      <c r="AF521" s="322"/>
      <c r="AH521" s="322"/>
      <c r="AJ521" s="322"/>
      <c r="AL521" s="322"/>
      <c r="AN521" s="322"/>
      <c r="AP521" s="322"/>
      <c r="AR521" s="322"/>
      <c r="AT521" s="322"/>
      <c r="AV521" s="322"/>
      <c r="AX521" s="322"/>
      <c r="AZ521" s="322"/>
      <c r="BB521" s="322"/>
      <c r="BD521" s="322"/>
      <c r="BF521" s="322"/>
      <c r="BH521" s="322"/>
      <c r="BJ521" s="322"/>
      <c r="BL521" s="322"/>
      <c r="BN521" s="322"/>
    </row>
    <row r="522" spans="14:66">
      <c r="N522" s="322"/>
      <c r="P522" s="322"/>
      <c r="R522" s="322"/>
      <c r="T522" s="322"/>
      <c r="V522" s="322"/>
      <c r="X522" s="322"/>
      <c r="Z522" s="322"/>
      <c r="AB522" s="322"/>
      <c r="AD522" s="322"/>
      <c r="AF522" s="322"/>
      <c r="AH522" s="322"/>
      <c r="AJ522" s="322"/>
      <c r="AL522" s="322"/>
      <c r="AN522" s="322"/>
      <c r="AP522" s="322"/>
      <c r="AR522" s="322"/>
      <c r="AT522" s="322"/>
      <c r="AV522" s="322"/>
      <c r="AX522" s="322"/>
      <c r="AZ522" s="322"/>
      <c r="BB522" s="322"/>
      <c r="BD522" s="322"/>
      <c r="BF522" s="322"/>
      <c r="BH522" s="322"/>
      <c r="BJ522" s="322"/>
      <c r="BL522" s="322"/>
      <c r="BN522" s="322"/>
    </row>
    <row r="523" spans="14:66">
      <c r="N523" s="322"/>
      <c r="P523" s="322"/>
      <c r="R523" s="322"/>
      <c r="T523" s="322"/>
      <c r="V523" s="322"/>
      <c r="X523" s="322"/>
      <c r="Z523" s="322"/>
      <c r="AB523" s="322"/>
      <c r="AD523" s="322"/>
      <c r="AF523" s="322"/>
      <c r="AH523" s="322"/>
      <c r="AJ523" s="322"/>
      <c r="AL523" s="322"/>
      <c r="AN523" s="322"/>
      <c r="AP523" s="322"/>
      <c r="AR523" s="322"/>
      <c r="AT523" s="322"/>
      <c r="AV523" s="322"/>
      <c r="AX523" s="322"/>
      <c r="AZ523" s="322"/>
      <c r="BB523" s="322"/>
      <c r="BD523" s="322"/>
      <c r="BF523" s="322"/>
      <c r="BH523" s="322"/>
      <c r="BJ523" s="322"/>
      <c r="BL523" s="322"/>
      <c r="BN523" s="322"/>
    </row>
    <row r="524" spans="14:66">
      <c r="N524" s="322"/>
      <c r="P524" s="322"/>
      <c r="R524" s="322"/>
      <c r="T524" s="322"/>
      <c r="V524" s="322"/>
      <c r="X524" s="322"/>
      <c r="Z524" s="322"/>
      <c r="AB524" s="322"/>
      <c r="AD524" s="322"/>
      <c r="AF524" s="322"/>
      <c r="AH524" s="322"/>
      <c r="AJ524" s="322"/>
      <c r="AL524" s="322"/>
      <c r="AN524" s="322"/>
      <c r="AP524" s="322"/>
      <c r="AR524" s="322"/>
      <c r="AT524" s="322"/>
      <c r="AV524" s="322"/>
      <c r="AX524" s="322"/>
      <c r="AZ524" s="322"/>
      <c r="BB524" s="322"/>
      <c r="BD524" s="322"/>
      <c r="BF524" s="322"/>
      <c r="BH524" s="322"/>
      <c r="BJ524" s="322"/>
      <c r="BL524" s="322"/>
      <c r="BN524" s="322"/>
    </row>
    <row r="525" spans="14:66">
      <c r="N525" s="322"/>
      <c r="P525" s="322"/>
      <c r="R525" s="322"/>
      <c r="T525" s="322"/>
      <c r="V525" s="322"/>
      <c r="X525" s="322"/>
      <c r="Z525" s="322"/>
      <c r="AB525" s="322"/>
      <c r="AD525" s="322"/>
      <c r="AF525" s="322"/>
      <c r="AH525" s="322"/>
      <c r="AJ525" s="322"/>
      <c r="AL525" s="322"/>
      <c r="AN525" s="322"/>
      <c r="AP525" s="322"/>
      <c r="AR525" s="322"/>
      <c r="AT525" s="322"/>
      <c r="AV525" s="322"/>
      <c r="AX525" s="322"/>
      <c r="AZ525" s="322"/>
      <c r="BB525" s="322"/>
      <c r="BD525" s="322"/>
      <c r="BF525" s="322"/>
      <c r="BH525" s="322"/>
      <c r="BJ525" s="322"/>
      <c r="BL525" s="322"/>
      <c r="BN525" s="322"/>
    </row>
    <row r="526" spans="14:66">
      <c r="N526" s="322"/>
      <c r="P526" s="322"/>
      <c r="R526" s="322"/>
      <c r="T526" s="322"/>
      <c r="V526" s="322"/>
      <c r="X526" s="322"/>
      <c r="Z526" s="322"/>
      <c r="AB526" s="322"/>
      <c r="AD526" s="322"/>
      <c r="AF526" s="322"/>
      <c r="AH526" s="322"/>
      <c r="AJ526" s="322"/>
      <c r="AL526" s="322"/>
      <c r="AN526" s="322"/>
      <c r="AP526" s="322"/>
      <c r="AR526" s="322"/>
      <c r="AT526" s="322"/>
      <c r="AV526" s="322"/>
      <c r="AX526" s="322"/>
      <c r="AZ526" s="322"/>
      <c r="BB526" s="322"/>
      <c r="BD526" s="322"/>
      <c r="BF526" s="322"/>
      <c r="BH526" s="322"/>
      <c r="BJ526" s="322"/>
      <c r="BL526" s="322"/>
      <c r="BN526" s="322"/>
    </row>
    <row r="527" spans="14:66">
      <c r="N527" s="322"/>
      <c r="P527" s="322"/>
      <c r="R527" s="322"/>
      <c r="T527" s="322"/>
      <c r="V527" s="322"/>
      <c r="X527" s="322"/>
      <c r="Z527" s="322"/>
      <c r="AB527" s="322"/>
      <c r="AD527" s="322"/>
      <c r="AF527" s="322"/>
      <c r="AH527" s="322"/>
      <c r="AJ527" s="322"/>
      <c r="AL527" s="322"/>
      <c r="AN527" s="322"/>
      <c r="AP527" s="322"/>
      <c r="AR527" s="322"/>
      <c r="AT527" s="322"/>
      <c r="AV527" s="322"/>
      <c r="AX527" s="322"/>
      <c r="AZ527" s="322"/>
      <c r="BB527" s="322"/>
      <c r="BD527" s="322"/>
      <c r="BF527" s="322"/>
      <c r="BH527" s="322"/>
      <c r="BJ527" s="322"/>
      <c r="BL527" s="322"/>
      <c r="BN527" s="322"/>
    </row>
    <row r="528" spans="14:66">
      <c r="N528" s="322"/>
      <c r="P528" s="322"/>
      <c r="R528" s="322"/>
      <c r="T528" s="322"/>
      <c r="V528" s="322"/>
      <c r="X528" s="322"/>
      <c r="Z528" s="322"/>
      <c r="AB528" s="322"/>
      <c r="AD528" s="322"/>
      <c r="AF528" s="322"/>
      <c r="AH528" s="322"/>
      <c r="AJ528" s="322"/>
      <c r="AL528" s="322"/>
      <c r="AN528" s="322"/>
      <c r="AP528" s="322"/>
      <c r="AR528" s="322"/>
      <c r="AT528" s="322"/>
      <c r="AV528" s="322"/>
      <c r="AX528" s="322"/>
      <c r="AZ528" s="322"/>
      <c r="BB528" s="322"/>
      <c r="BD528" s="322"/>
      <c r="BF528" s="322"/>
      <c r="BH528" s="322"/>
      <c r="BJ528" s="322"/>
      <c r="BL528" s="322"/>
      <c r="BN528" s="322"/>
    </row>
    <row r="529" spans="14:66">
      <c r="N529" s="322"/>
      <c r="P529" s="322"/>
      <c r="R529" s="322"/>
      <c r="T529" s="322"/>
      <c r="V529" s="322"/>
      <c r="X529" s="322"/>
      <c r="Z529" s="322"/>
      <c r="AB529" s="322"/>
      <c r="AD529" s="322"/>
      <c r="AF529" s="322"/>
      <c r="AH529" s="322"/>
      <c r="AJ529" s="322"/>
      <c r="AL529" s="322"/>
      <c r="AN529" s="322"/>
      <c r="AP529" s="322"/>
      <c r="AR529" s="322"/>
      <c r="AT529" s="322"/>
      <c r="AV529" s="322"/>
      <c r="AX529" s="322"/>
      <c r="AZ529" s="322"/>
      <c r="BB529" s="322"/>
      <c r="BD529" s="322"/>
      <c r="BF529" s="322"/>
      <c r="BH529" s="322"/>
      <c r="BJ529" s="322"/>
      <c r="BL529" s="322"/>
      <c r="BN529" s="322"/>
    </row>
    <row r="530" spans="14:66">
      <c r="N530" s="322"/>
      <c r="P530" s="322"/>
      <c r="R530" s="322"/>
      <c r="T530" s="322"/>
      <c r="V530" s="322"/>
      <c r="X530" s="322"/>
      <c r="Z530" s="322"/>
      <c r="AB530" s="322"/>
      <c r="AD530" s="322"/>
      <c r="AF530" s="322"/>
      <c r="AH530" s="322"/>
      <c r="AJ530" s="322"/>
      <c r="AL530" s="322"/>
      <c r="AN530" s="322"/>
      <c r="AP530" s="322"/>
      <c r="AR530" s="322"/>
      <c r="AT530" s="322"/>
      <c r="AV530" s="322"/>
      <c r="AX530" s="322"/>
      <c r="AZ530" s="322"/>
      <c r="BB530" s="322"/>
      <c r="BD530" s="322"/>
      <c r="BF530" s="322"/>
      <c r="BH530" s="322"/>
      <c r="BJ530" s="322"/>
      <c r="BL530" s="322"/>
      <c r="BN530" s="322"/>
    </row>
    <row r="531" spans="14:66">
      <c r="N531" s="322"/>
      <c r="P531" s="322"/>
      <c r="R531" s="322"/>
      <c r="T531" s="322"/>
      <c r="V531" s="322"/>
      <c r="X531" s="322"/>
      <c r="Z531" s="322"/>
      <c r="AB531" s="322"/>
      <c r="AD531" s="322"/>
      <c r="AF531" s="322"/>
      <c r="AH531" s="322"/>
      <c r="AJ531" s="322"/>
      <c r="AL531" s="322"/>
      <c r="AN531" s="322"/>
      <c r="AP531" s="322"/>
      <c r="AR531" s="322"/>
      <c r="AT531" s="322"/>
      <c r="AV531" s="322"/>
      <c r="AX531" s="322"/>
      <c r="AZ531" s="322"/>
      <c r="BB531" s="322"/>
      <c r="BD531" s="322"/>
      <c r="BF531" s="322"/>
      <c r="BH531" s="322"/>
      <c r="BJ531" s="322"/>
      <c r="BL531" s="322"/>
      <c r="BN531" s="322"/>
    </row>
    <row r="532" spans="14:66">
      <c r="N532" s="322"/>
      <c r="P532" s="322"/>
      <c r="R532" s="322"/>
      <c r="T532" s="322"/>
      <c r="V532" s="322"/>
      <c r="X532" s="322"/>
      <c r="Z532" s="322"/>
      <c r="AB532" s="322"/>
      <c r="AD532" s="322"/>
      <c r="AF532" s="322"/>
      <c r="AH532" s="322"/>
      <c r="AJ532" s="322"/>
      <c r="AL532" s="322"/>
      <c r="AN532" s="322"/>
      <c r="AP532" s="322"/>
      <c r="AR532" s="322"/>
      <c r="AT532" s="322"/>
      <c r="AV532" s="322"/>
      <c r="AX532" s="322"/>
      <c r="AZ532" s="322"/>
      <c r="BB532" s="322"/>
      <c r="BD532" s="322"/>
      <c r="BF532" s="322"/>
      <c r="BH532" s="322"/>
      <c r="BJ532" s="322"/>
      <c r="BL532" s="322"/>
      <c r="BN532" s="322"/>
    </row>
    <row r="533" spans="14:66">
      <c r="N533" s="322"/>
      <c r="P533" s="322"/>
      <c r="R533" s="322"/>
      <c r="T533" s="322"/>
      <c r="V533" s="322"/>
      <c r="X533" s="322"/>
      <c r="Z533" s="322"/>
      <c r="AB533" s="322"/>
      <c r="AD533" s="322"/>
      <c r="AF533" s="322"/>
      <c r="AH533" s="322"/>
      <c r="AJ533" s="322"/>
      <c r="AL533" s="322"/>
      <c r="AN533" s="322"/>
      <c r="AP533" s="322"/>
      <c r="AR533" s="322"/>
      <c r="AT533" s="322"/>
      <c r="AV533" s="322"/>
      <c r="AX533" s="322"/>
      <c r="AZ533" s="322"/>
      <c r="BB533" s="322"/>
      <c r="BD533" s="322"/>
      <c r="BF533" s="322"/>
      <c r="BH533" s="322"/>
      <c r="BJ533" s="322"/>
      <c r="BL533" s="322"/>
      <c r="BN533" s="322"/>
    </row>
    <row r="534" spans="14:66">
      <c r="N534" s="322"/>
      <c r="P534" s="322"/>
      <c r="R534" s="322"/>
      <c r="T534" s="322"/>
      <c r="V534" s="322"/>
      <c r="X534" s="322"/>
      <c r="Z534" s="322"/>
      <c r="AB534" s="322"/>
      <c r="AD534" s="322"/>
      <c r="AF534" s="322"/>
      <c r="AH534" s="322"/>
      <c r="AJ534" s="322"/>
      <c r="AL534" s="322"/>
      <c r="AN534" s="322"/>
      <c r="AP534" s="322"/>
      <c r="AR534" s="322"/>
      <c r="AT534" s="322"/>
      <c r="AV534" s="322"/>
      <c r="AX534" s="322"/>
      <c r="AZ534" s="322"/>
      <c r="BB534" s="322"/>
      <c r="BD534" s="322"/>
      <c r="BF534" s="322"/>
      <c r="BH534" s="322"/>
      <c r="BJ534" s="322"/>
      <c r="BL534" s="322"/>
      <c r="BN534" s="322"/>
    </row>
    <row r="535" spans="14:66">
      <c r="N535" s="322"/>
      <c r="P535" s="322"/>
      <c r="R535" s="322"/>
      <c r="T535" s="322"/>
      <c r="V535" s="322"/>
      <c r="X535" s="322"/>
      <c r="Z535" s="322"/>
      <c r="AB535" s="322"/>
      <c r="AD535" s="322"/>
      <c r="AF535" s="322"/>
      <c r="AH535" s="322"/>
      <c r="AJ535" s="322"/>
      <c r="AL535" s="322"/>
      <c r="AN535" s="322"/>
      <c r="AP535" s="322"/>
      <c r="AR535" s="322"/>
      <c r="AT535" s="322"/>
      <c r="AV535" s="322"/>
      <c r="AX535" s="322"/>
      <c r="AZ535" s="322"/>
      <c r="BB535" s="322"/>
      <c r="BD535" s="322"/>
      <c r="BF535" s="322"/>
      <c r="BH535" s="322"/>
      <c r="BJ535" s="322"/>
      <c r="BL535" s="322"/>
      <c r="BN535" s="322"/>
    </row>
    <row r="536" spans="14:66">
      <c r="N536" s="322"/>
      <c r="P536" s="322"/>
      <c r="R536" s="322"/>
      <c r="T536" s="322"/>
      <c r="V536" s="322"/>
      <c r="X536" s="322"/>
      <c r="Z536" s="322"/>
      <c r="AB536" s="322"/>
      <c r="AD536" s="322"/>
      <c r="AF536" s="322"/>
      <c r="AH536" s="322"/>
      <c r="AJ536" s="322"/>
      <c r="AL536" s="322"/>
      <c r="AN536" s="322"/>
      <c r="AP536" s="322"/>
      <c r="AR536" s="322"/>
      <c r="AT536" s="322"/>
      <c r="AV536" s="322"/>
      <c r="AX536" s="322"/>
      <c r="AZ536" s="322"/>
      <c r="BB536" s="322"/>
      <c r="BD536" s="322"/>
      <c r="BF536" s="322"/>
      <c r="BH536" s="322"/>
      <c r="BJ536" s="322"/>
      <c r="BL536" s="322"/>
      <c r="BN536" s="322"/>
    </row>
    <row r="537" spans="14:66">
      <c r="N537" s="322"/>
      <c r="P537" s="322"/>
      <c r="R537" s="322"/>
      <c r="T537" s="322"/>
      <c r="V537" s="322"/>
      <c r="X537" s="322"/>
      <c r="Z537" s="322"/>
      <c r="AB537" s="322"/>
      <c r="AD537" s="322"/>
      <c r="AF537" s="322"/>
      <c r="AH537" s="322"/>
      <c r="AJ537" s="322"/>
      <c r="AL537" s="322"/>
      <c r="AN537" s="322"/>
      <c r="AP537" s="322"/>
      <c r="AR537" s="322"/>
      <c r="AT537" s="322"/>
      <c r="AV537" s="322"/>
      <c r="AX537" s="322"/>
      <c r="AZ537" s="322"/>
      <c r="BB537" s="322"/>
      <c r="BD537" s="322"/>
      <c r="BF537" s="322"/>
      <c r="BH537" s="322"/>
      <c r="BJ537" s="322"/>
      <c r="BL537" s="322"/>
      <c r="BN537" s="322"/>
    </row>
    <row r="538" spans="14:66">
      <c r="N538" s="322"/>
      <c r="P538" s="322"/>
      <c r="R538" s="322"/>
      <c r="T538" s="322"/>
      <c r="V538" s="322"/>
      <c r="X538" s="322"/>
      <c r="Z538" s="322"/>
      <c r="AB538" s="322"/>
      <c r="AD538" s="322"/>
      <c r="AF538" s="322"/>
      <c r="AH538" s="322"/>
      <c r="AJ538" s="322"/>
      <c r="AL538" s="322"/>
      <c r="AN538" s="322"/>
      <c r="AP538" s="322"/>
      <c r="AR538" s="322"/>
      <c r="AT538" s="322"/>
      <c r="AV538" s="322"/>
      <c r="AX538" s="322"/>
      <c r="AZ538" s="322"/>
      <c r="BB538" s="322"/>
      <c r="BD538" s="322"/>
      <c r="BF538" s="322"/>
      <c r="BH538" s="322"/>
      <c r="BJ538" s="322"/>
      <c r="BL538" s="322"/>
      <c r="BN538" s="322"/>
    </row>
    <row r="539" spans="14:66">
      <c r="N539" s="322"/>
      <c r="P539" s="322"/>
      <c r="R539" s="322"/>
      <c r="T539" s="322"/>
      <c r="V539" s="322"/>
      <c r="X539" s="322"/>
      <c r="Z539" s="322"/>
      <c r="AB539" s="322"/>
      <c r="AD539" s="322"/>
      <c r="AF539" s="322"/>
      <c r="AH539" s="322"/>
      <c r="AJ539" s="322"/>
      <c r="AL539" s="322"/>
      <c r="AN539" s="322"/>
      <c r="AP539" s="322"/>
      <c r="AR539" s="322"/>
      <c r="AT539" s="322"/>
      <c r="AV539" s="322"/>
      <c r="AX539" s="322"/>
      <c r="AZ539" s="322"/>
      <c r="BB539" s="322"/>
      <c r="BD539" s="322"/>
      <c r="BF539" s="322"/>
      <c r="BH539" s="322"/>
      <c r="BJ539" s="322"/>
      <c r="BL539" s="322"/>
      <c r="BN539" s="322"/>
    </row>
    <row r="540" spans="14:66">
      <c r="N540" s="322"/>
      <c r="P540" s="322"/>
      <c r="R540" s="322"/>
      <c r="T540" s="322"/>
      <c r="V540" s="322"/>
      <c r="X540" s="322"/>
      <c r="Z540" s="322"/>
      <c r="AB540" s="322"/>
      <c r="AD540" s="322"/>
      <c r="AF540" s="322"/>
      <c r="AH540" s="322"/>
      <c r="AJ540" s="322"/>
      <c r="AL540" s="322"/>
      <c r="AN540" s="322"/>
      <c r="AP540" s="322"/>
      <c r="AR540" s="322"/>
      <c r="AT540" s="322"/>
      <c r="AV540" s="322"/>
      <c r="AX540" s="322"/>
      <c r="AZ540" s="322"/>
      <c r="BB540" s="322"/>
      <c r="BD540" s="322"/>
      <c r="BF540" s="322"/>
      <c r="BH540" s="322"/>
      <c r="BJ540" s="322"/>
      <c r="BL540" s="322"/>
      <c r="BN540" s="322"/>
    </row>
    <row r="541" spans="14:66">
      <c r="N541" s="322"/>
      <c r="P541" s="322"/>
      <c r="R541" s="322"/>
      <c r="T541" s="322"/>
      <c r="V541" s="322"/>
      <c r="X541" s="322"/>
      <c r="Z541" s="322"/>
      <c r="AB541" s="322"/>
      <c r="AD541" s="322"/>
      <c r="AF541" s="322"/>
      <c r="AH541" s="322"/>
      <c r="AJ541" s="322"/>
      <c r="AL541" s="322"/>
      <c r="AN541" s="322"/>
      <c r="AP541" s="322"/>
      <c r="AR541" s="322"/>
      <c r="AT541" s="322"/>
      <c r="AV541" s="322"/>
      <c r="AX541" s="322"/>
      <c r="AZ541" s="322"/>
      <c r="BB541" s="322"/>
      <c r="BD541" s="322"/>
      <c r="BF541" s="322"/>
      <c r="BH541" s="322"/>
      <c r="BJ541" s="322"/>
      <c r="BL541" s="322"/>
      <c r="BN541" s="322"/>
    </row>
    <row r="542" spans="14:66">
      <c r="N542" s="322"/>
      <c r="P542" s="322"/>
      <c r="R542" s="322"/>
      <c r="T542" s="322"/>
      <c r="V542" s="322"/>
      <c r="X542" s="322"/>
      <c r="Z542" s="322"/>
      <c r="AB542" s="322"/>
      <c r="AD542" s="322"/>
      <c r="AF542" s="322"/>
      <c r="AH542" s="322"/>
      <c r="AJ542" s="322"/>
      <c r="AL542" s="322"/>
      <c r="AN542" s="322"/>
      <c r="AP542" s="322"/>
      <c r="AR542" s="322"/>
      <c r="AT542" s="322"/>
      <c r="AV542" s="322"/>
      <c r="AX542" s="322"/>
      <c r="AZ542" s="322"/>
      <c r="BB542" s="322"/>
      <c r="BD542" s="322"/>
      <c r="BF542" s="322"/>
      <c r="BH542" s="322"/>
      <c r="BJ542" s="322"/>
      <c r="BL542" s="322"/>
      <c r="BN542" s="322"/>
    </row>
    <row r="543" spans="14:66">
      <c r="N543" s="322"/>
      <c r="P543" s="322"/>
      <c r="R543" s="322"/>
      <c r="T543" s="322"/>
      <c r="V543" s="322"/>
      <c r="X543" s="322"/>
      <c r="Z543" s="322"/>
      <c r="AB543" s="322"/>
      <c r="AD543" s="322"/>
      <c r="AF543" s="322"/>
      <c r="AH543" s="322"/>
      <c r="AJ543" s="322"/>
      <c r="AL543" s="322"/>
      <c r="AN543" s="322"/>
      <c r="AP543" s="322"/>
      <c r="AR543" s="322"/>
      <c r="AT543" s="322"/>
      <c r="AV543" s="322"/>
      <c r="AX543" s="322"/>
      <c r="AZ543" s="322"/>
      <c r="BB543" s="322"/>
      <c r="BD543" s="322"/>
      <c r="BF543" s="322"/>
      <c r="BH543" s="322"/>
      <c r="BJ543" s="322"/>
      <c r="BL543" s="322"/>
      <c r="BN543" s="322"/>
    </row>
    <row r="544" spans="14:66">
      <c r="N544" s="322"/>
      <c r="P544" s="322"/>
      <c r="R544" s="322"/>
      <c r="T544" s="322"/>
      <c r="V544" s="322"/>
      <c r="X544" s="322"/>
      <c r="Z544" s="322"/>
      <c r="AB544" s="322"/>
      <c r="AD544" s="322"/>
      <c r="AF544" s="322"/>
      <c r="AH544" s="322"/>
      <c r="AJ544" s="322"/>
      <c r="AL544" s="322"/>
      <c r="AN544" s="322"/>
      <c r="AP544" s="322"/>
      <c r="AR544" s="322"/>
      <c r="AT544" s="322"/>
      <c r="AV544" s="322"/>
      <c r="AX544" s="322"/>
      <c r="AZ544" s="322"/>
      <c r="BB544" s="322"/>
      <c r="BD544" s="322"/>
      <c r="BF544" s="322"/>
      <c r="BH544" s="322"/>
      <c r="BJ544" s="322"/>
      <c r="BL544" s="322"/>
      <c r="BN544" s="322"/>
    </row>
    <row r="545" spans="14:66">
      <c r="N545" s="322"/>
      <c r="P545" s="322"/>
      <c r="R545" s="322"/>
      <c r="T545" s="322"/>
      <c r="V545" s="322"/>
      <c r="X545" s="322"/>
      <c r="Z545" s="322"/>
      <c r="AB545" s="322"/>
      <c r="AD545" s="322"/>
      <c r="AF545" s="322"/>
      <c r="AH545" s="322"/>
      <c r="AJ545" s="322"/>
      <c r="AL545" s="322"/>
      <c r="AN545" s="322"/>
      <c r="AP545" s="322"/>
      <c r="AR545" s="322"/>
      <c r="AT545" s="322"/>
      <c r="AV545" s="322"/>
      <c r="AX545" s="322"/>
      <c r="AZ545" s="322"/>
      <c r="BB545" s="322"/>
      <c r="BD545" s="322"/>
      <c r="BF545" s="322"/>
      <c r="BH545" s="322"/>
      <c r="BJ545" s="322"/>
      <c r="BL545" s="322"/>
      <c r="BN545" s="322"/>
    </row>
    <row r="546" spans="14:66">
      <c r="N546" s="322"/>
      <c r="P546" s="322"/>
      <c r="R546" s="322"/>
      <c r="T546" s="322"/>
      <c r="V546" s="322"/>
      <c r="X546" s="322"/>
      <c r="Z546" s="322"/>
      <c r="AB546" s="322"/>
      <c r="AD546" s="322"/>
      <c r="AF546" s="322"/>
      <c r="AH546" s="322"/>
      <c r="AJ546" s="322"/>
      <c r="AL546" s="322"/>
      <c r="AN546" s="322"/>
      <c r="AP546" s="322"/>
      <c r="AR546" s="322"/>
      <c r="AT546" s="322"/>
      <c r="AV546" s="322"/>
      <c r="AX546" s="322"/>
      <c r="AZ546" s="322"/>
      <c r="BB546" s="322"/>
      <c r="BD546" s="322"/>
      <c r="BF546" s="322"/>
      <c r="BH546" s="322"/>
      <c r="BJ546" s="322"/>
      <c r="BL546" s="322"/>
      <c r="BN546" s="322"/>
    </row>
    <row r="547" spans="14:66">
      <c r="N547" s="322"/>
      <c r="P547" s="322"/>
      <c r="R547" s="322"/>
      <c r="T547" s="322"/>
      <c r="V547" s="322"/>
      <c r="X547" s="322"/>
      <c r="Z547" s="322"/>
      <c r="AB547" s="322"/>
      <c r="AD547" s="322"/>
      <c r="AF547" s="322"/>
      <c r="AH547" s="322"/>
      <c r="AJ547" s="322"/>
      <c r="AL547" s="322"/>
      <c r="AN547" s="322"/>
      <c r="AP547" s="322"/>
      <c r="AR547" s="322"/>
      <c r="AT547" s="322"/>
      <c r="AV547" s="322"/>
      <c r="AX547" s="322"/>
      <c r="AZ547" s="322"/>
      <c r="BB547" s="322"/>
      <c r="BD547" s="322"/>
      <c r="BF547" s="322"/>
      <c r="BH547" s="322"/>
      <c r="BJ547" s="322"/>
      <c r="BL547" s="322"/>
      <c r="BN547" s="322"/>
    </row>
    <row r="548" spans="14:66">
      <c r="N548" s="322"/>
      <c r="P548" s="322"/>
      <c r="R548" s="322"/>
      <c r="T548" s="322"/>
      <c r="V548" s="322"/>
      <c r="X548" s="322"/>
      <c r="Z548" s="322"/>
      <c r="AB548" s="322"/>
      <c r="AD548" s="322"/>
      <c r="AF548" s="322"/>
      <c r="AH548" s="322"/>
      <c r="AJ548" s="322"/>
      <c r="AL548" s="322"/>
      <c r="AN548" s="322"/>
      <c r="AP548" s="322"/>
      <c r="AR548" s="322"/>
      <c r="AT548" s="322"/>
      <c r="AV548" s="322"/>
      <c r="AX548" s="322"/>
      <c r="AZ548" s="322"/>
      <c r="BB548" s="322"/>
      <c r="BD548" s="322"/>
      <c r="BF548" s="322"/>
      <c r="BH548" s="322"/>
      <c r="BJ548" s="322"/>
      <c r="BL548" s="322"/>
      <c r="BN548" s="322"/>
    </row>
    <row r="549" spans="14:66">
      <c r="N549" s="322"/>
      <c r="P549" s="322"/>
      <c r="R549" s="322"/>
      <c r="T549" s="322"/>
      <c r="V549" s="322"/>
      <c r="X549" s="322"/>
      <c r="Z549" s="322"/>
      <c r="AB549" s="322"/>
      <c r="AD549" s="322"/>
      <c r="AF549" s="322"/>
      <c r="AH549" s="322"/>
      <c r="AJ549" s="322"/>
      <c r="AL549" s="322"/>
      <c r="AN549" s="322"/>
      <c r="AP549" s="322"/>
      <c r="AR549" s="322"/>
      <c r="AT549" s="322"/>
      <c r="AV549" s="322"/>
      <c r="AX549" s="322"/>
      <c r="AZ549" s="322"/>
      <c r="BB549" s="322"/>
      <c r="BD549" s="322"/>
      <c r="BF549" s="322"/>
      <c r="BH549" s="322"/>
      <c r="BJ549" s="322"/>
      <c r="BL549" s="322"/>
      <c r="BN549" s="322"/>
    </row>
    <row r="550" spans="14:66">
      <c r="N550" s="322"/>
      <c r="P550" s="322"/>
      <c r="R550" s="322"/>
      <c r="T550" s="322"/>
      <c r="V550" s="322"/>
      <c r="X550" s="322"/>
      <c r="Z550" s="322"/>
      <c r="AB550" s="322"/>
      <c r="AD550" s="322"/>
      <c r="AF550" s="322"/>
      <c r="AH550" s="322"/>
      <c r="AJ550" s="322"/>
      <c r="AL550" s="322"/>
      <c r="AN550" s="322"/>
      <c r="AP550" s="322"/>
      <c r="AR550" s="322"/>
      <c r="AT550" s="322"/>
      <c r="AV550" s="322"/>
      <c r="AX550" s="322"/>
      <c r="AZ550" s="322"/>
      <c r="BB550" s="322"/>
      <c r="BD550" s="322"/>
      <c r="BF550" s="322"/>
      <c r="BH550" s="322"/>
      <c r="BJ550" s="322"/>
      <c r="BL550" s="322"/>
      <c r="BN550" s="322"/>
    </row>
    <row r="551" spans="14:66">
      <c r="N551" s="322"/>
      <c r="P551" s="322"/>
      <c r="R551" s="322"/>
      <c r="T551" s="322"/>
      <c r="V551" s="322"/>
      <c r="X551" s="322"/>
      <c r="Z551" s="322"/>
      <c r="AB551" s="322"/>
      <c r="AD551" s="322"/>
      <c r="AF551" s="322"/>
      <c r="AH551" s="322"/>
      <c r="AJ551" s="322"/>
      <c r="AL551" s="322"/>
      <c r="AN551" s="322"/>
      <c r="AP551" s="322"/>
      <c r="AR551" s="322"/>
      <c r="AT551" s="322"/>
      <c r="AV551" s="322"/>
      <c r="AX551" s="322"/>
      <c r="AZ551" s="322"/>
      <c r="BB551" s="322"/>
      <c r="BD551" s="322"/>
      <c r="BF551" s="322"/>
      <c r="BH551" s="322"/>
      <c r="BJ551" s="322"/>
      <c r="BL551" s="322"/>
      <c r="BN551" s="322"/>
    </row>
    <row r="552" spans="14:66">
      <c r="N552" s="322"/>
      <c r="P552" s="322"/>
      <c r="R552" s="322"/>
      <c r="T552" s="322"/>
      <c r="V552" s="322"/>
      <c r="X552" s="322"/>
      <c r="Z552" s="322"/>
      <c r="AB552" s="322"/>
      <c r="AD552" s="322"/>
      <c r="AF552" s="322"/>
      <c r="AH552" s="322"/>
      <c r="AJ552" s="322"/>
      <c r="AL552" s="322"/>
      <c r="AN552" s="322"/>
      <c r="AP552" s="322"/>
      <c r="AR552" s="322"/>
      <c r="AT552" s="322"/>
      <c r="AV552" s="322"/>
      <c r="AX552" s="322"/>
      <c r="AZ552" s="322"/>
      <c r="BB552" s="322"/>
      <c r="BD552" s="322"/>
      <c r="BF552" s="322"/>
      <c r="BH552" s="322"/>
      <c r="BJ552" s="322"/>
      <c r="BL552" s="322"/>
      <c r="BN552" s="322"/>
    </row>
    <row r="553" spans="14:66">
      <c r="N553" s="322"/>
      <c r="P553" s="322"/>
      <c r="R553" s="322"/>
      <c r="T553" s="322"/>
      <c r="V553" s="322"/>
      <c r="X553" s="322"/>
      <c r="Z553" s="322"/>
      <c r="AB553" s="322"/>
      <c r="AD553" s="322"/>
      <c r="AF553" s="322"/>
      <c r="AH553" s="322"/>
      <c r="AJ553" s="322"/>
      <c r="AL553" s="322"/>
      <c r="AN553" s="322"/>
      <c r="AP553" s="322"/>
      <c r="AR553" s="322"/>
      <c r="AT553" s="322"/>
      <c r="AV553" s="322"/>
      <c r="AX553" s="322"/>
      <c r="AZ553" s="322"/>
      <c r="BB553" s="322"/>
      <c r="BD553" s="322"/>
      <c r="BF553" s="322"/>
      <c r="BH553" s="322"/>
      <c r="BJ553" s="322"/>
      <c r="BL553" s="322"/>
      <c r="BN553" s="322"/>
    </row>
    <row r="554" spans="14:66">
      <c r="N554" s="322"/>
      <c r="P554" s="322"/>
      <c r="R554" s="322"/>
      <c r="T554" s="322"/>
      <c r="V554" s="322"/>
      <c r="X554" s="322"/>
      <c r="Z554" s="322"/>
      <c r="AB554" s="322"/>
      <c r="AD554" s="322"/>
      <c r="AF554" s="322"/>
      <c r="AH554" s="322"/>
      <c r="AJ554" s="322"/>
      <c r="AL554" s="322"/>
      <c r="AN554" s="322"/>
      <c r="AP554" s="322"/>
      <c r="AR554" s="322"/>
      <c r="AT554" s="322"/>
      <c r="AV554" s="322"/>
      <c r="AX554" s="322"/>
      <c r="AZ554" s="322"/>
      <c r="BB554" s="322"/>
      <c r="BD554" s="322"/>
      <c r="BF554" s="322"/>
      <c r="BH554" s="322"/>
      <c r="BJ554" s="322"/>
      <c r="BL554" s="322"/>
      <c r="BN554" s="322"/>
    </row>
    <row r="555" spans="14:66">
      <c r="N555" s="322"/>
      <c r="P555" s="322"/>
      <c r="R555" s="322"/>
      <c r="T555" s="322"/>
      <c r="V555" s="322"/>
      <c r="X555" s="322"/>
      <c r="Z555" s="322"/>
      <c r="AB555" s="322"/>
      <c r="AD555" s="322"/>
      <c r="AF555" s="322"/>
      <c r="AH555" s="322"/>
      <c r="AJ555" s="322"/>
      <c r="AL555" s="322"/>
      <c r="AN555" s="322"/>
      <c r="AP555" s="322"/>
      <c r="AR555" s="322"/>
      <c r="AT555" s="322"/>
      <c r="AV555" s="322"/>
      <c r="AX555" s="322"/>
      <c r="AZ555" s="322"/>
      <c r="BB555" s="322"/>
      <c r="BD555" s="322"/>
      <c r="BF555" s="322"/>
      <c r="BH555" s="322"/>
      <c r="BJ555" s="322"/>
      <c r="BL555" s="322"/>
      <c r="BN555" s="322"/>
    </row>
    <row r="556" spans="14:66">
      <c r="N556" s="322"/>
      <c r="P556" s="322"/>
      <c r="R556" s="322"/>
      <c r="T556" s="322"/>
      <c r="V556" s="322"/>
      <c r="X556" s="322"/>
      <c r="Z556" s="322"/>
      <c r="AB556" s="322"/>
      <c r="AD556" s="322"/>
      <c r="AF556" s="322"/>
      <c r="AH556" s="322"/>
      <c r="AJ556" s="322"/>
      <c r="AL556" s="322"/>
      <c r="AN556" s="322"/>
      <c r="AP556" s="322"/>
      <c r="AR556" s="322"/>
      <c r="AT556" s="322"/>
      <c r="AV556" s="322"/>
      <c r="AX556" s="322"/>
      <c r="AZ556" s="322"/>
      <c r="BB556" s="322"/>
      <c r="BD556" s="322"/>
      <c r="BF556" s="322"/>
      <c r="BH556" s="322"/>
      <c r="BJ556" s="322"/>
      <c r="BL556" s="322"/>
      <c r="BN556" s="322"/>
    </row>
    <row r="557" spans="14:66">
      <c r="N557" s="322"/>
      <c r="P557" s="322"/>
      <c r="R557" s="322"/>
      <c r="T557" s="322"/>
      <c r="V557" s="322"/>
      <c r="X557" s="322"/>
      <c r="Z557" s="322"/>
      <c r="AB557" s="322"/>
      <c r="AD557" s="322"/>
      <c r="AF557" s="322"/>
      <c r="AH557" s="322"/>
      <c r="AJ557" s="322"/>
      <c r="AL557" s="322"/>
      <c r="AN557" s="322"/>
      <c r="AP557" s="322"/>
      <c r="AR557" s="322"/>
      <c r="AT557" s="322"/>
      <c r="AV557" s="322"/>
      <c r="AX557" s="322"/>
      <c r="AZ557" s="322"/>
      <c r="BB557" s="322"/>
      <c r="BD557" s="322"/>
      <c r="BF557" s="322"/>
      <c r="BH557" s="322"/>
      <c r="BJ557" s="322"/>
      <c r="BL557" s="322"/>
      <c r="BN557" s="322"/>
    </row>
    <row r="558" spans="14:66">
      <c r="N558" s="322"/>
      <c r="P558" s="322"/>
      <c r="R558" s="322"/>
      <c r="T558" s="322"/>
      <c r="V558" s="322"/>
      <c r="X558" s="322"/>
      <c r="Z558" s="322"/>
      <c r="AB558" s="322"/>
      <c r="AD558" s="322"/>
      <c r="AF558" s="322"/>
      <c r="AH558" s="322"/>
      <c r="AJ558" s="322"/>
      <c r="AL558" s="322"/>
      <c r="AN558" s="322"/>
      <c r="AP558" s="322"/>
      <c r="AR558" s="322"/>
      <c r="AT558" s="322"/>
      <c r="AV558" s="322"/>
      <c r="AX558" s="322"/>
      <c r="AZ558" s="322"/>
      <c r="BB558" s="322"/>
      <c r="BD558" s="322"/>
      <c r="BF558" s="322"/>
      <c r="BH558" s="322"/>
      <c r="BJ558" s="322"/>
      <c r="BL558" s="322"/>
      <c r="BN558" s="322"/>
    </row>
    <row r="559" spans="14:66">
      <c r="N559" s="322"/>
      <c r="P559" s="322"/>
      <c r="R559" s="322"/>
      <c r="T559" s="322"/>
      <c r="V559" s="322"/>
      <c r="X559" s="322"/>
      <c r="Z559" s="322"/>
      <c r="AB559" s="322"/>
      <c r="AD559" s="322"/>
      <c r="AF559" s="322"/>
      <c r="AH559" s="322"/>
      <c r="AJ559" s="322"/>
      <c r="AL559" s="322"/>
      <c r="AN559" s="322"/>
      <c r="AP559" s="322"/>
      <c r="AR559" s="322"/>
      <c r="AT559" s="322"/>
      <c r="AV559" s="322"/>
      <c r="AX559" s="322"/>
      <c r="AZ559" s="322"/>
      <c r="BB559" s="322"/>
      <c r="BD559" s="322"/>
      <c r="BF559" s="322"/>
      <c r="BH559" s="322"/>
      <c r="BJ559" s="322"/>
      <c r="BL559" s="322"/>
      <c r="BN559" s="322"/>
    </row>
    <row r="560" spans="14:66">
      <c r="N560" s="322"/>
      <c r="P560" s="322"/>
      <c r="R560" s="322"/>
      <c r="T560" s="322"/>
      <c r="V560" s="322"/>
      <c r="X560" s="322"/>
      <c r="Z560" s="322"/>
      <c r="AB560" s="322"/>
      <c r="AD560" s="322"/>
      <c r="AF560" s="322"/>
      <c r="AH560" s="322"/>
      <c r="AJ560" s="322"/>
      <c r="AL560" s="322"/>
      <c r="AN560" s="322"/>
      <c r="AP560" s="322"/>
      <c r="AR560" s="322"/>
      <c r="AT560" s="322"/>
      <c r="AV560" s="322"/>
      <c r="AX560" s="322"/>
      <c r="AZ560" s="322"/>
      <c r="BB560" s="322"/>
      <c r="BD560" s="322"/>
      <c r="BF560" s="322"/>
      <c r="BH560" s="322"/>
      <c r="BJ560" s="322"/>
      <c r="BL560" s="322"/>
      <c r="BN560" s="322"/>
    </row>
    <row r="561" spans="14:66">
      <c r="N561" s="322"/>
      <c r="P561" s="322"/>
      <c r="R561" s="322"/>
      <c r="T561" s="322"/>
      <c r="V561" s="322"/>
      <c r="X561" s="322"/>
      <c r="Z561" s="322"/>
      <c r="AB561" s="322"/>
      <c r="AD561" s="322"/>
      <c r="AF561" s="322"/>
      <c r="AH561" s="322"/>
      <c r="AJ561" s="322"/>
      <c r="AL561" s="322"/>
      <c r="AN561" s="322"/>
      <c r="AP561" s="322"/>
      <c r="AR561" s="322"/>
      <c r="AT561" s="322"/>
      <c r="AV561" s="322"/>
      <c r="AX561" s="322"/>
      <c r="AZ561" s="322"/>
      <c r="BB561" s="322"/>
      <c r="BD561" s="322"/>
      <c r="BF561" s="322"/>
      <c r="BH561" s="322"/>
      <c r="BJ561" s="322"/>
      <c r="BL561" s="322"/>
      <c r="BN561" s="322"/>
    </row>
    <row r="562" spans="14:66">
      <c r="N562" s="322"/>
      <c r="P562" s="322"/>
      <c r="R562" s="322"/>
      <c r="T562" s="322"/>
      <c r="V562" s="322"/>
      <c r="X562" s="322"/>
      <c r="Z562" s="322"/>
      <c r="AB562" s="322"/>
      <c r="AD562" s="322"/>
      <c r="AF562" s="322"/>
      <c r="AH562" s="322"/>
      <c r="AJ562" s="322"/>
      <c r="AL562" s="322"/>
      <c r="AN562" s="322"/>
      <c r="AP562" s="322"/>
      <c r="AR562" s="322"/>
      <c r="AT562" s="322"/>
      <c r="AV562" s="322"/>
      <c r="AX562" s="322"/>
      <c r="AZ562" s="322"/>
      <c r="BB562" s="322"/>
      <c r="BD562" s="322"/>
      <c r="BF562" s="322"/>
      <c r="BH562" s="322"/>
      <c r="BJ562" s="322"/>
      <c r="BL562" s="322"/>
      <c r="BN562" s="322"/>
    </row>
    <row r="563" spans="14:66">
      <c r="N563" s="322"/>
      <c r="P563" s="322"/>
      <c r="R563" s="322"/>
      <c r="T563" s="322"/>
      <c r="V563" s="322"/>
      <c r="X563" s="322"/>
      <c r="Z563" s="322"/>
      <c r="AB563" s="322"/>
      <c r="AD563" s="322"/>
      <c r="AF563" s="322"/>
      <c r="AH563" s="322"/>
      <c r="AJ563" s="322"/>
      <c r="AL563" s="322"/>
      <c r="AN563" s="322"/>
      <c r="AP563" s="322"/>
      <c r="AR563" s="322"/>
      <c r="AT563" s="322"/>
      <c r="AV563" s="322"/>
      <c r="AX563" s="322"/>
      <c r="AZ563" s="322"/>
      <c r="BB563" s="322"/>
      <c r="BD563" s="322"/>
      <c r="BF563" s="322"/>
      <c r="BH563" s="322"/>
      <c r="BJ563" s="322"/>
      <c r="BL563" s="322"/>
      <c r="BN563" s="322"/>
    </row>
    <row r="564" spans="14:66">
      <c r="N564" s="322"/>
      <c r="P564" s="322"/>
      <c r="R564" s="322"/>
      <c r="T564" s="322"/>
      <c r="V564" s="322"/>
      <c r="X564" s="322"/>
      <c r="Z564" s="322"/>
      <c r="AB564" s="322"/>
      <c r="AD564" s="322"/>
      <c r="AF564" s="322"/>
      <c r="AH564" s="322"/>
      <c r="AJ564" s="322"/>
      <c r="AL564" s="322"/>
      <c r="AN564" s="322"/>
      <c r="AP564" s="322"/>
      <c r="AR564" s="322"/>
      <c r="AT564" s="322"/>
      <c r="AV564" s="322"/>
      <c r="AX564" s="322"/>
      <c r="AZ564" s="322"/>
      <c r="BB564" s="322"/>
      <c r="BD564" s="322"/>
      <c r="BF564" s="322"/>
      <c r="BH564" s="322"/>
      <c r="BJ564" s="322"/>
      <c r="BL564" s="322"/>
      <c r="BN564" s="322"/>
    </row>
    <row r="565" spans="14:66">
      <c r="N565" s="322"/>
      <c r="P565" s="322"/>
      <c r="R565" s="322"/>
      <c r="T565" s="322"/>
      <c r="V565" s="322"/>
      <c r="X565" s="322"/>
      <c r="Z565" s="322"/>
      <c r="AB565" s="322"/>
      <c r="AD565" s="322"/>
      <c r="AF565" s="322"/>
      <c r="AH565" s="322"/>
      <c r="AJ565" s="322"/>
      <c r="AL565" s="322"/>
      <c r="AN565" s="322"/>
      <c r="AP565" s="322"/>
      <c r="AR565" s="322"/>
      <c r="AT565" s="322"/>
      <c r="AV565" s="322"/>
      <c r="AX565" s="322"/>
      <c r="AZ565" s="322"/>
      <c r="BB565" s="322"/>
      <c r="BD565" s="322"/>
      <c r="BF565" s="322"/>
      <c r="BH565" s="322"/>
      <c r="BJ565" s="322"/>
      <c r="BL565" s="322"/>
      <c r="BN565" s="322"/>
    </row>
    <row r="566" spans="14:66">
      <c r="N566" s="322"/>
      <c r="P566" s="322"/>
      <c r="R566" s="322"/>
      <c r="T566" s="322"/>
      <c r="V566" s="322"/>
      <c r="X566" s="322"/>
      <c r="Z566" s="322"/>
      <c r="AB566" s="322"/>
      <c r="AD566" s="322"/>
      <c r="AF566" s="322"/>
      <c r="AH566" s="322"/>
      <c r="AJ566" s="322"/>
      <c r="AL566" s="322"/>
      <c r="AN566" s="322"/>
      <c r="AP566" s="322"/>
      <c r="AR566" s="322"/>
      <c r="AT566" s="322"/>
      <c r="AV566" s="322"/>
      <c r="AX566" s="322"/>
      <c r="AZ566" s="322"/>
      <c r="BB566" s="322"/>
      <c r="BD566" s="322"/>
      <c r="BF566" s="322"/>
      <c r="BH566" s="322"/>
      <c r="BJ566" s="322"/>
      <c r="BL566" s="322"/>
      <c r="BN566" s="322"/>
    </row>
    <row r="567" spans="14:66">
      <c r="N567" s="322"/>
      <c r="P567" s="322"/>
      <c r="R567" s="322"/>
      <c r="T567" s="322"/>
      <c r="V567" s="322"/>
      <c r="X567" s="322"/>
      <c r="Z567" s="322"/>
      <c r="AB567" s="322"/>
      <c r="AD567" s="322"/>
      <c r="AF567" s="322"/>
      <c r="AH567" s="322"/>
      <c r="AJ567" s="322"/>
      <c r="AL567" s="322"/>
      <c r="AN567" s="322"/>
      <c r="AP567" s="322"/>
      <c r="AR567" s="322"/>
      <c r="AT567" s="322"/>
      <c r="AV567" s="322"/>
      <c r="AX567" s="322"/>
      <c r="AZ567" s="322"/>
      <c r="BB567" s="322"/>
      <c r="BD567" s="322"/>
      <c r="BF567" s="322"/>
      <c r="BH567" s="322"/>
      <c r="BJ567" s="322"/>
      <c r="BL567" s="322"/>
      <c r="BN567" s="322"/>
    </row>
    <row r="568" spans="14:66">
      <c r="N568" s="322"/>
      <c r="P568" s="322"/>
      <c r="R568" s="322"/>
      <c r="T568" s="322"/>
      <c r="V568" s="322"/>
      <c r="X568" s="322"/>
      <c r="Z568" s="322"/>
      <c r="AB568" s="322"/>
      <c r="AD568" s="322"/>
      <c r="AF568" s="322"/>
      <c r="AH568" s="322"/>
      <c r="AJ568" s="322"/>
      <c r="AL568" s="322"/>
      <c r="AN568" s="322"/>
      <c r="AP568" s="322"/>
      <c r="AR568" s="322"/>
      <c r="AT568" s="322"/>
      <c r="AV568" s="322"/>
      <c r="AX568" s="322"/>
      <c r="AZ568" s="322"/>
      <c r="BB568" s="322"/>
      <c r="BD568" s="322"/>
      <c r="BF568" s="322"/>
      <c r="BH568" s="322"/>
      <c r="BJ568" s="322"/>
      <c r="BL568" s="322"/>
      <c r="BN568" s="322"/>
    </row>
    <row r="569" spans="14:66">
      <c r="N569" s="322"/>
      <c r="P569" s="322"/>
      <c r="R569" s="322"/>
      <c r="T569" s="322"/>
      <c r="V569" s="322"/>
      <c r="X569" s="322"/>
      <c r="Z569" s="322"/>
      <c r="AB569" s="322"/>
      <c r="AD569" s="322"/>
      <c r="AF569" s="322"/>
      <c r="AH569" s="322"/>
      <c r="AJ569" s="322"/>
      <c r="AL569" s="322"/>
      <c r="AN569" s="322"/>
      <c r="AP569" s="322"/>
      <c r="AR569" s="322"/>
      <c r="AT569" s="322"/>
      <c r="AV569" s="322"/>
      <c r="AX569" s="322"/>
      <c r="AZ569" s="322"/>
      <c r="BB569" s="322"/>
      <c r="BD569" s="322"/>
      <c r="BF569" s="322"/>
      <c r="BH569" s="322"/>
      <c r="BJ569" s="322"/>
      <c r="BL569" s="322"/>
      <c r="BN569" s="322"/>
    </row>
    <row r="570" spans="14:66">
      <c r="N570" s="322"/>
      <c r="P570" s="322"/>
      <c r="R570" s="322"/>
      <c r="T570" s="322"/>
      <c r="V570" s="322"/>
      <c r="X570" s="322"/>
      <c r="Z570" s="322"/>
      <c r="AB570" s="322"/>
      <c r="AD570" s="322"/>
      <c r="AF570" s="322"/>
      <c r="AH570" s="322"/>
      <c r="AJ570" s="322"/>
      <c r="AL570" s="322"/>
      <c r="AN570" s="322"/>
      <c r="AP570" s="322"/>
      <c r="AR570" s="322"/>
      <c r="AT570" s="322"/>
      <c r="AV570" s="322"/>
      <c r="AX570" s="322"/>
      <c r="AZ570" s="322"/>
      <c r="BB570" s="322"/>
      <c r="BD570" s="322"/>
      <c r="BF570" s="322"/>
      <c r="BH570" s="322"/>
      <c r="BJ570" s="322"/>
      <c r="BL570" s="322"/>
      <c r="BN570" s="322"/>
    </row>
    <row r="571" spans="14:66">
      <c r="N571" s="322"/>
      <c r="P571" s="322"/>
      <c r="R571" s="322"/>
      <c r="T571" s="322"/>
      <c r="V571" s="322"/>
      <c r="X571" s="322"/>
      <c r="Z571" s="322"/>
      <c r="AB571" s="322"/>
      <c r="AD571" s="322"/>
      <c r="AF571" s="322"/>
      <c r="AH571" s="322"/>
      <c r="AJ571" s="322"/>
      <c r="AL571" s="322"/>
      <c r="AN571" s="322"/>
      <c r="AP571" s="322"/>
      <c r="AR571" s="322"/>
      <c r="AT571" s="322"/>
      <c r="AV571" s="322"/>
      <c r="AX571" s="322"/>
      <c r="AZ571" s="322"/>
      <c r="BB571" s="322"/>
      <c r="BD571" s="322"/>
      <c r="BF571" s="322"/>
      <c r="BH571" s="322"/>
      <c r="BJ571" s="322"/>
      <c r="BL571" s="322"/>
      <c r="BN571" s="322"/>
    </row>
    <row r="572" spans="14:66">
      <c r="N572" s="322"/>
      <c r="P572" s="322"/>
      <c r="R572" s="322"/>
      <c r="T572" s="322"/>
      <c r="V572" s="322"/>
      <c r="X572" s="322"/>
      <c r="Z572" s="322"/>
      <c r="AB572" s="322"/>
      <c r="AD572" s="322"/>
      <c r="AF572" s="322"/>
      <c r="AH572" s="322"/>
      <c r="AJ572" s="322"/>
      <c r="AL572" s="322"/>
      <c r="AN572" s="322"/>
      <c r="AP572" s="322"/>
      <c r="AR572" s="322"/>
      <c r="AT572" s="322"/>
      <c r="AV572" s="322"/>
      <c r="AX572" s="322"/>
      <c r="AZ572" s="322"/>
      <c r="BB572" s="322"/>
      <c r="BD572" s="322"/>
      <c r="BF572" s="322"/>
      <c r="BH572" s="322"/>
      <c r="BJ572" s="322"/>
      <c r="BL572" s="322"/>
      <c r="BN572" s="322"/>
    </row>
    <row r="573" spans="14:66">
      <c r="N573" s="322"/>
      <c r="P573" s="322"/>
      <c r="R573" s="322"/>
      <c r="T573" s="322"/>
      <c r="V573" s="322"/>
      <c r="X573" s="322"/>
      <c r="Z573" s="322"/>
      <c r="AB573" s="322"/>
      <c r="AD573" s="322"/>
      <c r="AF573" s="322"/>
      <c r="AH573" s="322"/>
      <c r="AJ573" s="322"/>
      <c r="AL573" s="322"/>
      <c r="AN573" s="322"/>
      <c r="AP573" s="322"/>
      <c r="AR573" s="322"/>
      <c r="AT573" s="322"/>
      <c r="AV573" s="322"/>
      <c r="AX573" s="322"/>
      <c r="AZ573" s="322"/>
      <c r="BB573" s="322"/>
      <c r="BD573" s="322"/>
      <c r="BF573" s="322"/>
      <c r="BH573" s="322"/>
      <c r="BJ573" s="322"/>
      <c r="BL573" s="322"/>
      <c r="BN573" s="322"/>
    </row>
    <row r="574" spans="14:66">
      <c r="N574" s="322"/>
      <c r="P574" s="322"/>
      <c r="R574" s="322"/>
      <c r="T574" s="322"/>
      <c r="V574" s="322"/>
      <c r="X574" s="322"/>
      <c r="Z574" s="322"/>
      <c r="AB574" s="322"/>
      <c r="AD574" s="322"/>
      <c r="AF574" s="322"/>
      <c r="AH574" s="322"/>
      <c r="AJ574" s="322"/>
      <c r="AL574" s="322"/>
      <c r="AN574" s="322"/>
      <c r="AP574" s="322"/>
      <c r="AR574" s="322"/>
      <c r="AT574" s="322"/>
      <c r="AV574" s="322"/>
      <c r="AX574" s="322"/>
      <c r="AZ574" s="322"/>
      <c r="BB574" s="322"/>
      <c r="BD574" s="322"/>
      <c r="BF574" s="322"/>
      <c r="BH574" s="322"/>
      <c r="BJ574" s="322"/>
      <c r="BL574" s="322"/>
      <c r="BN574" s="322"/>
    </row>
    <row r="575" spans="14:66">
      <c r="N575" s="322"/>
      <c r="P575" s="322"/>
      <c r="R575" s="322"/>
      <c r="T575" s="322"/>
      <c r="V575" s="322"/>
      <c r="X575" s="322"/>
      <c r="Z575" s="322"/>
      <c r="AB575" s="322"/>
      <c r="AD575" s="322"/>
      <c r="AF575" s="322"/>
      <c r="AH575" s="322"/>
      <c r="AJ575" s="322"/>
      <c r="AL575" s="322"/>
      <c r="AN575" s="322"/>
      <c r="AP575" s="322"/>
      <c r="AR575" s="322"/>
      <c r="AT575" s="322"/>
      <c r="AV575" s="322"/>
      <c r="AX575" s="322"/>
      <c r="AZ575" s="322"/>
      <c r="BB575" s="322"/>
      <c r="BD575" s="322"/>
      <c r="BF575" s="322"/>
      <c r="BH575" s="322"/>
      <c r="BJ575" s="322"/>
      <c r="BL575" s="322"/>
      <c r="BN575" s="322"/>
    </row>
    <row r="576" spans="14:66">
      <c r="N576" s="322"/>
      <c r="P576" s="322"/>
      <c r="R576" s="322"/>
      <c r="T576" s="322"/>
      <c r="V576" s="322"/>
      <c r="X576" s="322"/>
      <c r="Z576" s="322"/>
      <c r="AB576" s="322"/>
      <c r="AD576" s="322"/>
      <c r="AF576" s="322"/>
      <c r="AH576" s="322"/>
      <c r="AJ576" s="322"/>
      <c r="AL576" s="322"/>
      <c r="AN576" s="322"/>
      <c r="AP576" s="322"/>
      <c r="AR576" s="322"/>
      <c r="AT576" s="322"/>
      <c r="AV576" s="322"/>
      <c r="AX576" s="322"/>
      <c r="AZ576" s="322"/>
      <c r="BB576" s="322"/>
      <c r="BD576" s="322"/>
      <c r="BF576" s="322"/>
      <c r="BH576" s="322"/>
      <c r="BJ576" s="322"/>
      <c r="BL576" s="322"/>
      <c r="BN576" s="322"/>
    </row>
    <row r="577" spans="14:66">
      <c r="N577" s="322"/>
      <c r="P577" s="322"/>
      <c r="R577" s="322"/>
      <c r="T577" s="322"/>
      <c r="V577" s="322"/>
      <c r="X577" s="322"/>
      <c r="Z577" s="322"/>
      <c r="AB577" s="322"/>
      <c r="AD577" s="322"/>
      <c r="AF577" s="322"/>
      <c r="AH577" s="322"/>
      <c r="AJ577" s="322"/>
      <c r="AL577" s="322"/>
      <c r="AN577" s="322"/>
      <c r="AP577" s="322"/>
      <c r="AR577" s="322"/>
      <c r="AT577" s="322"/>
      <c r="AV577" s="322"/>
      <c r="AX577" s="322"/>
      <c r="AZ577" s="322"/>
      <c r="BB577" s="322"/>
      <c r="BD577" s="322"/>
      <c r="BF577" s="322"/>
      <c r="BH577" s="322"/>
      <c r="BJ577" s="322"/>
      <c r="BL577" s="322"/>
      <c r="BN577" s="322"/>
    </row>
    <row r="578" spans="14:66">
      <c r="N578" s="322"/>
      <c r="P578" s="322"/>
      <c r="R578" s="322"/>
      <c r="T578" s="322"/>
      <c r="V578" s="322"/>
      <c r="X578" s="322"/>
      <c r="Z578" s="322"/>
      <c r="AB578" s="322"/>
      <c r="AD578" s="322"/>
      <c r="AF578" s="322"/>
      <c r="AH578" s="322"/>
      <c r="AJ578" s="322"/>
      <c r="AL578" s="322"/>
      <c r="AN578" s="322"/>
      <c r="AP578" s="322"/>
      <c r="AR578" s="322"/>
      <c r="AT578" s="322"/>
      <c r="AV578" s="322"/>
      <c r="AX578" s="322"/>
      <c r="AZ578" s="322"/>
      <c r="BB578" s="322"/>
      <c r="BD578" s="322"/>
      <c r="BF578" s="322"/>
      <c r="BH578" s="322"/>
      <c r="BJ578" s="322"/>
      <c r="BL578" s="322"/>
      <c r="BN578" s="322"/>
    </row>
    <row r="579" spans="14:66">
      <c r="N579" s="322"/>
      <c r="P579" s="322"/>
      <c r="R579" s="322"/>
      <c r="T579" s="322"/>
      <c r="V579" s="322"/>
      <c r="X579" s="322"/>
      <c r="Z579" s="322"/>
      <c r="AB579" s="322"/>
      <c r="AD579" s="322"/>
      <c r="AF579" s="322"/>
      <c r="AH579" s="322"/>
      <c r="AJ579" s="322"/>
      <c r="AL579" s="322"/>
      <c r="AN579" s="322"/>
      <c r="AP579" s="322"/>
      <c r="AR579" s="322"/>
      <c r="AT579" s="322"/>
      <c r="AV579" s="322"/>
      <c r="AX579" s="322"/>
      <c r="AZ579" s="322"/>
      <c r="BB579" s="322"/>
      <c r="BD579" s="322"/>
      <c r="BF579" s="322"/>
      <c r="BH579" s="322"/>
      <c r="BJ579" s="322"/>
      <c r="BL579" s="322"/>
      <c r="BN579" s="322"/>
    </row>
    <row r="580" spans="14:66">
      <c r="N580" s="322"/>
      <c r="P580" s="322"/>
      <c r="R580" s="322"/>
      <c r="T580" s="322"/>
      <c r="V580" s="322"/>
      <c r="X580" s="322"/>
      <c r="Z580" s="322"/>
      <c r="AB580" s="322"/>
      <c r="AD580" s="322"/>
      <c r="AF580" s="322"/>
      <c r="AH580" s="322"/>
      <c r="AJ580" s="322"/>
      <c r="AL580" s="322"/>
      <c r="AN580" s="322"/>
      <c r="AP580" s="322"/>
      <c r="AR580" s="322"/>
      <c r="AT580" s="322"/>
      <c r="AV580" s="322"/>
      <c r="AX580" s="322"/>
      <c r="AZ580" s="322"/>
      <c r="BB580" s="322"/>
      <c r="BD580" s="322"/>
      <c r="BF580" s="322"/>
      <c r="BH580" s="322"/>
      <c r="BJ580" s="322"/>
      <c r="BL580" s="322"/>
      <c r="BN580" s="322"/>
    </row>
    <row r="581" spans="14:66">
      <c r="N581" s="322"/>
      <c r="P581" s="322"/>
      <c r="R581" s="322"/>
      <c r="T581" s="322"/>
      <c r="V581" s="322"/>
      <c r="X581" s="322"/>
      <c r="Z581" s="322"/>
      <c r="AB581" s="322"/>
      <c r="AD581" s="322"/>
      <c r="AF581" s="322"/>
      <c r="AH581" s="322"/>
      <c r="AJ581" s="322"/>
      <c r="AL581" s="322"/>
      <c r="AN581" s="322"/>
      <c r="AP581" s="322"/>
      <c r="AR581" s="322"/>
      <c r="AT581" s="322"/>
      <c r="AV581" s="322"/>
      <c r="AX581" s="322"/>
      <c r="AZ581" s="322"/>
      <c r="BB581" s="322"/>
      <c r="BD581" s="322"/>
      <c r="BF581" s="322"/>
      <c r="BH581" s="322"/>
      <c r="BJ581" s="322"/>
      <c r="BL581" s="322"/>
      <c r="BN581" s="322"/>
    </row>
    <row r="582" spans="14:66">
      <c r="N582" s="322"/>
      <c r="P582" s="322"/>
      <c r="R582" s="322"/>
      <c r="T582" s="322"/>
      <c r="V582" s="322"/>
      <c r="X582" s="322"/>
      <c r="Z582" s="322"/>
      <c r="AB582" s="322"/>
      <c r="AD582" s="322"/>
      <c r="AF582" s="322"/>
      <c r="AH582" s="322"/>
      <c r="AJ582" s="322"/>
      <c r="AL582" s="322"/>
      <c r="AN582" s="322"/>
      <c r="AP582" s="322"/>
      <c r="AR582" s="322"/>
      <c r="AT582" s="322"/>
      <c r="AV582" s="322"/>
      <c r="AX582" s="322"/>
      <c r="AZ582" s="322"/>
      <c r="BB582" s="322"/>
      <c r="BD582" s="322"/>
      <c r="BF582" s="322"/>
      <c r="BH582" s="322"/>
      <c r="BJ582" s="322"/>
      <c r="BL582" s="322"/>
      <c r="BN582" s="322"/>
    </row>
    <row r="583" spans="14:66">
      <c r="N583" s="322"/>
      <c r="P583" s="322"/>
      <c r="R583" s="322"/>
      <c r="T583" s="322"/>
      <c r="V583" s="322"/>
      <c r="X583" s="322"/>
      <c r="Z583" s="322"/>
      <c r="AB583" s="322"/>
      <c r="AD583" s="322"/>
      <c r="AF583" s="322"/>
      <c r="AH583" s="322"/>
      <c r="AJ583" s="322"/>
      <c r="AL583" s="322"/>
      <c r="AN583" s="322"/>
      <c r="AP583" s="322"/>
      <c r="AR583" s="322"/>
      <c r="AT583" s="322"/>
      <c r="AV583" s="322"/>
      <c r="AX583" s="322"/>
      <c r="AZ583" s="322"/>
      <c r="BB583" s="322"/>
      <c r="BD583" s="322"/>
      <c r="BF583" s="322"/>
      <c r="BH583" s="322"/>
      <c r="BJ583" s="322"/>
      <c r="BL583" s="322"/>
      <c r="BN583" s="322"/>
    </row>
    <row r="584" spans="14:66">
      <c r="N584" s="322"/>
      <c r="P584" s="322"/>
      <c r="R584" s="322"/>
      <c r="T584" s="322"/>
      <c r="V584" s="322"/>
      <c r="X584" s="322"/>
      <c r="Z584" s="322"/>
      <c r="AB584" s="322"/>
      <c r="AD584" s="322"/>
      <c r="AF584" s="322"/>
      <c r="AH584" s="322"/>
      <c r="AJ584" s="322"/>
      <c r="AL584" s="322"/>
      <c r="AN584" s="322"/>
      <c r="AP584" s="322"/>
      <c r="AR584" s="322"/>
      <c r="AT584" s="322"/>
      <c r="AV584" s="322"/>
      <c r="AX584" s="322"/>
      <c r="AZ584" s="322"/>
      <c r="BB584" s="322"/>
      <c r="BD584" s="322"/>
      <c r="BF584" s="322"/>
      <c r="BH584" s="322"/>
      <c r="BJ584" s="322"/>
      <c r="BL584" s="322"/>
      <c r="BN584" s="322"/>
    </row>
    <row r="585" spans="14:66">
      <c r="N585" s="322"/>
      <c r="P585" s="322"/>
      <c r="R585" s="322"/>
      <c r="T585" s="322"/>
      <c r="V585" s="322"/>
      <c r="X585" s="322"/>
      <c r="Z585" s="322"/>
      <c r="AB585" s="322"/>
      <c r="AD585" s="322"/>
      <c r="AF585" s="322"/>
      <c r="AH585" s="322"/>
      <c r="AJ585" s="322"/>
      <c r="AL585" s="322"/>
      <c r="AN585" s="322"/>
      <c r="AP585" s="322"/>
      <c r="AR585" s="322"/>
      <c r="AT585" s="322"/>
      <c r="AV585" s="322"/>
      <c r="AX585" s="322"/>
      <c r="AZ585" s="322"/>
      <c r="BB585" s="322"/>
      <c r="BD585" s="322"/>
      <c r="BF585" s="322"/>
      <c r="BH585" s="322"/>
      <c r="BJ585" s="322"/>
      <c r="BL585" s="322"/>
      <c r="BN585" s="322"/>
    </row>
    <row r="586" spans="14:66">
      <c r="N586" s="322"/>
      <c r="P586" s="322"/>
      <c r="R586" s="322"/>
      <c r="T586" s="322"/>
      <c r="V586" s="322"/>
      <c r="X586" s="322"/>
      <c r="Z586" s="322"/>
      <c r="AB586" s="322"/>
      <c r="AD586" s="322"/>
      <c r="AF586" s="322"/>
      <c r="AH586" s="322"/>
      <c r="AJ586" s="322"/>
      <c r="AL586" s="322"/>
      <c r="AN586" s="322"/>
      <c r="AP586" s="322"/>
      <c r="AR586" s="322"/>
      <c r="AT586" s="322"/>
      <c r="AV586" s="322"/>
      <c r="AX586" s="322"/>
      <c r="AZ586" s="322"/>
      <c r="BB586" s="322"/>
      <c r="BD586" s="322"/>
      <c r="BF586" s="322"/>
      <c r="BH586" s="322"/>
      <c r="BJ586" s="322"/>
      <c r="BL586" s="322"/>
      <c r="BN586" s="322"/>
    </row>
    <row r="587" spans="14:66">
      <c r="N587" s="322"/>
      <c r="P587" s="322"/>
      <c r="R587" s="322"/>
      <c r="T587" s="322"/>
      <c r="V587" s="322"/>
      <c r="X587" s="322"/>
      <c r="Z587" s="322"/>
      <c r="AB587" s="322"/>
      <c r="AD587" s="322"/>
      <c r="AF587" s="322"/>
      <c r="AH587" s="322"/>
      <c r="AJ587" s="322"/>
      <c r="AL587" s="322"/>
      <c r="AN587" s="322"/>
      <c r="AP587" s="322"/>
      <c r="AR587" s="322"/>
      <c r="AT587" s="322"/>
      <c r="AV587" s="322"/>
      <c r="AX587" s="322"/>
      <c r="AZ587" s="322"/>
      <c r="BB587" s="322"/>
      <c r="BD587" s="322"/>
      <c r="BF587" s="322"/>
      <c r="BH587" s="322"/>
      <c r="BJ587" s="322"/>
      <c r="BL587" s="322"/>
      <c r="BN587" s="322"/>
    </row>
    <row r="588" spans="14:66">
      <c r="N588" s="322"/>
      <c r="P588" s="322"/>
      <c r="R588" s="322"/>
      <c r="T588" s="322"/>
      <c r="V588" s="322"/>
      <c r="X588" s="322"/>
      <c r="Z588" s="322"/>
      <c r="AB588" s="322"/>
      <c r="AD588" s="322"/>
      <c r="AF588" s="322"/>
      <c r="AH588" s="322"/>
      <c r="AJ588" s="322"/>
      <c r="AL588" s="322"/>
      <c r="AN588" s="322"/>
      <c r="AP588" s="322"/>
      <c r="AR588" s="322"/>
      <c r="AT588" s="322"/>
      <c r="AV588" s="322"/>
      <c r="AX588" s="322"/>
      <c r="AZ588" s="322"/>
      <c r="BB588" s="322"/>
      <c r="BD588" s="322"/>
      <c r="BF588" s="322"/>
      <c r="BH588" s="322"/>
      <c r="BJ588" s="322"/>
      <c r="BL588" s="322"/>
      <c r="BN588" s="322"/>
    </row>
    <row r="589" spans="14:66">
      <c r="N589" s="322"/>
      <c r="P589" s="322"/>
      <c r="R589" s="322"/>
      <c r="T589" s="322"/>
      <c r="V589" s="322"/>
      <c r="X589" s="322"/>
      <c r="Z589" s="322"/>
      <c r="AB589" s="322"/>
      <c r="AD589" s="322"/>
      <c r="AF589" s="322"/>
      <c r="AH589" s="322"/>
      <c r="AJ589" s="322"/>
      <c r="AL589" s="322"/>
      <c r="AN589" s="322"/>
      <c r="AP589" s="322"/>
      <c r="AR589" s="322"/>
      <c r="AT589" s="322"/>
      <c r="AV589" s="322"/>
      <c r="AX589" s="322"/>
      <c r="AZ589" s="322"/>
      <c r="BB589" s="322"/>
      <c r="BD589" s="322"/>
      <c r="BF589" s="322"/>
      <c r="BH589" s="322"/>
      <c r="BJ589" s="322"/>
      <c r="BL589" s="322"/>
      <c r="BN589" s="322"/>
    </row>
    <row r="590" spans="14:66">
      <c r="N590" s="322"/>
      <c r="P590" s="322"/>
      <c r="R590" s="322"/>
      <c r="T590" s="322"/>
      <c r="V590" s="322"/>
      <c r="X590" s="322"/>
      <c r="Z590" s="322"/>
      <c r="AB590" s="322"/>
      <c r="AD590" s="322"/>
      <c r="AF590" s="322"/>
      <c r="AH590" s="322"/>
      <c r="AJ590" s="322"/>
      <c r="AL590" s="322"/>
      <c r="AN590" s="322"/>
      <c r="AP590" s="322"/>
      <c r="AR590" s="322"/>
      <c r="AT590" s="322"/>
      <c r="AV590" s="322"/>
      <c r="AX590" s="322"/>
      <c r="AZ590" s="322"/>
      <c r="BB590" s="322"/>
      <c r="BD590" s="322"/>
      <c r="BF590" s="322"/>
      <c r="BH590" s="322"/>
      <c r="BJ590" s="322"/>
      <c r="BL590" s="322"/>
      <c r="BN590" s="322"/>
    </row>
    <row r="591" spans="14:66">
      <c r="N591" s="322"/>
      <c r="P591" s="322"/>
      <c r="R591" s="322"/>
      <c r="T591" s="322"/>
      <c r="V591" s="322"/>
      <c r="X591" s="322"/>
      <c r="Z591" s="322"/>
      <c r="AB591" s="322"/>
      <c r="AD591" s="322"/>
      <c r="AF591" s="322"/>
      <c r="AH591" s="322"/>
      <c r="AJ591" s="322"/>
      <c r="AL591" s="322"/>
      <c r="AN591" s="322"/>
      <c r="AP591" s="322"/>
      <c r="AR591" s="322"/>
      <c r="AT591" s="322"/>
      <c r="AV591" s="322"/>
      <c r="AX591" s="322"/>
      <c r="AZ591" s="322"/>
      <c r="BB591" s="322"/>
      <c r="BD591" s="322"/>
      <c r="BF591" s="322"/>
      <c r="BH591" s="322"/>
      <c r="BJ591" s="322"/>
      <c r="BL591" s="322"/>
      <c r="BN591" s="322"/>
    </row>
    <row r="592" spans="14:66">
      <c r="N592" s="322"/>
      <c r="P592" s="322"/>
      <c r="R592" s="322"/>
      <c r="T592" s="322"/>
      <c r="V592" s="322"/>
      <c r="X592" s="322"/>
      <c r="Z592" s="322"/>
      <c r="AB592" s="322"/>
      <c r="AD592" s="322"/>
      <c r="AF592" s="322"/>
      <c r="AH592" s="322"/>
      <c r="AJ592" s="322"/>
      <c r="AL592" s="322"/>
      <c r="AN592" s="322"/>
      <c r="AP592" s="322"/>
      <c r="AR592" s="322"/>
      <c r="AT592" s="322"/>
      <c r="AV592" s="322"/>
      <c r="AX592" s="322"/>
      <c r="AZ592" s="322"/>
      <c r="BB592" s="322"/>
      <c r="BD592" s="322"/>
      <c r="BF592" s="322"/>
      <c r="BH592" s="322"/>
      <c r="BJ592" s="322"/>
      <c r="BL592" s="322"/>
      <c r="BN592" s="322"/>
    </row>
    <row r="593" spans="14:66">
      <c r="N593" s="322"/>
      <c r="P593" s="322"/>
      <c r="R593" s="322"/>
      <c r="T593" s="322"/>
      <c r="V593" s="322"/>
      <c r="X593" s="322"/>
      <c r="Z593" s="322"/>
      <c r="AB593" s="322"/>
      <c r="AD593" s="322"/>
      <c r="AF593" s="322"/>
      <c r="AH593" s="322"/>
      <c r="AJ593" s="322"/>
      <c r="AL593" s="322"/>
      <c r="AN593" s="322"/>
      <c r="AP593" s="322"/>
      <c r="AR593" s="322"/>
      <c r="AT593" s="322"/>
      <c r="AV593" s="322"/>
      <c r="AX593" s="322"/>
      <c r="AZ593" s="322"/>
      <c r="BB593" s="322"/>
      <c r="BD593" s="322"/>
      <c r="BF593" s="322"/>
      <c r="BH593" s="322"/>
      <c r="BJ593" s="322"/>
      <c r="BL593" s="322"/>
      <c r="BN593" s="322"/>
    </row>
    <row r="594" spans="14:66">
      <c r="N594" s="322"/>
      <c r="P594" s="322"/>
      <c r="R594" s="322"/>
      <c r="T594" s="322"/>
      <c r="V594" s="322"/>
      <c r="X594" s="322"/>
      <c r="Z594" s="322"/>
      <c r="AB594" s="322"/>
      <c r="AD594" s="322"/>
      <c r="AF594" s="322"/>
      <c r="AH594" s="322"/>
      <c r="AJ594" s="322"/>
      <c r="AL594" s="322"/>
      <c r="AN594" s="322"/>
      <c r="AP594" s="322"/>
      <c r="AR594" s="322"/>
      <c r="AT594" s="322"/>
      <c r="AV594" s="322"/>
      <c r="AX594" s="322"/>
      <c r="AZ594" s="322"/>
      <c r="BB594" s="322"/>
      <c r="BD594" s="322"/>
      <c r="BF594" s="322"/>
      <c r="BH594" s="322"/>
      <c r="BJ594" s="322"/>
      <c r="BL594" s="322"/>
      <c r="BN594" s="322"/>
    </row>
    <row r="595" spans="14:66">
      <c r="N595" s="322"/>
      <c r="P595" s="322"/>
      <c r="R595" s="322"/>
      <c r="T595" s="322"/>
      <c r="V595" s="322"/>
      <c r="X595" s="322"/>
      <c r="Z595" s="322"/>
      <c r="AB595" s="322"/>
      <c r="AD595" s="322"/>
      <c r="AF595" s="322"/>
      <c r="AH595" s="322"/>
      <c r="AJ595" s="322"/>
      <c r="AL595" s="322"/>
      <c r="AN595" s="322"/>
      <c r="AP595" s="322"/>
      <c r="AR595" s="322"/>
      <c r="AT595" s="322"/>
      <c r="AV595" s="322"/>
      <c r="AX595" s="322"/>
      <c r="AZ595" s="322"/>
      <c r="BB595" s="322"/>
      <c r="BD595" s="322"/>
      <c r="BF595" s="322"/>
      <c r="BH595" s="322"/>
      <c r="BJ595" s="322"/>
      <c r="BL595" s="322"/>
      <c r="BN595" s="322"/>
    </row>
    <row r="596" spans="14:66">
      <c r="N596" s="322"/>
      <c r="P596" s="322"/>
      <c r="R596" s="322"/>
      <c r="T596" s="322"/>
      <c r="V596" s="322"/>
      <c r="X596" s="322"/>
      <c r="Z596" s="322"/>
      <c r="AB596" s="322"/>
      <c r="AD596" s="322"/>
      <c r="AF596" s="322"/>
      <c r="AH596" s="322"/>
      <c r="AJ596" s="322"/>
      <c r="AL596" s="322"/>
      <c r="AN596" s="322"/>
      <c r="AP596" s="322"/>
      <c r="AR596" s="322"/>
      <c r="AT596" s="322"/>
      <c r="AV596" s="322"/>
      <c r="AX596" s="322"/>
      <c r="AZ596" s="322"/>
      <c r="BB596" s="322"/>
      <c r="BD596" s="322"/>
      <c r="BF596" s="322"/>
      <c r="BH596" s="322"/>
      <c r="BJ596" s="322"/>
      <c r="BL596" s="322"/>
      <c r="BN596" s="322"/>
    </row>
    <row r="597" spans="14:66">
      <c r="N597" s="322"/>
      <c r="P597" s="322"/>
      <c r="R597" s="322"/>
      <c r="T597" s="322"/>
      <c r="V597" s="322"/>
      <c r="X597" s="322"/>
      <c r="Z597" s="322"/>
      <c r="AB597" s="322"/>
      <c r="AD597" s="322"/>
      <c r="AF597" s="322"/>
      <c r="AH597" s="322"/>
      <c r="AJ597" s="322"/>
      <c r="AL597" s="322"/>
      <c r="AN597" s="322"/>
      <c r="AP597" s="322"/>
      <c r="AR597" s="322"/>
      <c r="AT597" s="322"/>
      <c r="AV597" s="322"/>
      <c r="AX597" s="322"/>
      <c r="AZ597" s="322"/>
      <c r="BB597" s="322"/>
      <c r="BD597" s="322"/>
      <c r="BF597" s="322"/>
      <c r="BH597" s="322"/>
      <c r="BJ597" s="322"/>
      <c r="BL597" s="322"/>
      <c r="BN597" s="322"/>
    </row>
    <row r="598" spans="14:66">
      <c r="N598" s="322"/>
      <c r="P598" s="322"/>
      <c r="R598" s="322"/>
      <c r="T598" s="322"/>
      <c r="V598" s="322"/>
      <c r="X598" s="322"/>
      <c r="Z598" s="322"/>
      <c r="AB598" s="322"/>
      <c r="AD598" s="322"/>
      <c r="AF598" s="322"/>
      <c r="AH598" s="322"/>
      <c r="AJ598" s="322"/>
      <c r="AL598" s="322"/>
      <c r="AN598" s="322"/>
      <c r="AP598" s="322"/>
      <c r="AR598" s="322"/>
      <c r="AT598" s="322"/>
      <c r="AV598" s="322"/>
      <c r="AX598" s="322"/>
      <c r="AZ598" s="322"/>
      <c r="BB598" s="322"/>
      <c r="BD598" s="322"/>
      <c r="BF598" s="322"/>
      <c r="BH598" s="322"/>
      <c r="BJ598" s="322"/>
      <c r="BL598" s="322"/>
      <c r="BN598" s="322"/>
    </row>
    <row r="599" spans="14:66">
      <c r="N599" s="322"/>
      <c r="P599" s="322"/>
      <c r="R599" s="322"/>
      <c r="T599" s="322"/>
      <c r="V599" s="322"/>
      <c r="X599" s="322"/>
      <c r="Z599" s="322"/>
      <c r="AB599" s="322"/>
      <c r="AD599" s="322"/>
      <c r="AF599" s="322"/>
      <c r="AH599" s="322"/>
      <c r="AJ599" s="322"/>
      <c r="AL599" s="322"/>
      <c r="AN599" s="322"/>
      <c r="AP599" s="322"/>
      <c r="AR599" s="322"/>
      <c r="AT599" s="322"/>
      <c r="AV599" s="322"/>
      <c r="AX599" s="322"/>
      <c r="AZ599" s="322"/>
      <c r="BB599" s="322"/>
      <c r="BD599" s="322"/>
      <c r="BF599" s="322"/>
      <c r="BH599" s="322"/>
      <c r="BJ599" s="322"/>
      <c r="BL599" s="322"/>
      <c r="BN599" s="322"/>
    </row>
    <row r="600" spans="14:66">
      <c r="N600" s="322"/>
      <c r="P600" s="322"/>
      <c r="R600" s="322"/>
      <c r="T600" s="322"/>
      <c r="V600" s="322"/>
      <c r="X600" s="322"/>
      <c r="Z600" s="322"/>
      <c r="AB600" s="322"/>
      <c r="AD600" s="322"/>
      <c r="AF600" s="322"/>
      <c r="AH600" s="322"/>
      <c r="AJ600" s="322"/>
      <c r="AL600" s="322"/>
      <c r="AN600" s="322"/>
      <c r="AP600" s="322"/>
      <c r="AR600" s="322"/>
      <c r="AT600" s="322"/>
      <c r="AV600" s="322"/>
      <c r="AX600" s="322"/>
      <c r="AZ600" s="322"/>
      <c r="BB600" s="322"/>
      <c r="BD600" s="322"/>
      <c r="BF600" s="322"/>
      <c r="BH600" s="322"/>
      <c r="BJ600" s="322"/>
      <c r="BL600" s="322"/>
      <c r="BN600" s="322"/>
    </row>
    <row r="601" spans="14:66">
      <c r="N601" s="322"/>
      <c r="P601" s="322"/>
      <c r="R601" s="322"/>
      <c r="T601" s="322"/>
      <c r="V601" s="322"/>
      <c r="X601" s="322"/>
      <c r="Z601" s="322"/>
      <c r="AB601" s="322"/>
      <c r="AD601" s="322"/>
      <c r="AF601" s="322"/>
      <c r="AH601" s="322"/>
      <c r="AJ601" s="322"/>
      <c r="AL601" s="322"/>
      <c r="AN601" s="322"/>
      <c r="AP601" s="322"/>
      <c r="AR601" s="322"/>
      <c r="AT601" s="322"/>
      <c r="AV601" s="322"/>
      <c r="AX601" s="322"/>
      <c r="AZ601" s="322"/>
      <c r="BB601" s="322"/>
      <c r="BD601" s="322"/>
      <c r="BF601" s="322"/>
      <c r="BH601" s="322"/>
      <c r="BJ601" s="322"/>
      <c r="BL601" s="322"/>
      <c r="BN601" s="322"/>
    </row>
    <row r="602" spans="14:66">
      <c r="N602" s="322"/>
      <c r="P602" s="322"/>
      <c r="R602" s="322"/>
      <c r="T602" s="322"/>
      <c r="V602" s="322"/>
      <c r="X602" s="322"/>
      <c r="Z602" s="322"/>
      <c r="AB602" s="322"/>
      <c r="AD602" s="322"/>
      <c r="AF602" s="322"/>
      <c r="AH602" s="322"/>
      <c r="AJ602" s="322"/>
      <c r="AL602" s="322"/>
      <c r="AN602" s="322"/>
      <c r="AP602" s="322"/>
      <c r="AR602" s="322"/>
      <c r="AT602" s="322"/>
      <c r="AV602" s="322"/>
      <c r="AX602" s="322"/>
      <c r="AZ602" s="322"/>
      <c r="BB602" s="322"/>
      <c r="BD602" s="322"/>
      <c r="BF602" s="322"/>
      <c r="BH602" s="322"/>
      <c r="BJ602" s="322"/>
      <c r="BL602" s="322"/>
      <c r="BN602" s="322"/>
    </row>
    <row r="603" spans="14:66">
      <c r="N603" s="322"/>
      <c r="P603" s="322"/>
      <c r="R603" s="322"/>
      <c r="T603" s="322"/>
      <c r="V603" s="322"/>
      <c r="X603" s="322"/>
      <c r="Z603" s="322"/>
      <c r="AB603" s="322"/>
      <c r="AD603" s="322"/>
      <c r="AF603" s="322"/>
      <c r="AH603" s="322"/>
      <c r="AJ603" s="322"/>
      <c r="AL603" s="322"/>
      <c r="AN603" s="322"/>
      <c r="AP603" s="322"/>
      <c r="AR603" s="322"/>
      <c r="AT603" s="322"/>
      <c r="AV603" s="322"/>
      <c r="AX603" s="322"/>
      <c r="AZ603" s="322"/>
      <c r="BB603" s="322"/>
      <c r="BD603" s="322"/>
      <c r="BF603" s="322"/>
      <c r="BH603" s="322"/>
      <c r="BJ603" s="322"/>
      <c r="BL603" s="322"/>
      <c r="BN603" s="322"/>
    </row>
    <row r="604" spans="14:66">
      <c r="N604" s="322"/>
      <c r="P604" s="322"/>
      <c r="R604" s="322"/>
      <c r="T604" s="322"/>
      <c r="V604" s="322"/>
      <c r="X604" s="322"/>
      <c r="Z604" s="322"/>
      <c r="AB604" s="322"/>
      <c r="AD604" s="322"/>
      <c r="AF604" s="322"/>
      <c r="AH604" s="322"/>
      <c r="AJ604" s="322"/>
      <c r="AL604" s="322"/>
      <c r="AN604" s="322"/>
      <c r="AP604" s="322"/>
      <c r="AR604" s="322"/>
      <c r="AT604" s="322"/>
      <c r="AV604" s="322"/>
      <c r="AX604" s="322"/>
      <c r="AZ604" s="322"/>
      <c r="BB604" s="322"/>
      <c r="BD604" s="322"/>
      <c r="BF604" s="322"/>
      <c r="BH604" s="322"/>
      <c r="BJ604" s="322"/>
      <c r="BL604" s="322"/>
      <c r="BN604" s="322"/>
    </row>
    <row r="605" spans="14:66">
      <c r="N605" s="322"/>
      <c r="P605" s="322"/>
      <c r="R605" s="322"/>
      <c r="T605" s="322"/>
      <c r="V605" s="322"/>
      <c r="X605" s="322"/>
      <c r="Z605" s="322"/>
      <c r="AB605" s="322"/>
      <c r="AD605" s="322"/>
      <c r="AF605" s="322"/>
      <c r="AH605" s="322"/>
      <c r="AJ605" s="322"/>
      <c r="AL605" s="322"/>
      <c r="AN605" s="322"/>
      <c r="AP605" s="322"/>
      <c r="AR605" s="322"/>
      <c r="AT605" s="322"/>
      <c r="AV605" s="322"/>
      <c r="AX605" s="322"/>
      <c r="AZ605" s="322"/>
      <c r="BB605" s="322"/>
      <c r="BD605" s="322"/>
      <c r="BF605" s="322"/>
      <c r="BH605" s="322"/>
      <c r="BJ605" s="322"/>
      <c r="BL605" s="322"/>
      <c r="BN605" s="322"/>
    </row>
    <row r="606" spans="14:66">
      <c r="N606" s="322"/>
      <c r="P606" s="322"/>
      <c r="R606" s="322"/>
      <c r="T606" s="322"/>
      <c r="V606" s="322"/>
      <c r="X606" s="322"/>
      <c r="Z606" s="322"/>
      <c r="AB606" s="322"/>
      <c r="AD606" s="322"/>
      <c r="AF606" s="322"/>
      <c r="AH606" s="322"/>
      <c r="AJ606" s="322"/>
      <c r="AL606" s="322"/>
      <c r="AN606" s="322"/>
      <c r="AP606" s="322"/>
      <c r="AR606" s="322"/>
      <c r="AT606" s="322"/>
      <c r="AV606" s="322"/>
      <c r="AX606" s="322"/>
      <c r="AZ606" s="322"/>
      <c r="BB606" s="322"/>
      <c r="BD606" s="322"/>
      <c r="BF606" s="322"/>
      <c r="BH606" s="322"/>
      <c r="BJ606" s="322"/>
      <c r="BL606" s="322"/>
      <c r="BN606" s="322"/>
    </row>
    <row r="607" spans="14:66">
      <c r="N607" s="322"/>
      <c r="P607" s="322"/>
      <c r="R607" s="322"/>
      <c r="T607" s="322"/>
      <c r="V607" s="322"/>
      <c r="X607" s="322"/>
      <c r="Z607" s="322"/>
      <c r="AB607" s="322"/>
      <c r="AD607" s="322"/>
      <c r="AF607" s="322"/>
      <c r="AH607" s="322"/>
      <c r="AJ607" s="322"/>
      <c r="AL607" s="322"/>
      <c r="AN607" s="322"/>
      <c r="AP607" s="322"/>
      <c r="AR607" s="322"/>
      <c r="AT607" s="322"/>
      <c r="AV607" s="322"/>
      <c r="AX607" s="322"/>
      <c r="AZ607" s="322"/>
      <c r="BB607" s="322"/>
      <c r="BD607" s="322"/>
      <c r="BF607" s="322"/>
      <c r="BH607" s="322"/>
      <c r="BJ607" s="322"/>
      <c r="BL607" s="322"/>
      <c r="BN607" s="322"/>
    </row>
    <row r="608" spans="14:66">
      <c r="N608" s="322"/>
      <c r="P608" s="322"/>
      <c r="R608" s="322"/>
      <c r="T608" s="322"/>
      <c r="V608" s="322"/>
      <c r="X608" s="322"/>
      <c r="Z608" s="322"/>
      <c r="AB608" s="322"/>
      <c r="AD608" s="322"/>
      <c r="AF608" s="322"/>
      <c r="AH608" s="322"/>
      <c r="AJ608" s="322"/>
      <c r="AL608" s="322"/>
      <c r="AN608" s="322"/>
      <c r="AP608" s="322"/>
      <c r="AR608" s="322"/>
      <c r="AT608" s="322"/>
      <c r="AV608" s="322"/>
      <c r="AX608" s="322"/>
      <c r="AZ608" s="322"/>
      <c r="BB608" s="322"/>
      <c r="BD608" s="322"/>
      <c r="BF608" s="322"/>
      <c r="BH608" s="322"/>
      <c r="BJ608" s="322"/>
      <c r="BL608" s="322"/>
      <c r="BN608" s="322"/>
    </row>
    <row r="609" spans="14:66">
      <c r="N609" s="322"/>
      <c r="P609" s="322"/>
      <c r="R609" s="322"/>
      <c r="T609" s="322"/>
      <c r="V609" s="322"/>
      <c r="X609" s="322"/>
      <c r="Z609" s="322"/>
      <c r="AB609" s="322"/>
      <c r="AD609" s="322"/>
      <c r="AF609" s="322"/>
      <c r="AH609" s="322"/>
      <c r="AJ609" s="322"/>
      <c r="AL609" s="322"/>
      <c r="AN609" s="322"/>
      <c r="AP609" s="322"/>
      <c r="AR609" s="322"/>
      <c r="AT609" s="322"/>
      <c r="AV609" s="322"/>
      <c r="AX609" s="322"/>
      <c r="AZ609" s="322"/>
      <c r="BB609" s="322"/>
      <c r="BD609" s="322"/>
      <c r="BF609" s="322"/>
      <c r="BH609" s="322"/>
      <c r="BJ609" s="322"/>
      <c r="BL609" s="322"/>
      <c r="BN609" s="322"/>
    </row>
    <row r="610" spans="14:66">
      <c r="N610" s="322"/>
      <c r="P610" s="322"/>
      <c r="R610" s="322"/>
      <c r="T610" s="322"/>
      <c r="V610" s="322"/>
      <c r="X610" s="322"/>
      <c r="Z610" s="322"/>
      <c r="AB610" s="322"/>
      <c r="AD610" s="322"/>
      <c r="AF610" s="322"/>
      <c r="AH610" s="322"/>
      <c r="AJ610" s="322"/>
      <c r="AL610" s="322"/>
      <c r="AN610" s="322"/>
      <c r="AP610" s="322"/>
      <c r="AR610" s="322"/>
      <c r="AT610" s="322"/>
      <c r="AV610" s="322"/>
      <c r="AX610" s="322"/>
      <c r="AZ610" s="322"/>
      <c r="BB610" s="322"/>
      <c r="BD610" s="322"/>
      <c r="BF610" s="322"/>
      <c r="BH610" s="322"/>
      <c r="BJ610" s="322"/>
      <c r="BL610" s="322"/>
      <c r="BN610" s="322"/>
    </row>
    <row r="611" spans="14:66">
      <c r="N611" s="322"/>
      <c r="P611" s="322"/>
      <c r="R611" s="322"/>
      <c r="T611" s="322"/>
      <c r="V611" s="322"/>
      <c r="X611" s="322"/>
      <c r="Z611" s="322"/>
      <c r="AB611" s="322"/>
      <c r="AD611" s="322"/>
      <c r="AF611" s="322"/>
      <c r="AH611" s="322"/>
      <c r="AJ611" s="322"/>
      <c r="AL611" s="322"/>
      <c r="AN611" s="322"/>
      <c r="AP611" s="322"/>
      <c r="AR611" s="322"/>
      <c r="AT611" s="322"/>
      <c r="AV611" s="322"/>
      <c r="AX611" s="322"/>
      <c r="AZ611" s="322"/>
      <c r="BB611" s="322"/>
      <c r="BD611" s="322"/>
      <c r="BF611" s="322"/>
      <c r="BH611" s="322"/>
      <c r="BJ611" s="322"/>
      <c r="BL611" s="322"/>
      <c r="BN611" s="322"/>
    </row>
    <row r="612" spans="14:66">
      <c r="N612" s="322"/>
      <c r="P612" s="322"/>
      <c r="R612" s="322"/>
      <c r="T612" s="322"/>
      <c r="V612" s="322"/>
      <c r="X612" s="322"/>
      <c r="Z612" s="322"/>
      <c r="AB612" s="322"/>
      <c r="AD612" s="322"/>
      <c r="AF612" s="322"/>
      <c r="AH612" s="322"/>
      <c r="AJ612" s="322"/>
      <c r="AL612" s="322"/>
      <c r="AN612" s="322"/>
      <c r="AP612" s="322"/>
      <c r="AR612" s="322"/>
      <c r="AT612" s="322"/>
      <c r="AV612" s="322"/>
      <c r="AX612" s="322"/>
      <c r="AZ612" s="322"/>
      <c r="BB612" s="322"/>
      <c r="BD612" s="322"/>
      <c r="BF612" s="322"/>
      <c r="BH612" s="322"/>
      <c r="BJ612" s="322"/>
      <c r="BL612" s="322"/>
      <c r="BN612" s="322"/>
    </row>
    <row r="613" spans="14:66">
      <c r="N613" s="322"/>
      <c r="P613" s="322"/>
      <c r="R613" s="322"/>
      <c r="T613" s="322"/>
      <c r="V613" s="322"/>
      <c r="X613" s="322"/>
      <c r="Z613" s="322"/>
      <c r="AB613" s="322"/>
      <c r="AD613" s="322"/>
      <c r="AF613" s="322"/>
      <c r="AH613" s="322"/>
      <c r="AJ613" s="322"/>
      <c r="AL613" s="322"/>
      <c r="AN613" s="322"/>
      <c r="AP613" s="322"/>
      <c r="AR613" s="322"/>
      <c r="AT613" s="322"/>
      <c r="AV613" s="322"/>
      <c r="AX613" s="322"/>
      <c r="AZ613" s="322"/>
      <c r="BB613" s="322"/>
      <c r="BD613" s="322"/>
      <c r="BF613" s="322"/>
      <c r="BH613" s="322"/>
      <c r="BJ613" s="322"/>
      <c r="BL613" s="322"/>
      <c r="BN613" s="322"/>
    </row>
    <row r="614" spans="14:66">
      <c r="N614" s="322"/>
      <c r="P614" s="322"/>
      <c r="R614" s="322"/>
      <c r="T614" s="322"/>
      <c r="V614" s="322"/>
      <c r="X614" s="322"/>
      <c r="Z614" s="322"/>
      <c r="AB614" s="322"/>
      <c r="AD614" s="322"/>
      <c r="AF614" s="322"/>
      <c r="AH614" s="322"/>
      <c r="AJ614" s="322"/>
      <c r="AL614" s="322"/>
      <c r="AN614" s="322"/>
      <c r="AP614" s="322"/>
      <c r="AR614" s="322"/>
      <c r="AT614" s="322"/>
      <c r="AV614" s="322"/>
      <c r="AX614" s="322"/>
      <c r="AZ614" s="322"/>
      <c r="BB614" s="322"/>
      <c r="BD614" s="322"/>
      <c r="BF614" s="322"/>
      <c r="BH614" s="322"/>
      <c r="BJ614" s="322"/>
      <c r="BL614" s="322"/>
      <c r="BN614" s="322"/>
    </row>
    <row r="615" spans="14:66">
      <c r="N615" s="322"/>
      <c r="P615" s="322"/>
      <c r="R615" s="322"/>
      <c r="T615" s="322"/>
      <c r="V615" s="322"/>
      <c r="X615" s="322"/>
      <c r="Z615" s="322"/>
      <c r="AB615" s="322"/>
      <c r="AD615" s="322"/>
      <c r="AF615" s="322"/>
      <c r="AH615" s="322"/>
      <c r="AJ615" s="322"/>
      <c r="AL615" s="322"/>
      <c r="AN615" s="322"/>
      <c r="AP615" s="322"/>
      <c r="AR615" s="322"/>
      <c r="AT615" s="322"/>
      <c r="AV615" s="322"/>
      <c r="AX615" s="322"/>
      <c r="AZ615" s="322"/>
      <c r="BB615" s="322"/>
      <c r="BD615" s="322"/>
      <c r="BF615" s="322"/>
      <c r="BH615" s="322"/>
      <c r="BJ615" s="322"/>
      <c r="BL615" s="322"/>
      <c r="BN615" s="322"/>
    </row>
    <row r="616" spans="14:66">
      <c r="N616" s="322"/>
      <c r="P616" s="322"/>
      <c r="R616" s="322"/>
      <c r="T616" s="322"/>
      <c r="V616" s="322"/>
      <c r="X616" s="322"/>
      <c r="Z616" s="322"/>
      <c r="AB616" s="322"/>
      <c r="AD616" s="322"/>
      <c r="AF616" s="322"/>
      <c r="AH616" s="322"/>
      <c r="AJ616" s="322"/>
      <c r="AL616" s="322"/>
      <c r="AN616" s="322"/>
      <c r="AP616" s="322"/>
      <c r="AR616" s="322"/>
      <c r="AT616" s="322"/>
      <c r="AV616" s="322"/>
      <c r="AX616" s="322"/>
      <c r="AZ616" s="322"/>
      <c r="BB616" s="322"/>
      <c r="BD616" s="322"/>
      <c r="BF616" s="322"/>
      <c r="BH616" s="322"/>
      <c r="BJ616" s="322"/>
      <c r="BL616" s="322"/>
      <c r="BN616" s="322"/>
    </row>
    <row r="617" spans="14:66">
      <c r="N617" s="322"/>
      <c r="P617" s="322"/>
      <c r="R617" s="322"/>
      <c r="T617" s="322"/>
      <c r="V617" s="322"/>
      <c r="X617" s="322"/>
      <c r="Z617" s="322"/>
      <c r="AB617" s="322"/>
      <c r="AD617" s="322"/>
      <c r="AF617" s="322"/>
      <c r="AH617" s="322"/>
      <c r="AJ617" s="322"/>
      <c r="AL617" s="322"/>
      <c r="AN617" s="322"/>
      <c r="AP617" s="322"/>
      <c r="AR617" s="322"/>
      <c r="AT617" s="322"/>
      <c r="AV617" s="322"/>
      <c r="AX617" s="322"/>
      <c r="AZ617" s="322"/>
      <c r="BB617" s="322"/>
      <c r="BD617" s="322"/>
      <c r="BF617" s="322"/>
      <c r="BH617" s="322"/>
      <c r="BJ617" s="322"/>
      <c r="BL617" s="322"/>
      <c r="BN617" s="322"/>
    </row>
    <row r="618" spans="14:66">
      <c r="N618" s="322"/>
      <c r="P618" s="322"/>
      <c r="R618" s="322"/>
      <c r="T618" s="322"/>
      <c r="V618" s="322"/>
      <c r="X618" s="322"/>
      <c r="Z618" s="322"/>
      <c r="AB618" s="322"/>
      <c r="AD618" s="322"/>
      <c r="AF618" s="322"/>
      <c r="AH618" s="322"/>
      <c r="AJ618" s="322"/>
      <c r="AL618" s="322"/>
      <c r="AN618" s="322"/>
      <c r="AP618" s="322"/>
      <c r="AR618" s="322"/>
      <c r="AT618" s="322"/>
      <c r="AV618" s="322"/>
      <c r="AX618" s="322"/>
      <c r="AZ618" s="322"/>
      <c r="BB618" s="322"/>
      <c r="BD618" s="322"/>
      <c r="BF618" s="322"/>
      <c r="BH618" s="322"/>
      <c r="BJ618" s="322"/>
      <c r="BL618" s="322"/>
      <c r="BN618" s="322"/>
    </row>
    <row r="619" spans="14:66">
      <c r="N619" s="322"/>
      <c r="P619" s="322"/>
      <c r="R619" s="322"/>
      <c r="T619" s="322"/>
      <c r="V619" s="322"/>
      <c r="X619" s="322"/>
      <c r="Z619" s="322"/>
      <c r="AB619" s="322"/>
      <c r="AD619" s="322"/>
      <c r="AF619" s="322"/>
      <c r="AH619" s="322"/>
      <c r="AJ619" s="322"/>
      <c r="AL619" s="322"/>
      <c r="AN619" s="322"/>
      <c r="AP619" s="322"/>
      <c r="AR619" s="322"/>
      <c r="AT619" s="322"/>
      <c r="AV619" s="322"/>
      <c r="AX619" s="322"/>
      <c r="AZ619" s="322"/>
      <c r="BB619" s="322"/>
      <c r="BD619" s="322"/>
      <c r="BF619" s="322"/>
      <c r="BH619" s="322"/>
      <c r="BJ619" s="322"/>
      <c r="BL619" s="322"/>
      <c r="BN619" s="322"/>
    </row>
    <row r="620" spans="14:66">
      <c r="N620" s="322"/>
      <c r="P620" s="322"/>
      <c r="R620" s="322"/>
      <c r="T620" s="322"/>
      <c r="V620" s="322"/>
      <c r="X620" s="322"/>
      <c r="Z620" s="322"/>
      <c r="AB620" s="322"/>
      <c r="AD620" s="322"/>
      <c r="AF620" s="322"/>
      <c r="AH620" s="322"/>
      <c r="AJ620" s="322"/>
      <c r="AL620" s="322"/>
      <c r="AN620" s="322"/>
      <c r="AP620" s="322"/>
      <c r="AR620" s="322"/>
      <c r="AT620" s="322"/>
      <c r="AV620" s="322"/>
      <c r="AX620" s="322"/>
      <c r="AZ620" s="322"/>
      <c r="BB620" s="322"/>
      <c r="BD620" s="322"/>
      <c r="BF620" s="322"/>
      <c r="BH620" s="322"/>
      <c r="BJ620" s="322"/>
      <c r="BL620" s="322"/>
      <c r="BN620" s="322"/>
    </row>
    <row r="621" spans="14:66">
      <c r="N621" s="322"/>
      <c r="P621" s="322"/>
      <c r="R621" s="322"/>
      <c r="T621" s="322"/>
      <c r="V621" s="322"/>
      <c r="X621" s="322"/>
      <c r="Z621" s="322"/>
      <c r="AB621" s="322"/>
      <c r="AD621" s="322"/>
      <c r="AF621" s="322"/>
      <c r="AH621" s="322"/>
      <c r="AJ621" s="322"/>
      <c r="AL621" s="322"/>
      <c r="AN621" s="322"/>
      <c r="AP621" s="322"/>
      <c r="AR621" s="322"/>
      <c r="AT621" s="322"/>
      <c r="AV621" s="322"/>
      <c r="AX621" s="322"/>
      <c r="AZ621" s="322"/>
      <c r="BB621" s="322"/>
      <c r="BD621" s="322"/>
      <c r="BF621" s="322"/>
      <c r="BH621" s="322"/>
      <c r="BJ621" s="322"/>
      <c r="BL621" s="322"/>
      <c r="BN621" s="322"/>
    </row>
    <row r="622" spans="14:66">
      <c r="N622" s="322"/>
      <c r="P622" s="322"/>
      <c r="R622" s="322"/>
      <c r="T622" s="322"/>
      <c r="V622" s="322"/>
      <c r="X622" s="322"/>
      <c r="Z622" s="322"/>
      <c r="AB622" s="322"/>
      <c r="AD622" s="322"/>
      <c r="AF622" s="322"/>
      <c r="AH622" s="322"/>
      <c r="AJ622" s="322"/>
      <c r="AL622" s="322"/>
      <c r="AN622" s="322"/>
      <c r="AP622" s="322"/>
      <c r="AR622" s="322"/>
      <c r="AT622" s="322"/>
      <c r="AV622" s="322"/>
      <c r="AX622" s="322"/>
      <c r="AZ622" s="322"/>
      <c r="BB622" s="322"/>
      <c r="BD622" s="322"/>
      <c r="BF622" s="322"/>
      <c r="BH622" s="322"/>
      <c r="BJ622" s="322"/>
      <c r="BL622" s="322"/>
      <c r="BN622" s="322"/>
    </row>
    <row r="623" spans="14:66">
      <c r="N623" s="322"/>
      <c r="P623" s="322"/>
      <c r="R623" s="322"/>
      <c r="T623" s="322"/>
      <c r="V623" s="322"/>
      <c r="X623" s="322"/>
      <c r="Z623" s="322"/>
      <c r="AB623" s="322"/>
      <c r="AD623" s="322"/>
      <c r="AF623" s="322"/>
      <c r="AH623" s="322"/>
      <c r="AJ623" s="322"/>
      <c r="AL623" s="322"/>
      <c r="AN623" s="322"/>
      <c r="AP623" s="322"/>
      <c r="AR623" s="322"/>
      <c r="AT623" s="322"/>
      <c r="AV623" s="322"/>
      <c r="AX623" s="322"/>
      <c r="AZ623" s="322"/>
      <c r="BB623" s="322"/>
      <c r="BD623" s="322"/>
      <c r="BF623" s="322"/>
      <c r="BH623" s="322"/>
      <c r="BJ623" s="322"/>
      <c r="BL623" s="322"/>
      <c r="BN623" s="322"/>
    </row>
    <row r="624" spans="14:66">
      <c r="N624" s="322"/>
      <c r="P624" s="322"/>
      <c r="R624" s="322"/>
      <c r="T624" s="322"/>
      <c r="V624" s="322"/>
      <c r="X624" s="322"/>
      <c r="Z624" s="322"/>
      <c r="AB624" s="322"/>
      <c r="AD624" s="322"/>
      <c r="AF624" s="322"/>
      <c r="AH624" s="322"/>
      <c r="AJ624" s="322"/>
      <c r="AL624" s="322"/>
      <c r="AN624" s="322"/>
      <c r="AP624" s="322"/>
      <c r="AR624" s="322"/>
      <c r="AT624" s="322"/>
      <c r="AV624" s="322"/>
      <c r="AX624" s="322"/>
      <c r="AZ624" s="322"/>
      <c r="BB624" s="322"/>
      <c r="BD624" s="322"/>
      <c r="BF624" s="322"/>
      <c r="BH624" s="322"/>
      <c r="BJ624" s="322"/>
      <c r="BL624" s="322"/>
      <c r="BN624" s="322"/>
    </row>
    <row r="625" spans="14:66">
      <c r="N625" s="322"/>
      <c r="P625" s="322"/>
      <c r="R625" s="322"/>
      <c r="T625" s="322"/>
      <c r="V625" s="322"/>
      <c r="X625" s="322"/>
      <c r="Z625" s="322"/>
      <c r="AB625" s="322"/>
      <c r="AD625" s="322"/>
      <c r="AF625" s="322"/>
      <c r="AH625" s="322"/>
      <c r="AJ625" s="322"/>
      <c r="AL625" s="322"/>
      <c r="AN625" s="322"/>
      <c r="AP625" s="322"/>
      <c r="AR625" s="322"/>
      <c r="AT625" s="322"/>
      <c r="AV625" s="322"/>
      <c r="AX625" s="322"/>
      <c r="AZ625" s="322"/>
      <c r="BB625" s="322"/>
      <c r="BD625" s="322"/>
      <c r="BF625" s="322"/>
      <c r="BH625" s="322"/>
      <c r="BJ625" s="322"/>
      <c r="BL625" s="322"/>
      <c r="BN625" s="322"/>
    </row>
    <row r="626" spans="14:66">
      <c r="N626" s="322"/>
      <c r="P626" s="322"/>
      <c r="R626" s="322"/>
      <c r="T626" s="322"/>
      <c r="V626" s="322"/>
      <c r="X626" s="322"/>
      <c r="Z626" s="322"/>
      <c r="AB626" s="322"/>
      <c r="AD626" s="322"/>
      <c r="AF626" s="322"/>
      <c r="AH626" s="322"/>
      <c r="AJ626" s="322"/>
      <c r="AL626" s="322"/>
      <c r="AN626" s="322"/>
      <c r="AP626" s="322"/>
      <c r="AR626" s="322"/>
      <c r="AT626" s="322"/>
      <c r="AV626" s="322"/>
      <c r="AX626" s="322"/>
      <c r="AZ626" s="322"/>
      <c r="BB626" s="322"/>
      <c r="BD626" s="322"/>
      <c r="BF626" s="322"/>
      <c r="BH626" s="322"/>
      <c r="BJ626" s="322"/>
      <c r="BL626" s="322"/>
      <c r="BN626" s="322"/>
    </row>
    <row r="627" spans="14:66">
      <c r="N627" s="322"/>
      <c r="P627" s="322"/>
      <c r="R627" s="322"/>
      <c r="T627" s="322"/>
      <c r="V627" s="322"/>
      <c r="X627" s="322"/>
      <c r="Z627" s="322"/>
      <c r="AB627" s="322"/>
      <c r="AD627" s="322"/>
      <c r="AF627" s="322"/>
      <c r="AH627" s="322"/>
      <c r="AJ627" s="322"/>
      <c r="AL627" s="322"/>
      <c r="AN627" s="322"/>
      <c r="AP627" s="322"/>
      <c r="AR627" s="322"/>
      <c r="AT627" s="322"/>
      <c r="AV627" s="322"/>
      <c r="AX627" s="322"/>
      <c r="AZ627" s="322"/>
      <c r="BB627" s="322"/>
      <c r="BD627" s="322"/>
      <c r="BF627" s="322"/>
      <c r="BH627" s="322"/>
      <c r="BJ627" s="322"/>
      <c r="BL627" s="322"/>
      <c r="BN627" s="322"/>
    </row>
    <row r="628" spans="14:66">
      <c r="N628" s="322"/>
      <c r="P628" s="322"/>
      <c r="R628" s="322"/>
      <c r="T628" s="322"/>
      <c r="V628" s="322"/>
      <c r="X628" s="322"/>
      <c r="Z628" s="322"/>
      <c r="AB628" s="322"/>
      <c r="AD628" s="322"/>
      <c r="AF628" s="322"/>
      <c r="AH628" s="322"/>
      <c r="AJ628" s="322"/>
      <c r="AL628" s="322"/>
      <c r="AN628" s="322"/>
      <c r="AP628" s="322"/>
      <c r="AR628" s="322"/>
      <c r="AT628" s="322"/>
      <c r="AV628" s="322"/>
      <c r="AX628" s="322"/>
      <c r="AZ628" s="322"/>
      <c r="BB628" s="322"/>
      <c r="BD628" s="322"/>
      <c r="BF628" s="322"/>
      <c r="BH628" s="322"/>
      <c r="BJ628" s="322"/>
      <c r="BL628" s="322"/>
      <c r="BN628" s="322"/>
    </row>
    <row r="629" spans="14:66">
      <c r="N629" s="322"/>
      <c r="P629" s="322"/>
      <c r="R629" s="322"/>
      <c r="T629" s="322"/>
      <c r="V629" s="322"/>
      <c r="X629" s="322"/>
      <c r="Z629" s="322"/>
      <c r="AB629" s="322"/>
      <c r="AD629" s="322"/>
      <c r="AF629" s="322"/>
      <c r="AH629" s="322"/>
      <c r="AJ629" s="322"/>
      <c r="AL629" s="322"/>
      <c r="AN629" s="322"/>
      <c r="AP629" s="322"/>
      <c r="AR629" s="322"/>
      <c r="AT629" s="322"/>
      <c r="AV629" s="322"/>
      <c r="AX629" s="322"/>
      <c r="AZ629" s="322"/>
      <c r="BB629" s="322"/>
      <c r="BD629" s="322"/>
      <c r="BF629" s="322"/>
      <c r="BH629" s="322"/>
      <c r="BJ629" s="322"/>
      <c r="BL629" s="322"/>
      <c r="BN629" s="322"/>
    </row>
    <row r="630" spans="14:66">
      <c r="N630" s="322"/>
      <c r="P630" s="322"/>
      <c r="R630" s="322"/>
      <c r="T630" s="322"/>
      <c r="V630" s="322"/>
      <c r="X630" s="322"/>
      <c r="Z630" s="322"/>
      <c r="AB630" s="322"/>
      <c r="AD630" s="322"/>
      <c r="AF630" s="322"/>
      <c r="AH630" s="322"/>
      <c r="AJ630" s="322"/>
      <c r="AL630" s="322"/>
      <c r="AN630" s="322"/>
      <c r="AP630" s="322"/>
      <c r="AR630" s="322"/>
      <c r="AT630" s="322"/>
      <c r="AV630" s="322"/>
      <c r="AX630" s="322"/>
      <c r="AZ630" s="322"/>
      <c r="BB630" s="322"/>
      <c r="BD630" s="322"/>
      <c r="BF630" s="322"/>
      <c r="BH630" s="322"/>
      <c r="BJ630" s="322"/>
      <c r="BL630" s="322"/>
      <c r="BN630" s="322"/>
    </row>
    <row r="631" spans="14:66">
      <c r="N631" s="322"/>
      <c r="P631" s="322"/>
      <c r="R631" s="322"/>
      <c r="T631" s="322"/>
      <c r="V631" s="322"/>
      <c r="X631" s="322"/>
      <c r="Z631" s="322"/>
      <c r="AB631" s="322"/>
      <c r="AD631" s="322"/>
      <c r="AF631" s="322"/>
      <c r="AH631" s="322"/>
      <c r="AJ631" s="322"/>
      <c r="AL631" s="322"/>
      <c r="AN631" s="322"/>
      <c r="AP631" s="322"/>
      <c r="AR631" s="322"/>
      <c r="AT631" s="322"/>
      <c r="AV631" s="322"/>
      <c r="AX631" s="322"/>
      <c r="AZ631" s="322"/>
      <c r="BB631" s="322"/>
      <c r="BD631" s="322"/>
      <c r="BF631" s="322"/>
      <c r="BH631" s="322"/>
      <c r="BJ631" s="322"/>
      <c r="BL631" s="322"/>
      <c r="BN631" s="322"/>
    </row>
    <row r="632" spans="14:66">
      <c r="N632" s="322"/>
      <c r="P632" s="322"/>
      <c r="R632" s="322"/>
      <c r="T632" s="322"/>
      <c r="V632" s="322"/>
      <c r="X632" s="322"/>
      <c r="Z632" s="322"/>
      <c r="AB632" s="322"/>
      <c r="AD632" s="322"/>
      <c r="AF632" s="322"/>
      <c r="AH632" s="322"/>
      <c r="AJ632" s="322"/>
      <c r="AL632" s="322"/>
      <c r="AN632" s="322"/>
      <c r="AP632" s="322"/>
      <c r="AR632" s="322"/>
      <c r="AT632" s="322"/>
      <c r="AV632" s="322"/>
      <c r="AX632" s="322"/>
      <c r="AZ632" s="322"/>
      <c r="BB632" s="322"/>
      <c r="BD632" s="322"/>
      <c r="BF632" s="322"/>
      <c r="BH632" s="322"/>
      <c r="BJ632" s="322"/>
      <c r="BL632" s="322"/>
      <c r="BN632" s="322"/>
    </row>
    <row r="633" spans="14:66">
      <c r="N633" s="322"/>
      <c r="P633" s="322"/>
      <c r="R633" s="322"/>
      <c r="T633" s="322"/>
      <c r="V633" s="322"/>
      <c r="X633" s="322"/>
      <c r="Z633" s="322"/>
      <c r="AB633" s="322"/>
      <c r="AD633" s="322"/>
      <c r="AF633" s="322"/>
      <c r="AH633" s="322"/>
      <c r="AJ633" s="322"/>
      <c r="AL633" s="322"/>
      <c r="AN633" s="322"/>
      <c r="AP633" s="322"/>
      <c r="AR633" s="322"/>
      <c r="AT633" s="322"/>
      <c r="AV633" s="322"/>
      <c r="AX633" s="322"/>
      <c r="AZ633" s="322"/>
      <c r="BB633" s="322"/>
      <c r="BD633" s="322"/>
      <c r="BF633" s="322"/>
      <c r="BH633" s="322"/>
      <c r="BJ633" s="322"/>
      <c r="BL633" s="322"/>
      <c r="BN633" s="322"/>
    </row>
    <row r="634" spans="14:66">
      <c r="N634" s="322"/>
      <c r="P634" s="322"/>
      <c r="R634" s="322"/>
      <c r="T634" s="322"/>
      <c r="V634" s="322"/>
      <c r="X634" s="322"/>
      <c r="Z634" s="322"/>
      <c r="AB634" s="322"/>
      <c r="AD634" s="322"/>
      <c r="AF634" s="322"/>
      <c r="AH634" s="322"/>
      <c r="AJ634" s="322"/>
      <c r="AL634" s="322"/>
      <c r="AN634" s="322"/>
      <c r="AP634" s="322"/>
      <c r="AR634" s="322"/>
      <c r="AT634" s="322"/>
      <c r="AV634" s="322"/>
      <c r="AX634" s="322"/>
      <c r="AZ634" s="322"/>
      <c r="BB634" s="322"/>
      <c r="BD634" s="322"/>
      <c r="BF634" s="322"/>
      <c r="BH634" s="322"/>
      <c r="BJ634" s="322"/>
      <c r="BL634" s="322"/>
      <c r="BN634" s="322"/>
    </row>
    <row r="635" spans="14:66">
      <c r="N635" s="322"/>
      <c r="P635" s="322"/>
      <c r="R635" s="322"/>
      <c r="T635" s="322"/>
      <c r="V635" s="322"/>
      <c r="X635" s="322"/>
      <c r="Z635" s="322"/>
      <c r="AB635" s="322"/>
      <c r="AD635" s="322"/>
      <c r="AF635" s="322"/>
      <c r="AH635" s="322"/>
      <c r="AJ635" s="322"/>
      <c r="AL635" s="322"/>
      <c r="AN635" s="322"/>
      <c r="AP635" s="322"/>
      <c r="AR635" s="322"/>
      <c r="AT635" s="322"/>
      <c r="AV635" s="322"/>
      <c r="AX635" s="322"/>
      <c r="AZ635" s="322"/>
      <c r="BB635" s="322"/>
      <c r="BD635" s="322"/>
      <c r="BF635" s="322"/>
      <c r="BH635" s="322"/>
      <c r="BJ635" s="322"/>
      <c r="BL635" s="322"/>
      <c r="BN635" s="322"/>
    </row>
    <row r="636" spans="14:66">
      <c r="N636" s="322"/>
      <c r="P636" s="322"/>
      <c r="R636" s="322"/>
      <c r="T636" s="322"/>
      <c r="V636" s="322"/>
      <c r="X636" s="322"/>
      <c r="Z636" s="322"/>
      <c r="AB636" s="322"/>
      <c r="AD636" s="322"/>
      <c r="AF636" s="322"/>
      <c r="AH636" s="322"/>
      <c r="AJ636" s="322"/>
      <c r="AL636" s="322"/>
      <c r="AN636" s="322"/>
      <c r="AP636" s="322"/>
      <c r="AR636" s="322"/>
      <c r="AT636" s="322"/>
      <c r="AV636" s="322"/>
      <c r="AX636" s="322"/>
      <c r="AZ636" s="322"/>
      <c r="BB636" s="322"/>
      <c r="BD636" s="322"/>
      <c r="BF636" s="322"/>
      <c r="BH636" s="322"/>
      <c r="BJ636" s="322"/>
      <c r="BL636" s="322"/>
      <c r="BN636" s="322"/>
    </row>
    <row r="637" spans="14:66">
      <c r="N637" s="322"/>
      <c r="P637" s="322"/>
      <c r="R637" s="322"/>
      <c r="T637" s="322"/>
      <c r="V637" s="322"/>
      <c r="X637" s="322"/>
      <c r="Z637" s="322"/>
      <c r="AB637" s="322"/>
      <c r="AD637" s="322"/>
      <c r="AF637" s="322"/>
      <c r="AH637" s="322"/>
      <c r="AJ637" s="322"/>
      <c r="AL637" s="322"/>
      <c r="AN637" s="322"/>
      <c r="AP637" s="322"/>
      <c r="AR637" s="322"/>
      <c r="AT637" s="322"/>
      <c r="AV637" s="322"/>
      <c r="AX637" s="322"/>
      <c r="AZ637" s="322"/>
      <c r="BB637" s="322"/>
      <c r="BD637" s="322"/>
      <c r="BF637" s="322"/>
      <c r="BH637" s="322"/>
      <c r="BJ637" s="322"/>
      <c r="BL637" s="322"/>
      <c r="BN637" s="322"/>
    </row>
    <row r="638" spans="14:66">
      <c r="N638" s="322"/>
      <c r="P638" s="322"/>
      <c r="R638" s="322"/>
      <c r="T638" s="322"/>
      <c r="V638" s="322"/>
      <c r="X638" s="322"/>
      <c r="Z638" s="322"/>
      <c r="AB638" s="322"/>
      <c r="AD638" s="322"/>
      <c r="AF638" s="322"/>
      <c r="AH638" s="322"/>
      <c r="AJ638" s="322"/>
      <c r="AL638" s="322"/>
      <c r="AN638" s="322"/>
      <c r="AP638" s="322"/>
      <c r="AR638" s="322"/>
      <c r="AT638" s="322"/>
      <c r="AV638" s="322"/>
      <c r="AX638" s="322"/>
      <c r="AZ638" s="322"/>
      <c r="BB638" s="322"/>
      <c r="BD638" s="322"/>
      <c r="BF638" s="322"/>
      <c r="BH638" s="322"/>
      <c r="BJ638" s="322"/>
      <c r="BL638" s="322"/>
      <c r="BN638" s="322"/>
    </row>
    <row r="639" spans="14:66">
      <c r="N639" s="322"/>
      <c r="P639" s="322"/>
      <c r="R639" s="322"/>
      <c r="T639" s="322"/>
      <c r="V639" s="322"/>
      <c r="X639" s="322"/>
      <c r="Z639" s="322"/>
      <c r="AB639" s="322"/>
      <c r="AD639" s="322"/>
      <c r="AF639" s="322"/>
      <c r="AH639" s="322"/>
      <c r="AJ639" s="322"/>
      <c r="AL639" s="322"/>
      <c r="AN639" s="322"/>
      <c r="AP639" s="322"/>
      <c r="AR639" s="322"/>
      <c r="AT639" s="322"/>
      <c r="AV639" s="322"/>
      <c r="AX639" s="322"/>
      <c r="AZ639" s="322"/>
      <c r="BB639" s="322"/>
      <c r="BD639" s="322"/>
      <c r="BF639" s="322"/>
      <c r="BH639" s="322"/>
      <c r="BJ639" s="322"/>
      <c r="BL639" s="322"/>
      <c r="BN639" s="322"/>
    </row>
    <row r="640" spans="14:66">
      <c r="N640" s="322"/>
      <c r="P640" s="322"/>
      <c r="R640" s="322"/>
      <c r="T640" s="322"/>
      <c r="V640" s="322"/>
      <c r="X640" s="322"/>
      <c r="Z640" s="322"/>
      <c r="AB640" s="322"/>
      <c r="AD640" s="322"/>
      <c r="AF640" s="322"/>
      <c r="AH640" s="322"/>
      <c r="AJ640" s="322"/>
      <c r="AL640" s="322"/>
      <c r="AN640" s="322"/>
      <c r="AP640" s="322"/>
      <c r="AR640" s="322"/>
      <c r="AT640" s="322"/>
      <c r="AV640" s="322"/>
      <c r="AX640" s="322"/>
      <c r="AZ640" s="322"/>
      <c r="BB640" s="322"/>
      <c r="BD640" s="322"/>
      <c r="BF640" s="322"/>
      <c r="BH640" s="322"/>
      <c r="BJ640" s="322"/>
      <c r="BL640" s="322"/>
      <c r="BN640" s="322"/>
    </row>
    <row r="641" spans="14:66">
      <c r="N641" s="322"/>
      <c r="P641" s="322"/>
      <c r="R641" s="322"/>
      <c r="T641" s="322"/>
      <c r="V641" s="322"/>
      <c r="X641" s="322"/>
      <c r="Z641" s="322"/>
      <c r="AB641" s="322"/>
      <c r="AD641" s="322"/>
      <c r="AF641" s="322"/>
      <c r="AH641" s="322"/>
      <c r="AJ641" s="322"/>
      <c r="AL641" s="322"/>
      <c r="AN641" s="322"/>
      <c r="AP641" s="322"/>
      <c r="AR641" s="322"/>
      <c r="AT641" s="322"/>
      <c r="AV641" s="322"/>
      <c r="AX641" s="322"/>
      <c r="AZ641" s="322"/>
      <c r="BB641" s="322"/>
      <c r="BD641" s="322"/>
      <c r="BF641" s="322"/>
      <c r="BH641" s="322"/>
      <c r="BJ641" s="322"/>
      <c r="BL641" s="322"/>
      <c r="BN641" s="322"/>
    </row>
    <row r="642" spans="14:66">
      <c r="N642" s="322"/>
      <c r="P642" s="322"/>
      <c r="R642" s="322"/>
      <c r="T642" s="322"/>
      <c r="V642" s="322"/>
      <c r="X642" s="322"/>
      <c r="Z642" s="322"/>
      <c r="AB642" s="322"/>
      <c r="AD642" s="322"/>
      <c r="AF642" s="322"/>
      <c r="AH642" s="322"/>
      <c r="AJ642" s="322"/>
      <c r="AL642" s="322"/>
      <c r="AN642" s="322"/>
      <c r="AP642" s="322"/>
      <c r="AR642" s="322"/>
      <c r="AT642" s="322"/>
      <c r="AV642" s="322"/>
      <c r="AX642" s="322"/>
      <c r="AZ642" s="322"/>
      <c r="BB642" s="322"/>
      <c r="BD642" s="322"/>
      <c r="BF642" s="322"/>
      <c r="BH642" s="322"/>
      <c r="BJ642" s="322"/>
      <c r="BL642" s="322"/>
      <c r="BN642" s="322"/>
    </row>
    <row r="643" spans="14:66">
      <c r="N643" s="322"/>
      <c r="P643" s="322"/>
      <c r="R643" s="322"/>
      <c r="T643" s="322"/>
      <c r="V643" s="322"/>
      <c r="X643" s="322"/>
      <c r="Z643" s="322"/>
      <c r="AB643" s="322"/>
      <c r="AD643" s="322"/>
      <c r="AF643" s="322"/>
      <c r="AH643" s="322"/>
      <c r="AJ643" s="322"/>
      <c r="AL643" s="322"/>
      <c r="AN643" s="322"/>
      <c r="AP643" s="322"/>
      <c r="AR643" s="322"/>
      <c r="AT643" s="322"/>
      <c r="AV643" s="322"/>
      <c r="AX643" s="322"/>
      <c r="AZ643" s="322"/>
      <c r="BB643" s="322"/>
      <c r="BD643" s="322"/>
      <c r="BF643" s="322"/>
      <c r="BH643" s="322"/>
      <c r="BJ643" s="322"/>
      <c r="BL643" s="322"/>
      <c r="BN643" s="322"/>
    </row>
    <row r="644" spans="14:66">
      <c r="N644" s="322"/>
      <c r="P644" s="322"/>
      <c r="R644" s="322"/>
      <c r="T644" s="322"/>
      <c r="V644" s="322"/>
      <c r="X644" s="322"/>
      <c r="Z644" s="322"/>
      <c r="AB644" s="322"/>
      <c r="AD644" s="322"/>
      <c r="AF644" s="322"/>
      <c r="AH644" s="322"/>
      <c r="AJ644" s="322"/>
      <c r="AL644" s="322"/>
      <c r="AN644" s="322"/>
      <c r="AP644" s="322"/>
      <c r="AR644" s="322"/>
      <c r="AT644" s="322"/>
      <c r="AV644" s="322"/>
      <c r="AX644" s="322"/>
      <c r="AZ644" s="322"/>
      <c r="BB644" s="322"/>
      <c r="BD644" s="322"/>
      <c r="BF644" s="322"/>
      <c r="BH644" s="322"/>
      <c r="BJ644" s="322"/>
      <c r="BL644" s="322"/>
      <c r="BN644" s="322"/>
    </row>
    <row r="645" spans="14:66">
      <c r="N645" s="322"/>
      <c r="P645" s="322"/>
      <c r="R645" s="322"/>
      <c r="T645" s="322"/>
      <c r="V645" s="322"/>
      <c r="X645" s="322"/>
      <c r="Z645" s="322"/>
      <c r="AB645" s="322"/>
      <c r="AD645" s="322"/>
      <c r="AF645" s="322"/>
      <c r="AH645" s="322"/>
      <c r="AJ645" s="322"/>
      <c r="AL645" s="322"/>
      <c r="AN645" s="322"/>
      <c r="AP645" s="322"/>
      <c r="AR645" s="322"/>
      <c r="AT645" s="322"/>
      <c r="AV645" s="322"/>
      <c r="AX645" s="322"/>
      <c r="AZ645" s="322"/>
      <c r="BB645" s="322"/>
      <c r="BD645" s="322"/>
      <c r="BF645" s="322"/>
      <c r="BH645" s="322"/>
      <c r="BJ645" s="322"/>
      <c r="BL645" s="322"/>
      <c r="BN645" s="322"/>
    </row>
    <row r="646" spans="14:66">
      <c r="N646" s="322"/>
      <c r="P646" s="322"/>
      <c r="R646" s="322"/>
      <c r="T646" s="322"/>
      <c r="V646" s="322"/>
      <c r="X646" s="322"/>
      <c r="Z646" s="322"/>
      <c r="AB646" s="322"/>
      <c r="AD646" s="322"/>
      <c r="AF646" s="322"/>
      <c r="AH646" s="322"/>
      <c r="AJ646" s="322"/>
      <c r="AL646" s="322"/>
      <c r="AN646" s="322"/>
      <c r="AP646" s="322"/>
      <c r="AR646" s="322"/>
      <c r="AT646" s="322"/>
      <c r="AV646" s="322"/>
      <c r="AX646" s="322"/>
      <c r="AZ646" s="322"/>
      <c r="BB646" s="322"/>
      <c r="BD646" s="322"/>
      <c r="BF646" s="322"/>
      <c r="BH646" s="322"/>
      <c r="BJ646" s="322"/>
      <c r="BL646" s="322"/>
      <c r="BN646" s="322"/>
    </row>
    <row r="647" spans="14:66">
      <c r="N647" s="322"/>
      <c r="P647" s="322"/>
      <c r="R647" s="322"/>
      <c r="T647" s="322"/>
      <c r="V647" s="322"/>
      <c r="X647" s="322"/>
      <c r="Z647" s="322"/>
      <c r="AB647" s="322"/>
      <c r="AD647" s="322"/>
      <c r="AF647" s="322"/>
      <c r="AH647" s="322"/>
      <c r="AJ647" s="322"/>
      <c r="AL647" s="322"/>
      <c r="AN647" s="322"/>
      <c r="AP647" s="322"/>
      <c r="AR647" s="322"/>
      <c r="AT647" s="322"/>
      <c r="AV647" s="322"/>
      <c r="AX647" s="322"/>
      <c r="AZ647" s="322"/>
      <c r="BB647" s="322"/>
      <c r="BD647" s="322"/>
      <c r="BF647" s="322"/>
      <c r="BH647" s="322"/>
      <c r="BJ647" s="322"/>
      <c r="BL647" s="322"/>
      <c r="BN647" s="322"/>
    </row>
    <row r="648" spans="14:66">
      <c r="N648" s="322"/>
      <c r="P648" s="322"/>
      <c r="R648" s="322"/>
      <c r="T648" s="322"/>
      <c r="V648" s="322"/>
      <c r="X648" s="322"/>
      <c r="Z648" s="322"/>
      <c r="AB648" s="322"/>
      <c r="AD648" s="322"/>
      <c r="AF648" s="322"/>
      <c r="AH648" s="322"/>
      <c r="AJ648" s="322"/>
      <c r="AL648" s="322"/>
      <c r="AN648" s="322"/>
      <c r="AP648" s="322"/>
      <c r="AR648" s="322"/>
      <c r="AT648" s="322"/>
      <c r="AV648" s="322"/>
      <c r="AX648" s="322"/>
      <c r="AZ648" s="322"/>
      <c r="BB648" s="322"/>
      <c r="BD648" s="322"/>
      <c r="BF648" s="322"/>
      <c r="BH648" s="322"/>
      <c r="BJ648" s="322"/>
      <c r="BL648" s="322"/>
      <c r="BN648" s="322"/>
    </row>
    <row r="649" spans="14:66">
      <c r="N649" s="322"/>
      <c r="P649" s="322"/>
      <c r="R649" s="322"/>
      <c r="T649" s="322"/>
      <c r="V649" s="322"/>
      <c r="X649" s="322"/>
      <c r="Z649" s="322"/>
      <c r="AB649" s="322"/>
      <c r="AD649" s="322"/>
      <c r="AF649" s="322"/>
      <c r="AH649" s="322"/>
      <c r="AJ649" s="322"/>
      <c r="AL649" s="322"/>
      <c r="AN649" s="322"/>
      <c r="AP649" s="322"/>
      <c r="AR649" s="322"/>
      <c r="AT649" s="322"/>
      <c r="AV649" s="322"/>
      <c r="AX649" s="322"/>
      <c r="AZ649" s="322"/>
      <c r="BB649" s="322"/>
      <c r="BD649" s="322"/>
      <c r="BF649" s="322"/>
      <c r="BH649" s="322"/>
      <c r="BJ649" s="322"/>
      <c r="BL649" s="322"/>
      <c r="BN649" s="322"/>
    </row>
    <row r="650" spans="14:66">
      <c r="N650" s="322"/>
      <c r="P650" s="322"/>
      <c r="R650" s="322"/>
      <c r="T650" s="322"/>
      <c r="V650" s="322"/>
      <c r="X650" s="322"/>
      <c r="Z650" s="322"/>
      <c r="AB650" s="322"/>
      <c r="AD650" s="322"/>
      <c r="AF650" s="322"/>
      <c r="AH650" s="322"/>
      <c r="AJ650" s="322"/>
      <c r="AL650" s="322"/>
      <c r="AN650" s="322"/>
      <c r="AP650" s="322"/>
      <c r="AR650" s="322"/>
      <c r="AT650" s="322"/>
      <c r="AV650" s="322"/>
      <c r="AX650" s="322"/>
      <c r="AZ650" s="322"/>
      <c r="BB650" s="322"/>
      <c r="BD650" s="322"/>
      <c r="BF650" s="322"/>
      <c r="BH650" s="322"/>
      <c r="BJ650" s="322"/>
      <c r="BL650" s="322"/>
      <c r="BN650" s="322"/>
    </row>
    <row r="651" spans="14:66">
      <c r="N651" s="322"/>
      <c r="P651" s="322"/>
      <c r="R651" s="322"/>
      <c r="T651" s="322"/>
      <c r="V651" s="322"/>
      <c r="X651" s="322"/>
      <c r="Z651" s="322"/>
      <c r="AB651" s="322"/>
      <c r="AD651" s="322"/>
      <c r="AF651" s="322"/>
      <c r="AH651" s="322"/>
      <c r="AJ651" s="322"/>
      <c r="AL651" s="322"/>
      <c r="AN651" s="322"/>
      <c r="AP651" s="322"/>
      <c r="AR651" s="322"/>
      <c r="AT651" s="322"/>
      <c r="AV651" s="322"/>
      <c r="AX651" s="322"/>
      <c r="AZ651" s="322"/>
      <c r="BB651" s="322"/>
      <c r="BD651" s="322"/>
      <c r="BF651" s="322"/>
      <c r="BH651" s="322"/>
      <c r="BJ651" s="322"/>
      <c r="BL651" s="322"/>
      <c r="BN651" s="322"/>
    </row>
    <row r="652" spans="14:66">
      <c r="N652" s="322"/>
      <c r="P652" s="322"/>
      <c r="R652" s="322"/>
      <c r="T652" s="322"/>
      <c r="V652" s="322"/>
      <c r="X652" s="322"/>
      <c r="Z652" s="322"/>
      <c r="AB652" s="322"/>
      <c r="AD652" s="322"/>
      <c r="AF652" s="322"/>
      <c r="AH652" s="322"/>
      <c r="AJ652" s="322"/>
      <c r="AL652" s="322"/>
      <c r="AN652" s="322"/>
      <c r="AP652" s="322"/>
      <c r="AR652" s="322"/>
      <c r="AT652" s="322"/>
      <c r="AV652" s="322"/>
      <c r="AX652" s="322"/>
      <c r="AZ652" s="322"/>
      <c r="BB652" s="322"/>
      <c r="BD652" s="322"/>
      <c r="BF652" s="322"/>
      <c r="BH652" s="322"/>
      <c r="BJ652" s="322"/>
      <c r="BL652" s="322"/>
      <c r="BN652" s="322"/>
    </row>
    <row r="653" spans="14:66">
      <c r="N653" s="322"/>
      <c r="P653" s="322"/>
      <c r="R653" s="322"/>
      <c r="T653" s="322"/>
      <c r="V653" s="322"/>
      <c r="X653" s="322"/>
      <c r="Z653" s="322"/>
      <c r="AB653" s="322"/>
      <c r="AD653" s="322"/>
      <c r="AF653" s="322"/>
      <c r="AH653" s="322"/>
      <c r="AJ653" s="322"/>
      <c r="AL653" s="322"/>
      <c r="AN653" s="322"/>
      <c r="AP653" s="322"/>
      <c r="AR653" s="322"/>
      <c r="AT653" s="322"/>
      <c r="AV653" s="322"/>
      <c r="AX653" s="322"/>
      <c r="AZ653" s="322"/>
      <c r="BB653" s="322"/>
      <c r="BD653" s="322"/>
      <c r="BF653" s="322"/>
      <c r="BH653" s="322"/>
      <c r="BJ653" s="322"/>
      <c r="BL653" s="322"/>
      <c r="BN653" s="322"/>
    </row>
    <row r="654" spans="14:66">
      <c r="N654" s="322"/>
      <c r="P654" s="322"/>
      <c r="R654" s="322"/>
      <c r="T654" s="322"/>
      <c r="V654" s="322"/>
      <c r="X654" s="322"/>
      <c r="Z654" s="322"/>
      <c r="AB654" s="322"/>
      <c r="AD654" s="322"/>
      <c r="AF654" s="322"/>
      <c r="AH654" s="322"/>
      <c r="AJ654" s="322"/>
      <c r="AL654" s="322"/>
      <c r="AN654" s="322"/>
      <c r="AP654" s="322"/>
      <c r="AR654" s="322"/>
      <c r="AT654" s="322"/>
      <c r="AV654" s="322"/>
      <c r="AX654" s="322"/>
      <c r="AZ654" s="322"/>
      <c r="BB654" s="322"/>
      <c r="BD654" s="322"/>
      <c r="BF654" s="322"/>
      <c r="BH654" s="322"/>
      <c r="BJ654" s="322"/>
      <c r="BL654" s="322"/>
      <c r="BN654" s="322"/>
    </row>
    <row r="655" spans="14:66">
      <c r="N655" s="322"/>
      <c r="P655" s="322"/>
      <c r="R655" s="322"/>
      <c r="T655" s="322"/>
      <c r="V655" s="322"/>
      <c r="X655" s="322"/>
      <c r="Z655" s="322"/>
      <c r="AB655" s="322"/>
      <c r="AD655" s="322"/>
      <c r="AF655" s="322"/>
      <c r="AH655" s="322"/>
      <c r="AJ655" s="322"/>
      <c r="AL655" s="322"/>
      <c r="AN655" s="322"/>
      <c r="AP655" s="322"/>
      <c r="AR655" s="322"/>
      <c r="AT655" s="322"/>
      <c r="AV655" s="322"/>
      <c r="AX655" s="322"/>
      <c r="AZ655" s="322"/>
      <c r="BB655" s="322"/>
      <c r="BD655" s="322"/>
      <c r="BF655" s="322"/>
      <c r="BH655" s="322"/>
      <c r="BJ655" s="322"/>
      <c r="BL655" s="322"/>
      <c r="BN655" s="322"/>
    </row>
    <row r="656" spans="14:66">
      <c r="N656" s="322"/>
      <c r="P656" s="322"/>
      <c r="R656" s="322"/>
      <c r="T656" s="322"/>
      <c r="V656" s="322"/>
      <c r="X656" s="322"/>
      <c r="Z656" s="322"/>
      <c r="AB656" s="322"/>
      <c r="AD656" s="322"/>
      <c r="AF656" s="322"/>
      <c r="AH656" s="322"/>
      <c r="AJ656" s="322"/>
      <c r="AL656" s="322"/>
      <c r="AN656" s="322"/>
      <c r="AP656" s="322"/>
      <c r="AR656" s="322"/>
      <c r="AT656" s="322"/>
      <c r="AV656" s="322"/>
      <c r="AX656" s="322"/>
      <c r="AZ656" s="322"/>
      <c r="BB656" s="322"/>
      <c r="BD656" s="322"/>
      <c r="BF656" s="322"/>
      <c r="BH656" s="322"/>
      <c r="BJ656" s="322"/>
      <c r="BL656" s="322"/>
      <c r="BN656" s="322"/>
    </row>
    <row r="657" spans="14:66">
      <c r="N657" s="322"/>
      <c r="P657" s="322"/>
      <c r="R657" s="322"/>
      <c r="T657" s="322"/>
      <c r="V657" s="322"/>
      <c r="X657" s="322"/>
      <c r="Z657" s="322"/>
      <c r="AB657" s="322"/>
      <c r="AD657" s="322"/>
      <c r="AF657" s="322"/>
      <c r="AH657" s="322"/>
      <c r="AJ657" s="322"/>
      <c r="AL657" s="322"/>
      <c r="AN657" s="322"/>
      <c r="AP657" s="322"/>
      <c r="AR657" s="322"/>
      <c r="AT657" s="322"/>
      <c r="AV657" s="322"/>
      <c r="AX657" s="322"/>
      <c r="AZ657" s="322"/>
      <c r="BB657" s="322"/>
      <c r="BD657" s="322"/>
      <c r="BF657" s="322"/>
      <c r="BH657" s="322"/>
      <c r="BJ657" s="322"/>
      <c r="BL657" s="322"/>
      <c r="BN657" s="322"/>
    </row>
    <row r="658" spans="14:66">
      <c r="N658" s="322"/>
      <c r="P658" s="322"/>
      <c r="R658" s="322"/>
      <c r="T658" s="322"/>
      <c r="V658" s="322"/>
      <c r="X658" s="322"/>
      <c r="Z658" s="322"/>
      <c r="AB658" s="322"/>
      <c r="AD658" s="322"/>
      <c r="AF658" s="322"/>
      <c r="AH658" s="322"/>
      <c r="AJ658" s="322"/>
      <c r="AL658" s="322"/>
      <c r="AN658" s="322"/>
      <c r="AP658" s="322"/>
      <c r="AR658" s="322"/>
      <c r="AT658" s="322"/>
      <c r="AV658" s="322"/>
      <c r="AX658" s="322"/>
      <c r="AZ658" s="322"/>
      <c r="BB658" s="322"/>
      <c r="BD658" s="322"/>
      <c r="BF658" s="322"/>
      <c r="BH658" s="322"/>
      <c r="BJ658" s="322"/>
      <c r="BL658" s="322"/>
      <c r="BN658" s="322"/>
    </row>
  </sheetData>
  <conditionalFormatting sqref="G8:G19">
    <cfRule type="colorScale" priority="31">
      <colorScale>
        <cfvo type="min"/>
        <cfvo type="percentile" val="50"/>
        <cfvo type="max"/>
        <color rgb="FF63BE7B"/>
        <color rgb="FFFFEB84"/>
        <color rgb="FFF8696B"/>
      </colorScale>
    </cfRule>
  </conditionalFormatting>
  <conditionalFormatting sqref="G21:G67">
    <cfRule type="colorScale" priority="1174">
      <colorScale>
        <cfvo type="min"/>
        <cfvo type="percentile" val="50"/>
        <cfvo type="max"/>
        <color rgb="FF63BE7B"/>
        <color rgb="FFFFEB84"/>
        <color rgb="FFF8696B"/>
      </colorScale>
    </cfRule>
  </conditionalFormatting>
  <conditionalFormatting sqref="G52:G67">
    <cfRule type="colorScale" priority="28">
      <colorScale>
        <cfvo type="min"/>
        <cfvo type="percentile" val="50"/>
        <cfvo type="max"/>
        <color rgb="FF63BE7B"/>
        <color rgb="FFFFEB84"/>
        <color rgb="FFF8696B"/>
      </colorScale>
    </cfRule>
  </conditionalFormatting>
  <conditionalFormatting sqref="G68:G83">
    <cfRule type="colorScale" priority="1170">
      <colorScale>
        <cfvo type="min"/>
        <cfvo type="percentile" val="50"/>
        <cfvo type="max"/>
        <color rgb="FF63BE7B"/>
        <color rgb="FFFFEB84"/>
        <color rgb="FFF8696B"/>
      </colorScale>
    </cfRule>
  </conditionalFormatting>
  <conditionalFormatting sqref="G91">
    <cfRule type="colorScale" priority="20">
      <colorScale>
        <cfvo type="min"/>
        <cfvo type="percentile" val="50"/>
        <cfvo type="max"/>
        <color rgb="FF63BE7B"/>
        <color rgb="FFFFEB84"/>
        <color rgb="FFF8696B"/>
      </colorScale>
    </cfRule>
  </conditionalFormatting>
  <conditionalFormatting sqref="G186:G193">
    <cfRule type="colorScale" priority="9">
      <colorScale>
        <cfvo type="min"/>
        <cfvo type="percentile" val="50"/>
        <cfvo type="max"/>
        <color rgb="FF63BE7B"/>
        <color rgb="FFFFEB84"/>
        <color rgb="FFF8696B"/>
      </colorScale>
    </cfRule>
    <cfRule type="colorScale" priority="10">
      <colorScale>
        <cfvo type="min"/>
        <cfvo type="percentile" val="50"/>
        <cfvo type="max"/>
        <color rgb="FF63BE7B"/>
        <color rgb="FFFFEB84"/>
        <color rgb="FFF8696B"/>
      </colorScale>
    </cfRule>
  </conditionalFormatting>
  <conditionalFormatting sqref="G194">
    <cfRule type="colorScale" priority="8">
      <colorScale>
        <cfvo type="min"/>
        <cfvo type="percentile" val="50"/>
        <cfvo type="max"/>
        <color rgb="FF63BE7B"/>
        <color rgb="FFFFEB84"/>
        <color rgb="FFF8696B"/>
      </colorScale>
    </cfRule>
  </conditionalFormatting>
  <conditionalFormatting sqref="H91">
    <cfRule type="colorScale" priority="18">
      <colorScale>
        <cfvo type="min"/>
        <cfvo type="percentile" val="50"/>
        <cfvo type="max"/>
        <color rgb="FF63BE7B"/>
        <color rgb="FFFFEB84"/>
        <color rgb="FFF8696B"/>
      </colorScale>
    </cfRule>
    <cfRule type="colorScale" priority="19">
      <colorScale>
        <cfvo type="min"/>
        <cfvo type="percentile" val="50"/>
        <cfvo type="max"/>
        <color rgb="FF63BE7B"/>
        <color rgb="FFFFEB84"/>
        <color rgb="FFF8696B"/>
      </colorScale>
    </cfRule>
  </conditionalFormatting>
  <conditionalFormatting sqref="H100">
    <cfRule type="colorScale" priority="16">
      <colorScale>
        <cfvo type="min"/>
        <cfvo type="percentile" val="50"/>
        <cfvo type="max"/>
        <color rgb="FF63BE7B"/>
        <color rgb="FFFFEB84"/>
        <color rgb="FFF8696B"/>
      </colorScale>
    </cfRule>
    <cfRule type="colorScale" priority="17">
      <colorScale>
        <cfvo type="min"/>
        <cfvo type="percentile" val="50"/>
        <cfvo type="max"/>
        <color rgb="FF63BE7B"/>
        <color rgb="FFFFEB84"/>
        <color rgb="FFF8696B"/>
      </colorScale>
    </cfRule>
  </conditionalFormatting>
  <conditionalFormatting sqref="H137:H142">
    <cfRule type="colorScale" priority="26">
      <colorScale>
        <cfvo type="min"/>
        <cfvo type="percentile" val="50"/>
        <cfvo type="max"/>
        <color rgb="FF63BE7B"/>
        <color rgb="FFFFEB84"/>
        <color rgb="FFF8696B"/>
      </colorScale>
    </cfRule>
  </conditionalFormatting>
  <conditionalFormatting sqref="H149:H175">
    <cfRule type="colorScale" priority="25">
      <colorScale>
        <cfvo type="min"/>
        <cfvo type="percentile" val="50"/>
        <cfvo type="max"/>
        <color rgb="FF63BE7B"/>
        <color rgb="FFFFEB84"/>
        <color rgb="FFF8696B"/>
      </colorScale>
    </cfRule>
  </conditionalFormatting>
  <conditionalFormatting sqref="H155">
    <cfRule type="colorScale" priority="24">
      <colorScale>
        <cfvo type="min"/>
        <cfvo type="percentile" val="50"/>
        <cfvo type="max"/>
        <color rgb="FF63BE7B"/>
        <color rgb="FFFFEB84"/>
        <color rgb="FFF8696B"/>
      </colorScale>
    </cfRule>
  </conditionalFormatting>
  <conditionalFormatting sqref="H174:H175">
    <cfRule type="colorScale" priority="23">
      <colorScale>
        <cfvo type="min"/>
        <cfvo type="percentile" val="50"/>
        <cfvo type="max"/>
        <color rgb="FF63BE7B"/>
        <color rgb="FFFFEB84"/>
        <color rgb="FFF8696B"/>
      </colorScale>
    </cfRule>
  </conditionalFormatting>
  <conditionalFormatting sqref="H191:H193">
    <cfRule type="colorScale" priority="11">
      <colorScale>
        <cfvo type="min"/>
        <cfvo type="percentile" val="50"/>
        <cfvo type="max"/>
        <color rgb="FF63BE7B"/>
        <color rgb="FFFFEB84"/>
        <color rgb="FFF8696B"/>
      </colorScale>
    </cfRule>
  </conditionalFormatting>
  <conditionalFormatting sqref="H215:H216">
    <cfRule type="colorScale" priority="7">
      <colorScale>
        <cfvo type="min"/>
        <cfvo type="percentile" val="50"/>
        <cfvo type="max"/>
        <color rgb="FF63BE7B"/>
        <color rgb="FFFFEB84"/>
        <color rgb="FFF8696B"/>
      </colorScale>
    </cfRule>
  </conditionalFormatting>
  <conditionalFormatting sqref="H223:H240 G241:G248 G251:G1048576 H249:H250 G1:G184 G194:G222">
    <cfRule type="colorScale" priority="1336">
      <colorScale>
        <cfvo type="min"/>
        <cfvo type="percentile" val="50"/>
        <cfvo type="max"/>
        <color rgb="FF63BE7B"/>
        <color rgb="FFFFEB84"/>
        <color rgb="FFF8696B"/>
      </colorScale>
    </cfRule>
  </conditionalFormatting>
  <conditionalFormatting sqref="H241:H248 H251:H1048576 I249:I250 I223:I240 H194:H214 H217:H222 H1:H90 H101:H182 H92:H99">
    <cfRule type="colorScale" priority="1341">
      <colorScale>
        <cfvo type="min"/>
        <cfvo type="percentile" val="50"/>
        <cfvo type="max"/>
        <color rgb="FF63BE7B"/>
        <color rgb="FFFFEB84"/>
        <color rgb="FFF8696B"/>
      </colorScale>
    </cfRule>
  </conditionalFormatting>
  <conditionalFormatting sqref="H242:H246">
    <cfRule type="colorScale" priority="1335">
      <colorScale>
        <cfvo type="min"/>
        <cfvo type="percentile" val="50"/>
        <cfvo type="max"/>
        <color rgb="FF63BE7B"/>
        <color rgb="FFFFEB84"/>
        <color rgb="FFF8696B"/>
      </colorScale>
    </cfRule>
  </conditionalFormatting>
  <conditionalFormatting sqref="H247:H248">
    <cfRule type="colorScale" priority="13">
      <colorScale>
        <cfvo type="min"/>
        <cfvo type="percentile" val="50"/>
        <cfvo type="max"/>
        <color rgb="FF63BE7B"/>
        <color rgb="FFFFEB84"/>
        <color rgb="FFF8696B"/>
      </colorScale>
    </cfRule>
  </conditionalFormatting>
  <conditionalFormatting sqref="I191:I192">
    <cfRule type="colorScale" priority="12">
      <colorScale>
        <cfvo type="min"/>
        <cfvo type="percentile" val="50"/>
        <cfvo type="max"/>
        <color rgb="FF63BE7B"/>
        <color rgb="FFFFEB84"/>
        <color rgb="FFF8696B"/>
      </colorScale>
    </cfRule>
  </conditionalFormatting>
  <conditionalFormatting sqref="I241:I248 I251:I345 J249:J250 I222 J224:J240 I193 I195:I220 I1:I53 I56:I182 I347:I1048576">
    <cfRule type="colorScale" priority="1348">
      <colorScale>
        <cfvo type="min"/>
        <cfvo type="percentile" val="50"/>
        <cfvo type="max"/>
        <color rgb="FF63BE7B"/>
        <color rgb="FFFFEB84"/>
        <color rgb="FFF8696B"/>
      </colorScale>
    </cfRule>
  </conditionalFormatting>
  <conditionalFormatting sqref="K152:K161">
    <cfRule type="colorScale" priority="2">
      <colorScale>
        <cfvo type="min"/>
        <cfvo type="percentile" val="50"/>
        <cfvo type="max"/>
        <color rgb="FF63BE7B"/>
        <color rgb="FFFFEB84"/>
        <color rgb="FFF8696B"/>
      </colorScale>
    </cfRule>
  </conditionalFormatting>
  <conditionalFormatting sqref="N185:BP185">
    <cfRule type="colorScale" priority="15">
      <colorScale>
        <cfvo type="min"/>
        <cfvo type="percentile" val="50"/>
        <cfvo type="max"/>
        <color rgb="FF63BE7B"/>
        <color rgb="FFFFEB84"/>
        <color rgb="FFF8696B"/>
      </colorScale>
    </cfRule>
  </conditionalFormatting>
  <conditionalFormatting sqref="V22">
    <cfRule type="colorScale" priority="51">
      <colorScale>
        <cfvo type="min"/>
        <cfvo type="percentile" val="50"/>
        <cfvo type="max"/>
        <color rgb="FF5A8AC6"/>
        <color rgb="FFFCFCFF"/>
        <color rgb="FFF8696B"/>
      </colorScale>
    </cfRule>
  </conditionalFormatting>
  <conditionalFormatting sqref="W22:AC22 L22:U22">
    <cfRule type="colorScale" priority="52">
      <colorScale>
        <cfvo type="min"/>
        <cfvo type="percentile" val="50"/>
        <cfvo type="max"/>
        <color rgb="FF5A8AC6"/>
        <color rgb="FFFCFCFF"/>
        <color rgb="FFF8696B"/>
      </colorScale>
    </cfRule>
  </conditionalFormatting>
  <conditionalFormatting sqref="AD22">
    <cfRule type="colorScale" priority="50">
      <colorScale>
        <cfvo type="min"/>
        <cfvo type="percentile" val="50"/>
        <cfvo type="max"/>
        <color rgb="FF5A8AC6"/>
        <color rgb="FFFCFCFF"/>
        <color rgb="FFF8696B"/>
      </colorScale>
    </cfRule>
  </conditionalFormatting>
  <conditionalFormatting sqref="AE22">
    <cfRule type="colorScale" priority="49">
      <colorScale>
        <cfvo type="min"/>
        <cfvo type="percentile" val="50"/>
        <cfvo type="max"/>
        <color rgb="FF5A8AC6"/>
        <color rgb="FFFCFCFF"/>
        <color rgb="FFF8696B"/>
      </colorScale>
    </cfRule>
  </conditionalFormatting>
  <conditionalFormatting sqref="AF22">
    <cfRule type="iconSet" priority="48">
      <iconSet reverse="1">
        <cfvo type="percent" val="0"/>
        <cfvo type="percent" val="33"/>
        <cfvo type="percent" val="67"/>
      </iconSet>
    </cfRule>
  </conditionalFormatting>
  <dataValidations count="8">
    <dataValidation type="list" allowBlank="1" showInputMessage="1" showErrorMessage="1" sqref="F175 F181 F133 F92" xr:uid="{684F82B2-93B2-4CAF-8A94-B105942A7838}">
      <formula1>"N,Y,ne sais pas"</formula1>
    </dataValidation>
    <dataValidation type="list" allowBlank="1" showInputMessage="1" showErrorMessage="1" sqref="H11:J11" xr:uid="{32707F89-F5FA-41ED-994A-B8470CE31676}">
      <mc:AlternateContent xmlns:x12ac="http://schemas.microsoft.com/office/spreadsheetml/2011/1/ac" xmlns:mc="http://schemas.openxmlformats.org/markup-compatibility/2006">
        <mc:Choice Requires="x12ac">
          <x12ac:list>Seul(e), Chez vos parents (vous êtes hébergé par votre famille), En couple," Avec d’autres personnes (amis, colocataires, …)"</x12ac:list>
        </mc:Choice>
        <mc:Fallback>
          <formula1>"Seul(e), Chez vos parents (vous êtes hébergé par votre famille), En couple, Avec d’autres personnes (amis, colocataires, …)"</formula1>
        </mc:Fallback>
      </mc:AlternateContent>
    </dataValidation>
    <dataValidation type="list" allowBlank="1" showInputMessage="1" showErrorMessage="1" sqref="F20" xr:uid="{EE51EC8A-5852-48AE-9972-EBF13A886B04}">
      <formula1>"Très positif, Plutôt positif, Plutôt négatif, Très négatif"</formula1>
    </dataValidation>
    <dataValidation type="list" allowBlank="1" showInputMessage="1" showErrorMessage="1" sqref="F134 F143:F146 F148 F166:F167 F237 F84:F90" xr:uid="{CC82F0E0-7A33-4E60-AEED-867989F5A4AB}">
      <formula1>"0,1,2,3"</formula1>
    </dataValidation>
    <dataValidation type="list" allowBlank="1" showInputMessage="1" showErrorMessage="1" sqref="F336 F207 F233:F236 F242:F248 F345 F63:F64 F66 F230:F231 F179 F188:F194 F5 F12 F17 D336 F147 F222 F114:F132" xr:uid="{06377822-F531-434C-8E25-52E42EBEC63E}">
      <formula1>"0,1,2"</formula1>
    </dataValidation>
    <dataValidation type="list" allowBlank="1" showInputMessage="1" showErrorMessage="1" sqref="F255" xr:uid="{3E8AC111-275C-431C-98FB-2AF2A2109E46}">
      <formula1>"0,1,2 ou plus"</formula1>
    </dataValidation>
    <dataValidation type="list" allowBlank="1" showInputMessage="1" showErrorMessage="1" sqref="F208 F337:F340 F342:F343 F8:F9 F13:F16 F18:F19 F21:F62 F65 F67:F83 F91 F93:F113 F135:F142 F11 F149:F165 F176:F178 F180 F182:F187 F195:F205 F210:F211 F254 F256:F259 F251 F168:F174" xr:uid="{EC336489-5996-40EC-9FD7-B4060ABE4C61}">
      <formula1>"0,1"</formula1>
    </dataValidation>
    <dataValidation type="list" allowBlank="1" showInputMessage="1" showErrorMessage="1" sqref="F209 F206 F10" xr:uid="{9ADDB758-BE6F-4B0C-AD67-E387C019BED6}">
      <formula1>"0,1,2,3,4,5"</formula1>
    </dataValidation>
  </dataValidations>
  <hyperlinks>
    <hyperlink ref="F355" r:id="rId1" xr:uid="{25C5291A-A680-435D-99BE-E2B90D48754F}"/>
  </hyperlinks>
  <printOptions headings="1"/>
  <pageMargins left="0.70866141732283472" right="0.70866141732283472" top="0.74803149606299213" bottom="0.74803149606299213" header="0.31496062992125984" footer="0.31496062992125984"/>
  <pageSetup paperSize="9" scale="13" fitToHeight="0"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8B751-3EA4-4576-AFC2-8AF610145E12}">
  <sheetPr codeName="Feuil6">
    <tabColor rgb="FFFF0000"/>
  </sheetPr>
  <dimension ref="C2:Y91"/>
  <sheetViews>
    <sheetView topLeftCell="B1" zoomScale="75" zoomScaleNormal="75" zoomScaleSheetLayoutView="75" workbookViewId="0">
      <selection activeCell="J18" sqref="J18"/>
    </sheetView>
  </sheetViews>
  <sheetFormatPr baseColWidth="10" defaultColWidth="11.5546875" defaultRowHeight="14.4"/>
  <cols>
    <col min="8" max="8" width="15.21875" style="265" customWidth="1"/>
    <col min="9" max="10" width="10.88671875" style="15"/>
    <col min="11" max="11" width="14.44140625" style="15" customWidth="1"/>
    <col min="13" max="13" width="15.77734375" customWidth="1"/>
    <col min="14" max="14" width="11.5546875" style="15"/>
    <col min="17" max="17" width="16.44140625" customWidth="1"/>
  </cols>
  <sheetData>
    <row r="2" spans="7:25" ht="21">
      <c r="G2" s="235" t="s">
        <v>55</v>
      </c>
      <c r="H2" s="264" t="s">
        <v>34</v>
      </c>
      <c r="I2" s="236" t="s">
        <v>56</v>
      </c>
      <c r="J2" s="236" t="s">
        <v>80</v>
      </c>
      <c r="K2" s="236" t="s">
        <v>597</v>
      </c>
      <c r="R2" t="s">
        <v>758</v>
      </c>
      <c r="W2" s="234"/>
      <c r="X2" s="21"/>
      <c r="Y2" s="22"/>
    </row>
    <row r="3" spans="7:25" ht="21">
      <c r="G3" s="237" t="s">
        <v>54</v>
      </c>
      <c r="H3" s="263">
        <f>calculRISKS!R2</f>
        <v>5.1645454545454869E-2</v>
      </c>
      <c r="I3" s="238">
        <f>calculRISKS!S2</f>
        <v>7.4159279999999994E-2</v>
      </c>
      <c r="J3" s="238">
        <f>calculRISKS!V2</f>
        <v>8.7418079999999995E-2</v>
      </c>
      <c r="K3" s="263">
        <f>(MAX(I3,J3)-(H3+(H3*0.1)))</f>
        <v>3.0608079999999635E-2</v>
      </c>
      <c r="M3" s="239" t="s">
        <v>91</v>
      </c>
      <c r="N3" s="28"/>
      <c r="O3" s="242">
        <v>-5</v>
      </c>
      <c r="Q3" s="820" t="s">
        <v>54</v>
      </c>
      <c r="R3" s="244">
        <f>MIN(I3:J3)/H3</f>
        <v>1.4359304347825996</v>
      </c>
      <c r="S3">
        <v>1.2</v>
      </c>
      <c r="T3" s="28">
        <f>IF(R3&gt;3,3,R3)</f>
        <v>1.4359304347825996</v>
      </c>
      <c r="U3" s="28">
        <v>2.2000000000000002</v>
      </c>
      <c r="V3" s="28">
        <v>3</v>
      </c>
      <c r="W3" s="20" t="s">
        <v>759</v>
      </c>
      <c r="X3" s="20" t="s">
        <v>761</v>
      </c>
      <c r="Y3" s="20" t="s">
        <v>760</v>
      </c>
    </row>
    <row r="4" spans="7:25" ht="21">
      <c r="G4" s="240" t="s">
        <v>35</v>
      </c>
      <c r="H4" s="263">
        <f>calculRISKS!R3</f>
        <v>0.12041958041957734</v>
      </c>
      <c r="I4" s="238">
        <f>calculRISKS!S3</f>
        <v>0.14450349650349281</v>
      </c>
      <c r="J4" s="238">
        <f>calculRISKS!V3</f>
        <v>0.15230769230768829</v>
      </c>
      <c r="K4" s="263">
        <f t="shared" ref="K4:K23" si="0">MAX(I4,J4)-(H4+(H4*0.1))</f>
        <v>1.9846153846153208E-2</v>
      </c>
      <c r="M4" s="239" t="s">
        <v>92</v>
      </c>
      <c r="N4" s="28"/>
      <c r="O4" s="242"/>
      <c r="Q4" s="821" t="s">
        <v>35</v>
      </c>
      <c r="R4" s="244">
        <f t="shared" ref="R4:R23" si="1">MIN(I4:J4)/H4</f>
        <v>1.2</v>
      </c>
      <c r="S4">
        <v>1.2</v>
      </c>
      <c r="T4" s="28">
        <f t="shared" ref="T4:T23" si="2">IF(R4&gt;3,3,R4)</f>
        <v>1.2</v>
      </c>
      <c r="U4" s="28">
        <v>2.2000000000000002</v>
      </c>
      <c r="V4" s="28">
        <v>3</v>
      </c>
      <c r="W4" s="20" t="s">
        <v>759</v>
      </c>
      <c r="X4" s="20" t="s">
        <v>761</v>
      </c>
      <c r="Y4" s="20" t="s">
        <v>760</v>
      </c>
    </row>
    <row r="5" spans="7:25" ht="21">
      <c r="G5" s="240" t="s">
        <v>36</v>
      </c>
      <c r="H5" s="263">
        <f>calculRISKS!R4</f>
        <v>3.9534999999999876E-2</v>
      </c>
      <c r="I5" s="238">
        <f>calculRISKS!S4</f>
        <v>4.7441999999999852E-2</v>
      </c>
      <c r="J5" s="238">
        <f>calculRISKS!V4</f>
        <v>6.9822857142856937E-2</v>
      </c>
      <c r="K5" s="263">
        <f t="shared" si="0"/>
        <v>2.6334357142857076E-2</v>
      </c>
      <c r="M5" s="239" t="s">
        <v>93</v>
      </c>
      <c r="N5" s="28"/>
      <c r="O5" s="242">
        <v>5</v>
      </c>
      <c r="Q5" s="240" t="s">
        <v>36</v>
      </c>
      <c r="R5" s="244">
        <f t="shared" si="1"/>
        <v>1.2</v>
      </c>
      <c r="S5">
        <v>1.2</v>
      </c>
      <c r="T5" s="28">
        <f t="shared" si="2"/>
        <v>1.2</v>
      </c>
      <c r="U5" s="28">
        <v>2.2000000000000002</v>
      </c>
      <c r="V5" s="28">
        <v>3</v>
      </c>
      <c r="W5" s="20" t="s">
        <v>759</v>
      </c>
      <c r="X5" s="20" t="s">
        <v>761</v>
      </c>
      <c r="Y5" s="20" t="s">
        <v>760</v>
      </c>
    </row>
    <row r="6" spans="7:25" ht="21">
      <c r="G6" s="240" t="s">
        <v>37</v>
      </c>
      <c r="H6" s="263">
        <f>calculRISKS!R5</f>
        <v>8.8500000000001855E-2</v>
      </c>
      <c r="I6" s="238">
        <f>calculRISKS!S5</f>
        <v>0.19116000000000402</v>
      </c>
      <c r="J6" s="238">
        <f>calculRISKS!V5</f>
        <v>0.19116000000000402</v>
      </c>
      <c r="K6" s="263">
        <f t="shared" si="0"/>
        <v>9.3810000000001975E-2</v>
      </c>
      <c r="M6" s="239" t="s">
        <v>94</v>
      </c>
      <c r="N6" s="28"/>
      <c r="O6" s="242">
        <v>20</v>
      </c>
      <c r="Q6" s="240" t="s">
        <v>37</v>
      </c>
      <c r="R6" s="244">
        <f t="shared" si="1"/>
        <v>2.16</v>
      </c>
      <c r="S6">
        <v>1.2</v>
      </c>
      <c r="T6" s="28">
        <f t="shared" si="2"/>
        <v>2.16</v>
      </c>
      <c r="U6" s="28">
        <v>2.2000000000000002</v>
      </c>
      <c r="V6" s="28">
        <v>3</v>
      </c>
      <c r="W6" s="20" t="s">
        <v>759</v>
      </c>
      <c r="X6" s="20" t="s">
        <v>761</v>
      </c>
      <c r="Y6" s="20" t="s">
        <v>760</v>
      </c>
    </row>
    <row r="7" spans="7:25" ht="21">
      <c r="G7" s="240" t="s">
        <v>38</v>
      </c>
      <c r="H7" s="263">
        <f>calculRISKS!R6</f>
        <v>1.7842499999999966E-2</v>
      </c>
      <c r="I7" s="238">
        <f>calculRISKS!S6</f>
        <v>1.7128799999999968E-2</v>
      </c>
      <c r="J7" s="238">
        <f>calculRISKS!V6</f>
        <v>2.1701485714285696E-2</v>
      </c>
      <c r="K7" s="263">
        <f t="shared" si="0"/>
        <v>2.0747357142857324E-3</v>
      </c>
      <c r="N7" s="28"/>
      <c r="Q7" s="240" t="s">
        <v>38</v>
      </c>
      <c r="R7" s="244">
        <f t="shared" si="1"/>
        <v>0.96000000000000008</v>
      </c>
      <c r="S7">
        <v>1.2</v>
      </c>
      <c r="T7" s="28">
        <f t="shared" si="2"/>
        <v>0.96000000000000008</v>
      </c>
      <c r="U7" s="28">
        <v>2.2000000000000002</v>
      </c>
      <c r="V7" s="28">
        <v>3</v>
      </c>
      <c r="W7" s="20" t="s">
        <v>759</v>
      </c>
      <c r="X7" s="20" t="s">
        <v>761</v>
      </c>
      <c r="Y7" s="20" t="s">
        <v>760</v>
      </c>
    </row>
    <row r="8" spans="7:25" ht="21">
      <c r="G8" s="240" t="s">
        <v>39</v>
      </c>
      <c r="H8" s="263">
        <f>calculRISKS!R7</f>
        <v>1.145337746135637E-2</v>
      </c>
      <c r="I8" s="238">
        <f>calculRISKS!S7</f>
        <v>1.4843577189917856E-2</v>
      </c>
      <c r="J8" s="238">
        <f>calculRISKS!V7</f>
        <v>2.3119641610264294E-2</v>
      </c>
      <c r="K8" s="263">
        <f t="shared" si="0"/>
        <v>1.0520926402772286E-2</v>
      </c>
      <c r="N8" s="28"/>
      <c r="Q8" s="240" t="s">
        <v>39</v>
      </c>
      <c r="R8" s="244">
        <f t="shared" si="1"/>
        <v>1.296</v>
      </c>
      <c r="S8">
        <v>1.2</v>
      </c>
      <c r="T8" s="28">
        <f t="shared" si="2"/>
        <v>1.296</v>
      </c>
      <c r="U8" s="28">
        <v>2.2000000000000002</v>
      </c>
      <c r="V8" s="28">
        <v>3</v>
      </c>
      <c r="W8" s="20" t="s">
        <v>759</v>
      </c>
      <c r="X8" s="20" t="s">
        <v>761</v>
      </c>
      <c r="Y8" s="20" t="s">
        <v>760</v>
      </c>
    </row>
    <row r="9" spans="7:25" ht="21">
      <c r="G9" s="240" t="s">
        <v>250</v>
      </c>
      <c r="H9" s="263">
        <f>calculRISKS!R8</f>
        <v>0.13600000000000009</v>
      </c>
      <c r="I9" s="238">
        <f>calculRISKS!S8</f>
        <v>0.20127264851439713</v>
      </c>
      <c r="J9" s="238">
        <f>calculRISKS!V8</f>
        <v>0.20127264851439713</v>
      </c>
      <c r="K9" s="263">
        <f t="shared" si="0"/>
        <v>5.167264851439704E-2</v>
      </c>
      <c r="N9" s="28"/>
      <c r="Q9" s="240" t="s">
        <v>250</v>
      </c>
      <c r="R9" s="244">
        <f t="shared" si="1"/>
        <v>1.4799459449588015</v>
      </c>
      <c r="S9">
        <v>1.2</v>
      </c>
      <c r="T9" s="28">
        <f t="shared" si="2"/>
        <v>1.4799459449588015</v>
      </c>
      <c r="U9" s="28">
        <v>2.2000000000000002</v>
      </c>
      <c r="V9" s="28">
        <v>3</v>
      </c>
      <c r="W9" s="20" t="s">
        <v>759</v>
      </c>
      <c r="X9" s="20" t="s">
        <v>761</v>
      </c>
      <c r="Y9" s="20" t="s">
        <v>760</v>
      </c>
    </row>
    <row r="10" spans="7:25" ht="21">
      <c r="G10" s="240" t="s">
        <v>41</v>
      </c>
      <c r="H10" s="263">
        <f>calculRISKS!R9</f>
        <v>7.0000000000000007E-2</v>
      </c>
      <c r="I10" s="238">
        <f>calculRISKS!S9</f>
        <v>7.0000000000000007E-2</v>
      </c>
      <c r="J10" s="238">
        <f>calculRISKS!V9</f>
        <v>8.0000000000000016E-2</v>
      </c>
      <c r="K10" s="263">
        <f t="shared" si="0"/>
        <v>3.0000000000000027E-3</v>
      </c>
      <c r="N10" s="28"/>
      <c r="Q10" s="240" t="s">
        <v>41</v>
      </c>
      <c r="R10" s="244">
        <f t="shared" si="1"/>
        <v>1</v>
      </c>
      <c r="S10">
        <v>1.2</v>
      </c>
      <c r="T10" s="28">
        <f t="shared" si="2"/>
        <v>1</v>
      </c>
      <c r="U10" s="28">
        <v>2.2000000000000002</v>
      </c>
      <c r="V10" s="28">
        <v>3</v>
      </c>
      <c r="W10" s="20" t="s">
        <v>759</v>
      </c>
      <c r="X10" s="20" t="s">
        <v>761</v>
      </c>
      <c r="Y10" s="20" t="s">
        <v>760</v>
      </c>
    </row>
    <row r="11" spans="7:25" ht="21">
      <c r="G11" s="240" t="s">
        <v>42</v>
      </c>
      <c r="H11" s="263">
        <f>calculRISKS!R10</f>
        <v>0.25</v>
      </c>
      <c r="I11" s="238">
        <f>calculRISKS!S10</f>
        <v>1</v>
      </c>
      <c r="J11" s="238">
        <f>calculRISKS!V10</f>
        <v>1</v>
      </c>
      <c r="K11" s="263">
        <f t="shared" si="0"/>
        <v>0.72499999999999998</v>
      </c>
      <c r="N11" s="28"/>
      <c r="Q11" s="240" t="s">
        <v>42</v>
      </c>
      <c r="R11" s="244">
        <f t="shared" si="1"/>
        <v>4</v>
      </c>
      <c r="S11">
        <v>1.2</v>
      </c>
      <c r="T11" s="28">
        <f t="shared" si="2"/>
        <v>3</v>
      </c>
      <c r="U11" s="28">
        <v>2.2000000000000002</v>
      </c>
      <c r="V11" s="28">
        <v>3</v>
      </c>
      <c r="W11" s="20" t="s">
        <v>759</v>
      </c>
      <c r="X11" s="20" t="s">
        <v>761</v>
      </c>
      <c r="Y11" s="20" t="s">
        <v>760</v>
      </c>
    </row>
    <row r="12" spans="7:25" ht="21">
      <c r="G12" s="240" t="s">
        <v>249</v>
      </c>
      <c r="H12" s="263">
        <f>calculRISKS!R11</f>
        <v>2.5375000000000002E-2</v>
      </c>
      <c r="I12" s="238">
        <f>calculRISKS!S11</f>
        <v>2.7405000000000002E-2</v>
      </c>
      <c r="J12" s="238">
        <f>calculRISKS!V11</f>
        <v>3.1165714285714321E-2</v>
      </c>
      <c r="K12" s="263">
        <f t="shared" si="0"/>
        <v>3.2532142857143176E-3</v>
      </c>
      <c r="N12" s="28"/>
      <c r="Q12" s="240" t="s">
        <v>249</v>
      </c>
      <c r="R12" s="244">
        <f t="shared" si="1"/>
        <v>1.08</v>
      </c>
      <c r="S12">
        <v>1.2</v>
      </c>
      <c r="T12" s="28">
        <f t="shared" si="2"/>
        <v>1.08</v>
      </c>
      <c r="U12" s="28">
        <v>2.2000000000000002</v>
      </c>
      <c r="V12" s="28">
        <v>3</v>
      </c>
      <c r="W12" s="20" t="s">
        <v>759</v>
      </c>
      <c r="X12" s="20" t="s">
        <v>761</v>
      </c>
      <c r="Y12" s="20" t="s">
        <v>760</v>
      </c>
    </row>
    <row r="13" spans="7:25" ht="21">
      <c r="G13" s="240" t="s">
        <v>44</v>
      </c>
      <c r="H13" s="263">
        <f>calculRISKS!R12</f>
        <v>0.17187500000000003</v>
      </c>
      <c r="I13" s="238">
        <f>calculRISKS!S12</f>
        <v>0.34375000000000006</v>
      </c>
      <c r="J13" s="238">
        <f>calculRISKS!V12</f>
        <v>0.36857142857142866</v>
      </c>
      <c r="K13" s="263">
        <f t="shared" si="0"/>
        <v>0.17950892857142864</v>
      </c>
      <c r="N13" s="28"/>
      <c r="Q13" s="240" t="s">
        <v>44</v>
      </c>
      <c r="R13" s="244">
        <f t="shared" si="1"/>
        <v>2</v>
      </c>
      <c r="S13">
        <v>1.2</v>
      </c>
      <c r="T13" s="28">
        <f t="shared" si="2"/>
        <v>2</v>
      </c>
      <c r="U13" s="28">
        <v>2.2000000000000002</v>
      </c>
      <c r="V13" s="28">
        <v>3</v>
      </c>
      <c r="W13" s="20" t="s">
        <v>759</v>
      </c>
      <c r="X13" s="20" t="s">
        <v>761</v>
      </c>
      <c r="Y13" s="20" t="s">
        <v>760</v>
      </c>
    </row>
    <row r="14" spans="7:25" ht="21">
      <c r="G14" s="240" t="s">
        <v>45</v>
      </c>
      <c r="H14" s="263">
        <f>calculRISKS!R13</f>
        <v>0.02</v>
      </c>
      <c r="I14" s="238">
        <f>calculRISKS!S13</f>
        <v>1.8000000000000002E-2</v>
      </c>
      <c r="J14" s="238">
        <f>calculRISKS!V13</f>
        <v>1.8000000000000002E-2</v>
      </c>
      <c r="K14" s="263">
        <f t="shared" si="0"/>
        <v>-3.9999999999999966E-3</v>
      </c>
      <c r="N14" s="28"/>
      <c r="Q14" s="240" t="s">
        <v>45</v>
      </c>
      <c r="R14" s="244">
        <f t="shared" si="1"/>
        <v>0.90000000000000013</v>
      </c>
      <c r="S14">
        <v>1.2</v>
      </c>
      <c r="T14" s="28">
        <f t="shared" si="2"/>
        <v>0.90000000000000013</v>
      </c>
      <c r="U14" s="28">
        <v>2.2000000000000002</v>
      </c>
      <c r="V14" s="28">
        <v>3</v>
      </c>
      <c r="W14" s="20" t="s">
        <v>759</v>
      </c>
      <c r="X14" s="20" t="s">
        <v>761</v>
      </c>
      <c r="Y14" s="20" t="s">
        <v>760</v>
      </c>
    </row>
    <row r="15" spans="7:25" ht="21">
      <c r="G15" s="240" t="s">
        <v>46</v>
      </c>
      <c r="H15" s="263">
        <f>calculRISKS!R14</f>
        <v>0.04</v>
      </c>
      <c r="I15" s="238">
        <f>calculRISKS!S14</f>
        <v>4.3200000000000002E-2</v>
      </c>
      <c r="J15" s="238">
        <f>calculRISKS!V14</f>
        <v>4.3200000000000002E-2</v>
      </c>
      <c r="K15" s="263">
        <f t="shared" si="0"/>
        <v>-7.9999999999999516E-4</v>
      </c>
      <c r="N15" s="28"/>
      <c r="Q15" s="240" t="s">
        <v>46</v>
      </c>
      <c r="R15" s="244">
        <f t="shared" si="1"/>
        <v>1.08</v>
      </c>
      <c r="S15">
        <v>1.2</v>
      </c>
      <c r="T15" s="28">
        <f t="shared" si="2"/>
        <v>1.08</v>
      </c>
      <c r="U15" s="28">
        <v>2.2000000000000002</v>
      </c>
      <c r="V15" s="28">
        <v>3</v>
      </c>
      <c r="W15" s="20" t="s">
        <v>759</v>
      </c>
      <c r="X15" s="20" t="s">
        <v>761</v>
      </c>
      <c r="Y15" s="20" t="s">
        <v>760</v>
      </c>
    </row>
    <row r="16" spans="7:25" ht="21">
      <c r="G16" s="240" t="s">
        <v>47</v>
      </c>
      <c r="H16" s="263">
        <f>calculRISKS!R15</f>
        <v>6.446656303873774E-2</v>
      </c>
      <c r="I16" s="238">
        <f>calculRISKS!S15</f>
        <v>4.8720523333333321E-2</v>
      </c>
      <c r="J16" s="238">
        <f>calculRISKS!V15</f>
        <v>5.6255523333333335E-2</v>
      </c>
      <c r="K16" s="263">
        <f t="shared" si="0"/>
        <v>-1.4657696009278173E-2</v>
      </c>
      <c r="N16" s="28"/>
      <c r="Q16" s="240" t="s">
        <v>47</v>
      </c>
      <c r="R16" s="244">
        <f t="shared" si="1"/>
        <v>0.75574873293706268</v>
      </c>
      <c r="S16">
        <v>1.2</v>
      </c>
      <c r="T16" s="28">
        <f t="shared" si="2"/>
        <v>0.75574873293706268</v>
      </c>
      <c r="U16" s="28">
        <v>2.2000000000000002</v>
      </c>
      <c r="V16" s="28">
        <v>3</v>
      </c>
      <c r="W16" s="20" t="s">
        <v>759</v>
      </c>
      <c r="X16" s="20" t="s">
        <v>761</v>
      </c>
      <c r="Y16" s="20" t="s">
        <v>760</v>
      </c>
    </row>
    <row r="17" spans="3:25" ht="21">
      <c r="G17" s="240" t="s">
        <v>48</v>
      </c>
      <c r="H17" s="263">
        <f>calculRISKS!R16</f>
        <v>0.12590909090909078</v>
      </c>
      <c r="I17" s="238">
        <f>calculRISKS!S16</f>
        <v>0.14616156999999996</v>
      </c>
      <c r="J17" s="238">
        <f>calculRISKS!V16</f>
        <v>0.16876657</v>
      </c>
      <c r="K17" s="263">
        <f t="shared" si="0"/>
        <v>3.0266570000000159E-2</v>
      </c>
      <c r="N17" s="28"/>
      <c r="Q17" s="240" t="s">
        <v>48</v>
      </c>
      <c r="R17" s="244">
        <f t="shared" si="1"/>
        <v>1.1608500144404341</v>
      </c>
      <c r="S17">
        <v>1.2</v>
      </c>
      <c r="T17" s="28">
        <f t="shared" si="2"/>
        <v>1.1608500144404341</v>
      </c>
      <c r="U17" s="28">
        <v>2.2000000000000002</v>
      </c>
      <c r="V17" s="28">
        <v>3</v>
      </c>
      <c r="W17" s="20" t="s">
        <v>759</v>
      </c>
      <c r="X17" s="20" t="s">
        <v>761</v>
      </c>
      <c r="Y17" s="20" t="s">
        <v>760</v>
      </c>
    </row>
    <row r="18" spans="3:25" ht="21">
      <c r="G18" s="240" t="s">
        <v>49</v>
      </c>
      <c r="H18" s="263">
        <f>calculRISKS!R17</f>
        <v>6.872061174173133E-3</v>
      </c>
      <c r="I18" s="238">
        <f>calculRISKS!S17</f>
        <v>6.8720611741731333E-5</v>
      </c>
      <c r="J18" s="238">
        <f>calculRISKS!V17</f>
        <v>1.3226190598443794E-4</v>
      </c>
      <c r="K18" s="263">
        <f t="shared" si="0"/>
        <v>-7.4270053856060076E-3</v>
      </c>
      <c r="N18" s="28"/>
      <c r="Q18" s="240" t="s">
        <v>49</v>
      </c>
      <c r="R18" s="244">
        <f t="shared" si="1"/>
        <v>0.01</v>
      </c>
      <c r="S18">
        <v>1.2</v>
      </c>
      <c r="T18" s="28">
        <f t="shared" si="2"/>
        <v>0.01</v>
      </c>
      <c r="U18" s="28">
        <v>2.2000000000000002</v>
      </c>
      <c r="V18" s="28">
        <v>3</v>
      </c>
      <c r="W18" s="20" t="s">
        <v>759</v>
      </c>
      <c r="X18" s="20" t="s">
        <v>761</v>
      </c>
      <c r="Y18" s="20" t="s">
        <v>760</v>
      </c>
    </row>
    <row r="19" spans="3:25" ht="21">
      <c r="G19" s="240" t="s">
        <v>50</v>
      </c>
      <c r="H19" s="263">
        <f>calculRISKS!R18</f>
        <v>1.689125853163877E-2</v>
      </c>
      <c r="I19" s="238">
        <f>calculRISKS!S18</f>
        <v>8.4456292658193855E-4</v>
      </c>
      <c r="J19" s="238">
        <f>calculRISKS!V18</f>
        <v>1.0553472312298117E-3</v>
      </c>
      <c r="K19" s="263">
        <f t="shared" si="0"/>
        <v>-1.7525037153572835E-2</v>
      </c>
      <c r="N19" s="28"/>
      <c r="Q19" s="240" t="s">
        <v>50</v>
      </c>
      <c r="R19" s="244">
        <f t="shared" si="1"/>
        <v>0.05</v>
      </c>
      <c r="S19">
        <v>1.2</v>
      </c>
      <c r="T19" s="28">
        <f t="shared" si="2"/>
        <v>0.05</v>
      </c>
      <c r="U19" s="28">
        <v>2.2000000000000002</v>
      </c>
      <c r="V19" s="28">
        <v>3</v>
      </c>
      <c r="W19" s="20" t="s">
        <v>759</v>
      </c>
      <c r="X19" s="20" t="s">
        <v>761</v>
      </c>
      <c r="Y19" s="20" t="s">
        <v>760</v>
      </c>
    </row>
    <row r="20" spans="3:25" ht="21">
      <c r="G20" s="240" t="s">
        <v>51</v>
      </c>
      <c r="H20" s="263">
        <f>calculRISKS!R19</f>
        <v>0.06</v>
      </c>
      <c r="I20" s="238">
        <f>calculRISKS!S19</f>
        <v>5.3999999999999999E-2</v>
      </c>
      <c r="J20" s="238">
        <f>calculRISKS!V19</f>
        <v>5.3999999999999999E-2</v>
      </c>
      <c r="K20" s="263">
        <f t="shared" si="0"/>
        <v>-1.2000000000000004E-2</v>
      </c>
      <c r="N20" s="28"/>
      <c r="Q20" s="240" t="s">
        <v>51</v>
      </c>
      <c r="R20" s="244">
        <f t="shared" si="1"/>
        <v>0.9</v>
      </c>
      <c r="S20">
        <v>1.2</v>
      </c>
      <c r="T20" s="28">
        <f t="shared" si="2"/>
        <v>0.9</v>
      </c>
      <c r="U20" s="28">
        <v>2.2000000000000002</v>
      </c>
      <c r="V20" s="28">
        <v>3</v>
      </c>
      <c r="W20" s="20" t="s">
        <v>759</v>
      </c>
      <c r="X20" s="20" t="s">
        <v>761</v>
      </c>
      <c r="Y20" s="20" t="s">
        <v>760</v>
      </c>
    </row>
    <row r="21" spans="3:25" ht="21">
      <c r="G21" s="240" t="s">
        <v>52</v>
      </c>
      <c r="H21" s="263">
        <f>calculRISKS!R20</f>
        <v>2.5314449514691195E-3</v>
      </c>
      <c r="I21" s="238">
        <f>calculRISKS!S20</f>
        <v>2.2783004563222075E-3</v>
      </c>
      <c r="J21" s="238">
        <f>calculRISKS!V20</f>
        <v>2.7037635371791112E-3</v>
      </c>
      <c r="K21" s="263">
        <f t="shared" si="0"/>
        <v>-8.0825909436920383E-5</v>
      </c>
      <c r="N21" s="28"/>
      <c r="Q21" s="240" t="s">
        <v>52</v>
      </c>
      <c r="R21" s="244">
        <f t="shared" si="1"/>
        <v>0.89999999999999991</v>
      </c>
      <c r="S21">
        <v>1.2</v>
      </c>
      <c r="T21" s="28">
        <f t="shared" si="2"/>
        <v>0.89999999999999991</v>
      </c>
      <c r="U21" s="28">
        <v>2.2000000000000002</v>
      </c>
      <c r="V21" s="28">
        <v>3</v>
      </c>
      <c r="W21" s="20" t="s">
        <v>759</v>
      </c>
      <c r="X21" s="20" t="s">
        <v>761</v>
      </c>
      <c r="Y21" s="20" t="s">
        <v>760</v>
      </c>
    </row>
    <row r="22" spans="3:25" ht="21">
      <c r="G22" s="240" t="s">
        <v>96</v>
      </c>
      <c r="H22" s="263">
        <f>calculRISKS!R21</f>
        <v>4.151502164502177E-4</v>
      </c>
      <c r="I22" s="238">
        <f>calculRISKS!S21</f>
        <v>4.4836223376623516E-4</v>
      </c>
      <c r="J22" s="238">
        <f>calculRISKS!V21</f>
        <v>6.0154316883117035E-4</v>
      </c>
      <c r="K22" s="263">
        <f t="shared" si="0"/>
        <v>1.4487793073593089E-4</v>
      </c>
      <c r="N22" s="28"/>
      <c r="Q22" s="240" t="s">
        <v>2325</v>
      </c>
      <c r="R22" s="244">
        <f t="shared" si="1"/>
        <v>1.08</v>
      </c>
      <c r="S22">
        <v>1.2</v>
      </c>
      <c r="T22" s="28">
        <f t="shared" si="2"/>
        <v>1.08</v>
      </c>
      <c r="U22" s="28">
        <v>2.2000000000000002</v>
      </c>
      <c r="V22" s="28">
        <v>3</v>
      </c>
      <c r="W22" s="20" t="s">
        <v>759</v>
      </c>
      <c r="X22" s="20" t="s">
        <v>761</v>
      </c>
      <c r="Y22" s="20" t="s">
        <v>760</v>
      </c>
    </row>
    <row r="23" spans="3:25" ht="21">
      <c r="G23" s="241" t="s">
        <v>596</v>
      </c>
      <c r="H23" s="263">
        <f>calculRISKS!R22</f>
        <v>5.3461412856047469E-3</v>
      </c>
      <c r="I23" s="238">
        <f>calculRISKS!S22</f>
        <v>4.8115271570442719E-4</v>
      </c>
      <c r="J23" s="238">
        <f>calculRISKS!V22</f>
        <v>7.9034947183198264E-4</v>
      </c>
      <c r="K23" s="263">
        <f t="shared" si="0"/>
        <v>-5.0904059423332393E-3</v>
      </c>
      <c r="N23" s="28"/>
      <c r="Q23" s="241" t="s">
        <v>596</v>
      </c>
      <c r="R23" s="244">
        <f t="shared" si="1"/>
        <v>0.09</v>
      </c>
      <c r="S23">
        <v>1.2</v>
      </c>
      <c r="T23" s="28">
        <f t="shared" si="2"/>
        <v>0.09</v>
      </c>
      <c r="U23" s="28">
        <v>2.2000000000000002</v>
      </c>
      <c r="V23" s="28">
        <v>3</v>
      </c>
      <c r="W23" s="20" t="s">
        <v>759</v>
      </c>
      <c r="X23" s="20" t="s">
        <v>761</v>
      </c>
      <c r="Y23" s="20" t="s">
        <v>760</v>
      </c>
    </row>
    <row r="25" spans="3:25">
      <c r="C25" s="20"/>
      <c r="D25" s="840"/>
    </row>
    <row r="26" spans="3:25">
      <c r="D26" s="840"/>
    </row>
    <row r="27" spans="3:25">
      <c r="D27" s="840" t="str">
        <f>RRImmédiat!B1</f>
        <v>Risques</v>
      </c>
      <c r="E27" t="str">
        <f>RRImmédiat!C1</f>
        <v>Score Clinique</v>
      </c>
      <c r="F27" s="1018" t="str">
        <f>RRImmédiat!G1</f>
        <v>Score Mixte</v>
      </c>
    </row>
    <row r="28" spans="3:25">
      <c r="D28" s="840" t="str">
        <f>RRImmédiat!B2</f>
        <v>Thrombose vasculaire</v>
      </c>
      <c r="E28">
        <f>RRImmédiat!C2</f>
        <v>1</v>
      </c>
      <c r="F28" s="1018">
        <f>RRImmédiat!G2</f>
        <v>0.8</v>
      </c>
    </row>
    <row r="29" spans="3:25">
      <c r="D29" s="840" t="str">
        <f>RRImmédiat!B3</f>
        <v>Anévrysme de l'aorte abdominale</v>
      </c>
      <c r="E29">
        <f>RRImmédiat!C3</f>
        <v>0.8</v>
      </c>
      <c r="F29" s="1018">
        <f>RRImmédiat!G3</f>
        <v>0.8</v>
      </c>
    </row>
    <row r="30" spans="3:25">
      <c r="D30" s="840" t="str">
        <f>RRImmédiat!B4</f>
        <v>Artériopathie des membres inférieurs</v>
      </c>
      <c r="E30">
        <f>RRImmédiat!C4</f>
        <v>1.2</v>
      </c>
      <c r="F30" s="1018">
        <f>RRImmédiat!G4</f>
        <v>1.2</v>
      </c>
    </row>
    <row r="31" spans="3:25">
      <c r="D31" s="840" t="str">
        <f>RRImmédiat!B5</f>
        <v>Cardiopathie ischémique</v>
      </c>
      <c r="E31">
        <f>RRImmédiat!C5</f>
        <v>1.2</v>
      </c>
      <c r="F31" s="1018">
        <f>RRImmédiat!G5</f>
        <v>0.96</v>
      </c>
    </row>
    <row r="32" spans="3:25">
      <c r="D32" s="840" t="str">
        <f>RRImmédiat!B6</f>
        <v>Hypertension artérielle</v>
      </c>
      <c r="E32">
        <f>RRImmédiat!C6</f>
        <v>1200</v>
      </c>
      <c r="F32" s="1018">
        <f>RRImmédiat!G6</f>
        <v>1200</v>
      </c>
    </row>
    <row r="33" spans="4:6">
      <c r="D33" s="840" t="str">
        <f>RRImmédiat!B7</f>
        <v>Arythmie cardiaque et fibrillation auriculaire</v>
      </c>
      <c r="E33">
        <f>RRImmédiat!C7</f>
        <v>0.9</v>
      </c>
      <c r="F33" s="1018">
        <f>RRImmédiat!G7</f>
        <v>0.9</v>
      </c>
    </row>
    <row r="34" spans="4:6">
      <c r="D34" s="840" t="str">
        <f>RRImmédiat!B8</f>
        <v>Cancer du côlon et du rectum</v>
      </c>
      <c r="E34">
        <f>RRImmédiat!C8</f>
        <v>1.2</v>
      </c>
      <c r="F34" s="1018">
        <f>RRImmédiat!G8</f>
        <v>1.2</v>
      </c>
    </row>
    <row r="35" spans="4:6">
      <c r="D35" s="840" t="str">
        <f>RRImmédiat!B9</f>
        <v>Cancer de l’estomac</v>
      </c>
      <c r="E35">
        <f>RRImmédiat!C9</f>
        <v>0.9</v>
      </c>
      <c r="F35" s="1018">
        <f>RRImmédiat!G9</f>
        <v>0.9</v>
      </c>
    </row>
    <row r="36" spans="4:6">
      <c r="D36" s="840" t="str">
        <f>RRImmédiat!B10</f>
        <v>Cancer du foie</v>
      </c>
      <c r="E36">
        <f>RRImmédiat!C10</f>
        <v>0.9</v>
      </c>
      <c r="F36" s="1018">
        <f>RRImmédiat!G10</f>
        <v>0.9</v>
      </c>
    </row>
    <row r="37" spans="4:6">
      <c r="D37" s="840" t="str">
        <f>RRImmédiat!B11</f>
        <v>Cancer du pancréas</v>
      </c>
      <c r="E37">
        <f>RRImmédiat!C11</f>
        <v>1.1000000000000001</v>
      </c>
      <c r="F37" s="1018">
        <f>RRImmédiat!G11</f>
        <v>1.1000000000000001</v>
      </c>
    </row>
    <row r="38" spans="4:6">
      <c r="D38" s="840" t="str">
        <f>RRImmédiat!B12</f>
        <v>Stéatose hépatique et NASH (stéato-hépatite non alcoolique)</v>
      </c>
      <c r="E38">
        <f>RRImmédiat!C12</f>
        <v>1.2</v>
      </c>
      <c r="F38" s="1018">
        <f>RRImmédiat!G12</f>
        <v>0.96</v>
      </c>
    </row>
    <row r="39" spans="4:6">
      <c r="D39" s="840" t="str">
        <f>RRImmédiat!B13</f>
        <v>Cirrhose hépatique</v>
      </c>
      <c r="E39">
        <f>RRImmédiat!C13</f>
        <v>1.2</v>
      </c>
      <c r="F39" s="1018">
        <f>RRImmédiat!G13</f>
        <v>0.96</v>
      </c>
    </row>
    <row r="40" spans="4:6">
      <c r="D40" s="840" t="str">
        <f>RRImmédiat!B14</f>
        <v>Lithiase (calculs) biliaire</v>
      </c>
      <c r="E40">
        <f>RRImmédiat!C14</f>
        <v>1200</v>
      </c>
      <c r="F40" s="1018">
        <f>RRImmédiat!G14</f>
        <v>1200</v>
      </c>
    </row>
    <row r="41" spans="4:6">
      <c r="D41" s="840" t="str">
        <f>RRImmédiat!B15</f>
        <v>Ulcère gastroduodénal</v>
      </c>
      <c r="E41">
        <f>RRImmédiat!C15</f>
        <v>0.8</v>
      </c>
      <c r="F41" s="1018">
        <f>RRImmédiat!G15</f>
        <v>0.8</v>
      </c>
    </row>
    <row r="42" spans="4:6">
      <c r="D42" s="840" t="str">
        <f>RRImmédiat!B16</f>
        <v>Reflux gastro-œsophagien (RGO)</v>
      </c>
      <c r="E42">
        <f>RRImmédiat!C16</f>
        <v>1.2</v>
      </c>
      <c r="F42" s="1018">
        <f>RRImmédiat!G16</f>
        <v>1.2</v>
      </c>
    </row>
    <row r="43" spans="4:6">
      <c r="D43" s="840" t="str">
        <f>RRImmédiat!B17</f>
        <v>Colopathie fonctionnelle</v>
      </c>
      <c r="E43">
        <f>RRImmédiat!C17</f>
        <v>0.8</v>
      </c>
      <c r="F43" s="1018">
        <f>RRImmédiat!G17</f>
        <v>0.8</v>
      </c>
    </row>
    <row r="44" spans="4:6">
      <c r="D44" s="840" t="str">
        <f>RRImmédiat!B18</f>
        <v>Intolérances alimentaires (gluten et lactose)</v>
      </c>
      <c r="E44">
        <f>RRImmédiat!C18</f>
        <v>1</v>
      </c>
      <c r="F44" s="1018">
        <f>RRImmédiat!G18</f>
        <v>1</v>
      </c>
    </row>
    <row r="45" spans="4:6">
      <c r="D45" s="840" t="str">
        <f>RRImmédiat!B19</f>
        <v>Dyslipidémie</v>
      </c>
      <c r="E45">
        <f>RRImmédiat!C19</f>
        <v>1200</v>
      </c>
      <c r="F45" s="1018">
        <f>RRImmédiat!G19</f>
        <v>1440</v>
      </c>
    </row>
    <row r="46" spans="4:6">
      <c r="D46" s="840" t="str">
        <f>RRImmédiat!B20</f>
        <v>Diabète</v>
      </c>
      <c r="E46">
        <f>RRImmédiat!C20</f>
        <v>1.2</v>
      </c>
      <c r="F46" s="1018">
        <f>RRImmédiat!G20</f>
        <v>1.2</v>
      </c>
    </row>
    <row r="47" spans="4:6">
      <c r="D47" s="840" t="str">
        <f>RRImmédiat!B21</f>
        <v>Syndrome métabolique</v>
      </c>
      <c r="E47">
        <f>RRImmédiat!C21</f>
        <v>1.2</v>
      </c>
      <c r="F47" s="1018">
        <f>RRImmédiat!G21</f>
        <v>2.4</v>
      </c>
    </row>
    <row r="48" spans="4:6">
      <c r="D48" s="840" t="str">
        <f>RRImmédiat!B22</f>
        <v>Dysfonction thyroïdienne</v>
      </c>
      <c r="E48">
        <f>RRImmédiat!C22</f>
        <v>1.1000000000000001</v>
      </c>
      <c r="F48" s="1018">
        <f>RRImmédiat!G22</f>
        <v>1.1000000000000001</v>
      </c>
    </row>
    <row r="49" spans="4:6">
      <c r="D49" s="840" t="str">
        <f>RRImmédiat!B23</f>
        <v>Hyperuricémie</v>
      </c>
      <c r="E49">
        <f>RRImmédiat!C23</f>
        <v>0.98</v>
      </c>
      <c r="F49" s="1018">
        <f>RRImmédiat!G23</f>
        <v>0.98</v>
      </c>
    </row>
    <row r="50" spans="4:6">
      <c r="D50" s="840" t="str">
        <f>RRImmédiat!B24</f>
        <v>Anémie</v>
      </c>
      <c r="E50">
        <f>RRImmédiat!C24</f>
        <v>0.98</v>
      </c>
      <c r="F50" s="1018">
        <f>RRImmédiat!G24</f>
        <v>0.98</v>
      </c>
    </row>
    <row r="51" spans="4:6">
      <c r="D51" s="840" t="str">
        <f>RRImmédiat!B25</f>
        <v>Polyglobulie</v>
      </c>
      <c r="E51">
        <f>RRImmédiat!C25</f>
        <v>0.98</v>
      </c>
      <c r="F51" s="1018">
        <f>RRImmédiat!G25</f>
        <v>0.98</v>
      </c>
    </row>
    <row r="52" spans="4:6">
      <c r="D52" s="840" t="str">
        <f>RRImmédiat!B26</f>
        <v>Thrombocytose</v>
      </c>
      <c r="E52">
        <f>RRImmédiat!C26</f>
        <v>0.98</v>
      </c>
      <c r="F52" s="1018">
        <f>RRImmédiat!G26</f>
        <v>0</v>
      </c>
    </row>
    <row r="53" spans="4:6">
      <c r="D53" s="840" t="str">
        <f>RRImmédiat!B27</f>
        <v>Thrombopénie</v>
      </c>
      <c r="E53">
        <f>RRImmédiat!C27</f>
        <v>0.98</v>
      </c>
      <c r="F53" s="1018">
        <f>RRImmédiat!G27</f>
        <v>0</v>
      </c>
    </row>
    <row r="54" spans="4:6">
      <c r="D54" s="840" t="str">
        <f>RRImmédiat!B28</f>
        <v xml:space="preserve">Leucopénie </v>
      </c>
      <c r="E54">
        <f>RRImmédiat!C28</f>
        <v>0.98</v>
      </c>
      <c r="F54" s="1018">
        <f>RRImmédiat!G28</f>
        <v>0.98</v>
      </c>
    </row>
    <row r="55" spans="4:6">
      <c r="D55" s="840" t="str">
        <f>RRImmédiat!B29</f>
        <v>Leucocytose</v>
      </c>
      <c r="E55">
        <f>RRImmédiat!C29</f>
        <v>0.98</v>
      </c>
      <c r="F55" s="1018">
        <f>RRImmédiat!G29</f>
        <v>0.98</v>
      </c>
    </row>
    <row r="56" spans="4:6">
      <c r="D56" s="840" t="str">
        <f>RRImmédiat!B30</f>
        <v>Lymphopénie</v>
      </c>
      <c r="E56">
        <f>RRImmédiat!C30</f>
        <v>0.98</v>
      </c>
      <c r="F56" s="1018">
        <f>RRImmédiat!G30</f>
        <v>0.98</v>
      </c>
    </row>
    <row r="57" spans="4:6">
      <c r="D57" s="840" t="str">
        <f>RRImmédiat!B31</f>
        <v>HyperÉosinophilie</v>
      </c>
      <c r="E57">
        <f>RRImmédiat!C31</f>
        <v>0.98</v>
      </c>
      <c r="F57" s="1018">
        <f>RRImmédiat!G31</f>
        <v>0.98</v>
      </c>
    </row>
    <row r="58" spans="4:6">
      <c r="D58" s="840" t="str">
        <f>RRImmédiat!B32</f>
        <v>Monocytose</v>
      </c>
      <c r="E58">
        <f>RRImmédiat!C32</f>
        <v>0.98</v>
      </c>
      <c r="F58" s="1018">
        <f>RRImmédiat!G32</f>
        <v>0</v>
      </c>
    </row>
    <row r="59" spans="4:6">
      <c r="D59" s="840" t="str">
        <f>RRImmédiat!B33</f>
        <v>Risque hémorragique</v>
      </c>
      <c r="E59">
        <f>RRImmédiat!C33</f>
        <v>1.2</v>
      </c>
      <c r="F59" s="1018">
        <f>RRImmédiat!G33</f>
        <v>0.96</v>
      </c>
    </row>
    <row r="60" spans="4:6">
      <c r="D60" s="840" t="str">
        <f>RRImmédiat!B34</f>
        <v>Mélanome et cancers cutanés</v>
      </c>
      <c r="E60">
        <f>RRImmédiat!C34</f>
        <v>0.9</v>
      </c>
      <c r="F60" s="1018">
        <f>RRImmédiat!G34</f>
        <v>0.9</v>
      </c>
    </row>
    <row r="61" spans="4:6">
      <c r="D61" s="840" t="str">
        <f>RRImmédiat!B35</f>
        <v>Ostéopénie</v>
      </c>
      <c r="E61">
        <f>RRImmédiat!C35</f>
        <v>1.2</v>
      </c>
      <c r="F61" s="1018">
        <f>RRImmédiat!G35</f>
        <v>1.44</v>
      </c>
    </row>
    <row r="62" spans="4:6">
      <c r="D62" s="840" t="str">
        <f>RRImmédiat!B36</f>
        <v>Sarcopénie</v>
      </c>
      <c r="E62">
        <f>RRImmédiat!C36</f>
        <v>1.2</v>
      </c>
      <c r="F62" s="1018">
        <f>RRImmédiat!G36</f>
        <v>1.2</v>
      </c>
    </row>
    <row r="63" spans="4:6">
      <c r="D63" s="840" t="str">
        <f>RRImmédiat!B37</f>
        <v>Arthrose dégénérative</v>
      </c>
      <c r="E63">
        <f>RRImmédiat!C37</f>
        <v>1.2</v>
      </c>
      <c r="F63" s="1018">
        <f>RRImmédiat!G37</f>
        <v>1.2</v>
      </c>
    </row>
    <row r="64" spans="4:6">
      <c r="D64" s="840" t="str">
        <f>RRImmédiat!B38</f>
        <v>Rhumatisme inflammatoire et goutte</v>
      </c>
      <c r="E64">
        <f>RRImmédiat!C38</f>
        <v>0.9</v>
      </c>
      <c r="F64" s="1018">
        <f>RRImmédiat!G38</f>
        <v>0.72000000000000008</v>
      </c>
    </row>
    <row r="65" spans="4:6">
      <c r="D65" s="840" t="str">
        <f>RRImmédiat!B39</f>
        <v>Accident vasculaire cérébral (AVC)</v>
      </c>
      <c r="E65">
        <f>RRImmédiat!C39</f>
        <v>1.7999999999999998</v>
      </c>
      <c r="F65" s="1018">
        <f>RRImmédiat!G39</f>
        <v>1.7999999999999998</v>
      </c>
    </row>
    <row r="66" spans="4:6">
      <c r="D66" s="840" t="str">
        <f>RRImmédiat!B40</f>
        <v>Dépression</v>
      </c>
      <c r="E66">
        <f>RRImmédiat!C40</f>
        <v>2</v>
      </c>
      <c r="F66" s="1018">
        <f>RRImmédiat!G40</f>
        <v>2</v>
      </c>
    </row>
    <row r="67" spans="4:6">
      <c r="D67" s="840" t="str">
        <f>RRImmédiat!B41</f>
        <v>Apnée du sommeil</v>
      </c>
      <c r="E67">
        <f>RRImmédiat!C41</f>
        <v>1.2</v>
      </c>
      <c r="F67" s="1018">
        <f>RRImmédiat!G41</f>
        <v>1.2</v>
      </c>
    </row>
    <row r="68" spans="4:6">
      <c r="D68" s="840" t="str">
        <f>RRImmédiat!B42</f>
        <v>Burn-out</v>
      </c>
      <c r="E68">
        <f>RRImmédiat!C42</f>
        <v>2</v>
      </c>
      <c r="F68" s="1018">
        <f>RRImmédiat!G42</f>
        <v>2</v>
      </c>
    </row>
    <row r="69" spans="4:6">
      <c r="D69" s="840" t="str">
        <f>RRImmédiat!B43</f>
        <v>Syndrome des jambes sans repos</v>
      </c>
      <c r="E69">
        <f>RRImmédiat!C43</f>
        <v>0.8</v>
      </c>
      <c r="F69" s="1018">
        <f>RRImmédiat!G43</f>
        <v>0.8</v>
      </c>
    </row>
    <row r="70" spans="4:6">
      <c r="D70" s="840" t="str">
        <f>RRImmédiat!B44</f>
        <v>Cancer du poumon et des bronches</v>
      </c>
      <c r="E70">
        <f>RRImmédiat!C44</f>
        <v>1.2</v>
      </c>
      <c r="F70" s="1018">
        <f>RRImmédiat!G44</f>
        <v>1.2</v>
      </c>
    </row>
    <row r="71" spans="4:6">
      <c r="D71" s="840" t="str">
        <f>RRImmédiat!B45</f>
        <v>Cancer de la langue et pharyngo-larynx</v>
      </c>
      <c r="E71">
        <f>RRImmédiat!C45</f>
        <v>0.52500000000000002</v>
      </c>
      <c r="F71" s="1018">
        <f>RRImmédiat!G45</f>
        <v>0.52500000000000002</v>
      </c>
    </row>
    <row r="72" spans="4:6">
      <c r="D72" s="840" t="str">
        <f>RRImmédiat!B46</f>
        <v>Asthme</v>
      </c>
      <c r="E72">
        <f>RRImmédiat!C46</f>
        <v>0.9</v>
      </c>
      <c r="F72" s="1018">
        <f>RRImmédiat!G46</f>
        <v>0.9</v>
      </c>
    </row>
    <row r="73" spans="4:6">
      <c r="D73" s="840" t="str">
        <f>RRImmédiat!B47</f>
        <v>BPCO (Bronchopneumopathie chronique obstructive)</v>
      </c>
      <c r="E73">
        <f>RRImmédiat!C47</f>
        <v>1.2</v>
      </c>
      <c r="F73" s="1018">
        <f>RRImmédiat!G47</f>
        <v>1.2</v>
      </c>
    </row>
    <row r="74" spans="4:6">
      <c r="D74" s="840" t="str">
        <f>RRImmédiat!B48</f>
        <v>Pollinose saisonnière (rhume des foins)</v>
      </c>
      <c r="E74">
        <f>RRImmédiat!C48</f>
        <v>0.9</v>
      </c>
      <c r="F74" s="1018">
        <f>RRImmédiat!G48</f>
        <v>0.9</v>
      </c>
    </row>
    <row r="75" spans="4:6">
      <c r="D75" s="840" t="str">
        <f>RRImmédiat!B49</f>
        <v>Intolérance ou allergie</v>
      </c>
      <c r="E75">
        <f>RRImmédiat!C49</f>
        <v>0.9</v>
      </c>
      <c r="F75" s="1018">
        <f>RRImmédiat!G49</f>
        <v>0.9</v>
      </c>
    </row>
    <row r="76" spans="4:6">
      <c r="D76" s="840" t="str">
        <f>RRImmédiat!B50</f>
        <v>Cancers du sein</v>
      </c>
      <c r="E76">
        <f>RRImmédiat!C50</f>
        <v>1.2E-2</v>
      </c>
      <c r="F76" s="1018">
        <f>RRImmédiat!G50</f>
        <v>1.2E-2</v>
      </c>
    </row>
    <row r="77" spans="4:6">
      <c r="D77" s="840" t="str">
        <f>RRImmédiat!B51</f>
        <v>Cancer de l’ovaire</v>
      </c>
      <c r="E77">
        <f>RRImmédiat!C51</f>
        <v>0</v>
      </c>
      <c r="F77" s="1018">
        <f>RRImmédiat!G51</f>
        <v>0</v>
      </c>
    </row>
    <row r="78" spans="4:6">
      <c r="D78" s="840" t="str">
        <f>RRImmédiat!B52</f>
        <v>Cancer de l’endomètre (utérus)</v>
      </c>
      <c r="E78">
        <f>RRImmédiat!C52</f>
        <v>0</v>
      </c>
      <c r="F78" s="1018">
        <f>RRImmédiat!G52</f>
        <v>0</v>
      </c>
    </row>
    <row r="79" spans="4:6">
      <c r="D79" s="840" t="str">
        <f>RRImmédiat!B53</f>
        <v>Cancer du col de l’utérus</v>
      </c>
      <c r="E79">
        <f>RRImmédiat!C53</f>
        <v>0</v>
      </c>
      <c r="F79" s="1018">
        <f>RRImmédiat!G53</f>
        <v>0</v>
      </c>
    </row>
    <row r="80" spans="4:6">
      <c r="D80" s="840" t="str">
        <f>RRImmédiat!B54</f>
        <v>Cancer du rein</v>
      </c>
      <c r="E80">
        <f>RRImmédiat!C54</f>
        <v>1.2</v>
      </c>
      <c r="F80" s="1018">
        <f>RRImmédiat!G54</f>
        <v>1.2</v>
      </c>
    </row>
    <row r="81" spans="4:6">
      <c r="D81" s="840" t="str">
        <f>RRImmédiat!B55</f>
        <v>Tumeur des voies excrétrices urinaires</v>
      </c>
      <c r="E81">
        <f>RRImmédiat!C55</f>
        <v>0.9</v>
      </c>
      <c r="F81" s="1018">
        <f>RRImmédiat!G55</f>
        <v>0.9</v>
      </c>
    </row>
    <row r="82" spans="4:6">
      <c r="D82" s="840" t="str">
        <f>RRImmédiat!B56</f>
        <v>Cancer de la prostate</v>
      </c>
      <c r="E82">
        <f>RRImmédiat!C56</f>
        <v>1.2</v>
      </c>
      <c r="F82" s="1018">
        <f>RRImmédiat!G56</f>
        <v>2.4</v>
      </c>
    </row>
    <row r="83" spans="4:6">
      <c r="D83" s="840" t="str">
        <f>RRImmédiat!B57</f>
        <v>Hypertrophie bénigne de la prostate (adénome de la prostate)</v>
      </c>
      <c r="E83">
        <f>RRImmédiat!C57</f>
        <v>0.8</v>
      </c>
      <c r="F83" s="1018">
        <f>RRImmédiat!G57</f>
        <v>0.8</v>
      </c>
    </row>
    <row r="84" spans="4:6">
      <c r="D84" s="840" t="str">
        <f>RRImmédiat!B58</f>
        <v>Insuffisance rénale chronique</v>
      </c>
      <c r="E84">
        <f>RRImmédiat!C58</f>
        <v>0.8</v>
      </c>
      <c r="F84" s="1018">
        <f>RRImmédiat!G58</f>
        <v>1.6</v>
      </c>
    </row>
    <row r="85" spans="4:6">
      <c r="D85" s="840" t="str">
        <f>RRImmédiat!B59</f>
        <v xml:space="preserve">Lithiase (calculs) urinaire </v>
      </c>
      <c r="E85">
        <f>RRImmédiat!C59</f>
        <v>1.5</v>
      </c>
      <c r="F85" s="1018">
        <f>RRImmédiat!G59</f>
        <v>1.5</v>
      </c>
    </row>
    <row r="86" spans="4:6">
      <c r="D86" s="840" t="str">
        <f>RRImmédiat!B60</f>
        <v>Incontinence urinaire</v>
      </c>
      <c r="E86">
        <f>RRImmédiat!C60</f>
        <v>0.8</v>
      </c>
      <c r="F86" s="1018">
        <f>RRImmédiat!G60</f>
        <v>0.8</v>
      </c>
    </row>
    <row r="87" spans="4:6">
      <c r="D87" s="840" t="str">
        <f>RRImmédiat!B61</f>
        <v>Dysfonction érectile</v>
      </c>
      <c r="E87">
        <f>RRImmédiat!C61</f>
        <v>1.2</v>
      </c>
      <c r="F87" s="1018">
        <f>RRImmédiat!G61</f>
        <v>1.2</v>
      </c>
    </row>
    <row r="88" spans="4:6">
      <c r="D88" s="840" t="str">
        <f>RRImmédiat!B62</f>
        <v>Endométriose</v>
      </c>
      <c r="E88">
        <f>RRImmédiat!C62</f>
        <v>0</v>
      </c>
      <c r="F88" s="1018">
        <f>RRImmédiat!G62</f>
        <v>0</v>
      </c>
    </row>
    <row r="89" spans="4:6">
      <c r="D89" s="840" t="str">
        <f>RRImmédiat!B63</f>
        <v>SOPK (Syndrome des ovaires polykystiques)</v>
      </c>
      <c r="E89">
        <f>RRImmédiat!C63</f>
        <v>0</v>
      </c>
      <c r="F89" s="1018">
        <f>RRImmédiat!G63</f>
        <v>0</v>
      </c>
    </row>
    <row r="90" spans="4:6">
      <c r="D90" s="840" t="str">
        <f>RRImmédiat!B64</f>
        <v>Déficit œstrogénique lié à l'âge</v>
      </c>
      <c r="E90">
        <f>RRImmédiat!C64</f>
        <v>0</v>
      </c>
      <c r="F90" s="1018">
        <f>RRImmédiat!G64</f>
        <v>0</v>
      </c>
    </row>
    <row r="91" spans="4:6">
      <c r="D91" s="840" t="str">
        <f>RRImmédiat!B65</f>
        <v>Déficit androgénique lié à l'âge</v>
      </c>
      <c r="E91">
        <f>RRImmédiat!C65</f>
        <v>1</v>
      </c>
      <c r="F91" s="1018">
        <f>RRImmédiat!G65</f>
        <v>0</v>
      </c>
    </row>
  </sheetData>
  <conditionalFormatting sqref="G2">
    <cfRule type="iconSet" priority="39">
      <iconSet reverse="1">
        <cfvo type="percent" val="0"/>
        <cfvo type="percent" val="33"/>
        <cfvo type="percent" val="67"/>
      </iconSet>
    </cfRule>
  </conditionalFormatting>
  <conditionalFormatting sqref="G13">
    <cfRule type="colorScale" priority="38">
      <colorScale>
        <cfvo type="min"/>
        <cfvo type="percentile" val="50"/>
        <cfvo type="max"/>
        <color rgb="FF5A8AC6"/>
        <color rgb="FFFCFCFF"/>
        <color rgb="FFF8696B"/>
      </colorScale>
    </cfRule>
  </conditionalFormatting>
  <conditionalFormatting sqref="G14:G19 G4:G12">
    <cfRule type="colorScale" priority="1127">
      <colorScale>
        <cfvo type="min"/>
        <cfvo type="percentile" val="50"/>
        <cfvo type="max"/>
        <color rgb="FF5A8AC6"/>
        <color rgb="FFFCFCFF"/>
        <color rgb="FFF8696B"/>
      </colorScale>
    </cfRule>
  </conditionalFormatting>
  <conditionalFormatting sqref="G20">
    <cfRule type="colorScale" priority="37">
      <colorScale>
        <cfvo type="min"/>
        <cfvo type="percentile" val="50"/>
        <cfvo type="max"/>
        <color rgb="FF5A8AC6"/>
        <color rgb="FFFCFCFF"/>
        <color rgb="FFF8696B"/>
      </colorScale>
    </cfRule>
  </conditionalFormatting>
  <conditionalFormatting sqref="G21">
    <cfRule type="colorScale" priority="36">
      <colorScale>
        <cfvo type="min"/>
        <cfvo type="percentile" val="50"/>
        <cfvo type="max"/>
        <color rgb="FF5A8AC6"/>
        <color rgb="FFFCFCFF"/>
        <color rgb="FFF8696B"/>
      </colorScale>
    </cfRule>
  </conditionalFormatting>
  <conditionalFormatting sqref="G22">
    <cfRule type="iconSet" priority="35">
      <iconSet reverse="1">
        <cfvo type="percent" val="0"/>
        <cfvo type="percent" val="33"/>
        <cfvo type="percent" val="67"/>
      </iconSet>
    </cfRule>
  </conditionalFormatting>
  <conditionalFormatting sqref="H3:H23">
    <cfRule type="dataBar" priority="13">
      <dataBar>
        <cfvo type="min"/>
        <cfvo type="max"/>
        <color rgb="FFFF555A"/>
      </dataBar>
      <extLst>
        <ext xmlns:x14="http://schemas.microsoft.com/office/spreadsheetml/2009/9/main" uri="{B025F937-C7B1-47D3-B67F-A62EFF666E3E}">
          <x14:id>{1AA915E5-6E13-41E5-A168-D547C41C6ACC}</x14:id>
        </ext>
      </extLst>
    </cfRule>
  </conditionalFormatting>
  <conditionalFormatting sqref="H23">
    <cfRule type="dataBar" priority="19">
      <dataBar>
        <cfvo type="min"/>
        <cfvo type="max"/>
        <color rgb="FFD6007B"/>
      </dataBar>
      <extLst>
        <ext xmlns:x14="http://schemas.microsoft.com/office/spreadsheetml/2009/9/main" uri="{B025F937-C7B1-47D3-B67F-A62EFF666E3E}">
          <x14:id>{1FD12A1D-39BC-4C93-92C3-7434FA32AB89}</x14:id>
        </ext>
      </extLst>
    </cfRule>
  </conditionalFormatting>
  <conditionalFormatting sqref="H3:I3">
    <cfRule type="dataBar" priority="14">
      <dataBar>
        <cfvo type="min"/>
        <cfvo type="max"/>
        <color rgb="FFFF555A"/>
      </dataBar>
      <extLst>
        <ext xmlns:x14="http://schemas.microsoft.com/office/spreadsheetml/2009/9/main" uri="{B025F937-C7B1-47D3-B67F-A62EFF666E3E}">
          <x14:id>{CB1807FC-3940-4B33-A715-E93E8A0B55EC}</x14:id>
        </ext>
      </extLst>
    </cfRule>
  </conditionalFormatting>
  <conditionalFormatting sqref="H3:J22">
    <cfRule type="dataBar" priority="1130">
      <dataBar>
        <cfvo type="min"/>
        <cfvo type="max"/>
        <color rgb="FFD6007B"/>
      </dataBar>
      <extLst>
        <ext xmlns:x14="http://schemas.microsoft.com/office/spreadsheetml/2009/9/main" uri="{B025F937-C7B1-47D3-B67F-A62EFF666E3E}">
          <x14:id>{62FC2EB5-DE83-4C2F-9E93-DDE0F9C2377D}</x14:id>
        </ext>
      </extLst>
    </cfRule>
  </conditionalFormatting>
  <conditionalFormatting sqref="I3:I23">
    <cfRule type="dataBar" priority="12">
      <dataBar>
        <cfvo type="min"/>
        <cfvo type="max"/>
        <color rgb="FF008AEF"/>
      </dataBar>
      <extLst>
        <ext xmlns:x14="http://schemas.microsoft.com/office/spreadsheetml/2009/9/main" uri="{B025F937-C7B1-47D3-B67F-A62EFF666E3E}">
          <x14:id>{FA04E9A5-F8D2-469E-8C9A-E96559BA2F91}</x14:id>
        </ext>
      </extLst>
    </cfRule>
  </conditionalFormatting>
  <conditionalFormatting sqref="I23">
    <cfRule type="dataBar" priority="18">
      <dataBar>
        <cfvo type="min"/>
        <cfvo type="max"/>
        <color rgb="FFD6007B"/>
      </dataBar>
      <extLst>
        <ext xmlns:x14="http://schemas.microsoft.com/office/spreadsheetml/2009/9/main" uri="{B025F937-C7B1-47D3-B67F-A62EFF666E3E}">
          <x14:id>{A0AD603D-66FC-47A7-BB80-F7B80B8B65A8}</x14:id>
        </ext>
      </extLst>
    </cfRule>
  </conditionalFormatting>
  <conditionalFormatting sqref="J2:J23">
    <cfRule type="dataBar" priority="11">
      <dataBar>
        <cfvo type="min"/>
        <cfvo type="max"/>
        <color rgb="FFD6007B"/>
      </dataBar>
      <extLst>
        <ext xmlns:x14="http://schemas.microsoft.com/office/spreadsheetml/2009/9/main" uri="{B025F937-C7B1-47D3-B67F-A62EFF666E3E}">
          <x14:id>{3B8AF376-8769-46ED-8330-8BD7E7804BA4}</x14:id>
        </ext>
      </extLst>
    </cfRule>
  </conditionalFormatting>
  <conditionalFormatting sqref="J3:J23">
    <cfRule type="dataBar" priority="21">
      <dataBar>
        <cfvo type="min"/>
        <cfvo type="max"/>
        <color rgb="FFFF555A"/>
      </dataBar>
      <extLst>
        <ext xmlns:x14="http://schemas.microsoft.com/office/spreadsheetml/2009/9/main" uri="{B025F937-C7B1-47D3-B67F-A62EFF666E3E}">
          <x14:id>{B80FAE06-C9FC-4982-9EEA-C55E88B2CC20}</x14:id>
        </ext>
      </extLst>
    </cfRule>
  </conditionalFormatting>
  <conditionalFormatting sqref="J23">
    <cfRule type="dataBar" priority="17">
      <dataBar>
        <cfvo type="min"/>
        <cfvo type="max"/>
        <color rgb="FFD6007B"/>
      </dataBar>
      <extLst>
        <ext xmlns:x14="http://schemas.microsoft.com/office/spreadsheetml/2009/9/main" uri="{B025F937-C7B1-47D3-B67F-A62EFF666E3E}">
          <x14:id>{929C66FD-2664-4843-86D8-8AF85AE5E28F}</x14:id>
        </ext>
      </extLst>
    </cfRule>
  </conditionalFormatting>
  <conditionalFormatting sqref="K3:K23">
    <cfRule type="colorScale" priority="23">
      <colorScale>
        <cfvo type="num" val="-0.05"/>
        <cfvo type="num" val="0.05"/>
        <cfvo type="num" val="0.2"/>
        <color rgb="FF0070C0"/>
        <color rgb="FFFFEB84"/>
        <color rgb="FFFF0000"/>
      </colorScale>
    </cfRule>
  </conditionalFormatting>
  <conditionalFormatting sqref="N1:N1048576">
    <cfRule type="colorScale" priority="1">
      <colorScale>
        <cfvo type="min"/>
        <cfvo type="percentile" val="50"/>
        <cfvo type="max"/>
        <color rgb="FF63BE7B"/>
        <color rgb="FFFFEB84"/>
        <color rgb="FFF8696B"/>
      </colorScale>
    </cfRule>
  </conditionalFormatting>
  <conditionalFormatting sqref="Q13">
    <cfRule type="colorScale" priority="9">
      <colorScale>
        <cfvo type="min"/>
        <cfvo type="percentile" val="50"/>
        <cfvo type="max"/>
        <color rgb="FF5A8AC6"/>
        <color rgb="FFFCFCFF"/>
        <color rgb="FFF8696B"/>
      </colorScale>
    </cfRule>
  </conditionalFormatting>
  <conditionalFormatting sqref="Q14:Q19 Q4:Q12">
    <cfRule type="colorScale" priority="10">
      <colorScale>
        <cfvo type="min"/>
        <cfvo type="percentile" val="50"/>
        <cfvo type="max"/>
        <color rgb="FF5A8AC6"/>
        <color rgb="FFFCFCFF"/>
        <color rgb="FFF8696B"/>
      </colorScale>
    </cfRule>
  </conditionalFormatting>
  <conditionalFormatting sqref="Q20">
    <cfRule type="colorScale" priority="8">
      <colorScale>
        <cfvo type="min"/>
        <cfvo type="percentile" val="50"/>
        <cfvo type="max"/>
        <color rgb="FF5A8AC6"/>
        <color rgb="FFFCFCFF"/>
        <color rgb="FFF8696B"/>
      </colorScale>
    </cfRule>
  </conditionalFormatting>
  <conditionalFormatting sqref="Q21">
    <cfRule type="colorScale" priority="7">
      <colorScale>
        <cfvo type="min"/>
        <cfvo type="percentile" val="50"/>
        <cfvo type="max"/>
        <color rgb="FF5A8AC6"/>
        <color rgb="FFFCFCFF"/>
        <color rgb="FFF8696B"/>
      </colorScale>
    </cfRule>
  </conditionalFormatting>
  <conditionalFormatting sqref="Q22">
    <cfRule type="iconSet" priority="6">
      <iconSet reverse="1">
        <cfvo type="percent" val="0"/>
        <cfvo type="percent" val="33"/>
        <cfvo type="percent" val="67"/>
      </iconSet>
    </cfRule>
  </conditionalFormatting>
  <conditionalFormatting sqref="R1 R3:R1048576">
    <cfRule type="cellIs" dxfId="14" priority="2" operator="greaterThan">
      <formula>2.2</formula>
    </cfRule>
  </conditionalFormatting>
  <conditionalFormatting sqref="R3:R23">
    <cfRule type="cellIs" dxfId="13" priority="3" operator="between">
      <formula>1.2</formula>
      <formula>2.2</formula>
    </cfRule>
  </conditionalFormatting>
  <pageMargins left="0.7" right="0.7" top="0.75" bottom="0.75" header="0.3" footer="0.3"/>
  <pageSetup paperSize="9" scale="82" orientation="landscape" r:id="rId1"/>
  <colBreaks count="1" manualBreakCount="1">
    <brk id="14" max="1048575" man="1"/>
  </colBreaks>
  <drawing r:id="rId2"/>
  <extLst>
    <ext xmlns:x14="http://schemas.microsoft.com/office/spreadsheetml/2009/9/main" uri="{78C0D931-6437-407d-A8EE-F0AAD7539E65}">
      <x14:conditionalFormattings>
        <x14:conditionalFormatting xmlns:xm="http://schemas.microsoft.com/office/excel/2006/main">
          <x14:cfRule type="dataBar" id="{1AA915E5-6E13-41E5-A168-D547C41C6ACC}">
            <x14:dataBar minLength="0" maxLength="100" gradient="0">
              <x14:cfvo type="autoMin"/>
              <x14:cfvo type="autoMax"/>
              <x14:negativeFillColor rgb="FFFF0000"/>
              <x14:axisColor rgb="FF000000"/>
            </x14:dataBar>
          </x14:cfRule>
          <xm:sqref>H3:H23</xm:sqref>
        </x14:conditionalFormatting>
        <x14:conditionalFormatting xmlns:xm="http://schemas.microsoft.com/office/excel/2006/main">
          <x14:cfRule type="dataBar" id="{1FD12A1D-39BC-4C93-92C3-7434FA32AB89}">
            <x14:dataBar minLength="0" maxLength="100" gradient="0">
              <x14:cfvo type="autoMin"/>
              <x14:cfvo type="autoMax"/>
              <x14:negativeFillColor rgb="FFFF0000"/>
              <x14:axisColor rgb="FF000000"/>
            </x14:dataBar>
          </x14:cfRule>
          <xm:sqref>H23</xm:sqref>
        </x14:conditionalFormatting>
        <x14:conditionalFormatting xmlns:xm="http://schemas.microsoft.com/office/excel/2006/main">
          <x14:cfRule type="dataBar" id="{CB1807FC-3940-4B33-A715-E93E8A0B55EC}">
            <x14:dataBar minLength="0" maxLength="100" border="1" negativeBarBorderColorSameAsPositive="0">
              <x14:cfvo type="autoMin"/>
              <x14:cfvo type="autoMax"/>
              <x14:borderColor rgb="FFFF555A"/>
              <x14:negativeFillColor rgb="FFFF0000"/>
              <x14:negativeBorderColor rgb="FFFF0000"/>
              <x14:axisColor rgb="FF000000"/>
            </x14:dataBar>
          </x14:cfRule>
          <xm:sqref>H3:I3</xm:sqref>
        </x14:conditionalFormatting>
        <x14:conditionalFormatting xmlns:xm="http://schemas.microsoft.com/office/excel/2006/main">
          <x14:cfRule type="dataBar" id="{62FC2EB5-DE83-4C2F-9E93-DDE0F9C2377D}">
            <x14:dataBar minLength="0" maxLength="100" gradient="0">
              <x14:cfvo type="autoMin"/>
              <x14:cfvo type="autoMax"/>
              <x14:negativeFillColor rgb="FFFF0000"/>
              <x14:axisColor rgb="FF000000"/>
            </x14:dataBar>
          </x14:cfRule>
          <xm:sqref>H3:J22</xm:sqref>
        </x14:conditionalFormatting>
        <x14:conditionalFormatting xmlns:xm="http://schemas.microsoft.com/office/excel/2006/main">
          <x14:cfRule type="dataBar" id="{FA04E9A5-F8D2-469E-8C9A-E96559BA2F91}">
            <x14:dataBar minLength="0" maxLength="100" gradient="0">
              <x14:cfvo type="autoMin"/>
              <x14:cfvo type="autoMax"/>
              <x14:negativeFillColor rgb="FFFF0000"/>
              <x14:axisColor rgb="FF000000"/>
            </x14:dataBar>
          </x14:cfRule>
          <xm:sqref>I3:I23</xm:sqref>
        </x14:conditionalFormatting>
        <x14:conditionalFormatting xmlns:xm="http://schemas.microsoft.com/office/excel/2006/main">
          <x14:cfRule type="dataBar" id="{A0AD603D-66FC-47A7-BB80-F7B80B8B65A8}">
            <x14:dataBar minLength="0" maxLength="100" gradient="0">
              <x14:cfvo type="autoMin"/>
              <x14:cfvo type="autoMax"/>
              <x14:negativeFillColor rgb="FFFF0000"/>
              <x14:axisColor rgb="FF000000"/>
            </x14:dataBar>
          </x14:cfRule>
          <xm:sqref>I23</xm:sqref>
        </x14:conditionalFormatting>
        <x14:conditionalFormatting xmlns:xm="http://schemas.microsoft.com/office/excel/2006/main">
          <x14:cfRule type="dataBar" id="{3B8AF376-8769-46ED-8330-8BD7E7804BA4}">
            <x14:dataBar minLength="0" maxLength="100" gradient="0">
              <x14:cfvo type="autoMin"/>
              <x14:cfvo type="autoMax"/>
              <x14:negativeFillColor rgb="FFFF0000"/>
              <x14:axisColor rgb="FF000000"/>
            </x14:dataBar>
          </x14:cfRule>
          <xm:sqref>J2:J23</xm:sqref>
        </x14:conditionalFormatting>
        <x14:conditionalFormatting xmlns:xm="http://schemas.microsoft.com/office/excel/2006/main">
          <x14:cfRule type="dataBar" id="{B80FAE06-C9FC-4982-9EEA-C55E88B2CC20}">
            <x14:dataBar minLength="0" maxLength="100" border="1" negativeBarBorderColorSameAsPositive="0">
              <x14:cfvo type="autoMin"/>
              <x14:cfvo type="autoMax"/>
              <x14:borderColor rgb="FFFF555A"/>
              <x14:negativeFillColor rgb="FFFF0000"/>
              <x14:negativeBorderColor rgb="FFFF0000"/>
              <x14:axisColor rgb="FF000000"/>
            </x14:dataBar>
          </x14:cfRule>
          <xm:sqref>J3:J23</xm:sqref>
        </x14:conditionalFormatting>
        <x14:conditionalFormatting xmlns:xm="http://schemas.microsoft.com/office/excel/2006/main">
          <x14:cfRule type="dataBar" id="{929C66FD-2664-4843-86D8-8AF85AE5E28F}">
            <x14:dataBar minLength="0" maxLength="100" gradient="0">
              <x14:cfvo type="autoMin"/>
              <x14:cfvo type="autoMax"/>
              <x14:negativeFillColor rgb="FFFF0000"/>
              <x14:axisColor rgb="FF000000"/>
            </x14:dataBar>
          </x14:cfRule>
          <xm:sqref>J23</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859E0-AE1C-428B-AD58-31CE54ADB2D1}">
  <sheetPr codeName="Feuil8">
    <tabColor rgb="FFFF0000"/>
    <pageSetUpPr fitToPage="1"/>
  </sheetPr>
  <dimension ref="E4:H26"/>
  <sheetViews>
    <sheetView showGridLines="0" topLeftCell="A4" zoomScale="75" zoomScaleNormal="75" workbookViewId="0">
      <selection activeCell="F12" sqref="F12"/>
    </sheetView>
  </sheetViews>
  <sheetFormatPr baseColWidth="10" defaultColWidth="11.5546875" defaultRowHeight="14.4"/>
  <cols>
    <col min="1" max="3" width="10.88671875" customWidth="1"/>
    <col min="4" max="4" width="13.109375" customWidth="1"/>
    <col min="5" max="5" width="25.109375" customWidth="1"/>
    <col min="6" max="6" width="35.44140625" style="20" customWidth="1"/>
    <col min="7" max="7" width="47.109375" customWidth="1"/>
  </cols>
  <sheetData>
    <row r="4" spans="5:8" ht="23.4">
      <c r="F4" s="27" t="s">
        <v>107</v>
      </c>
      <c r="G4" s="27" t="s">
        <v>108</v>
      </c>
    </row>
    <row r="6" spans="5:8" ht="18">
      <c r="E6" s="818" t="s">
        <v>54</v>
      </c>
      <c r="F6" s="20" t="str">
        <f>IF(ImportQuestion!F3="F","ND",(IF(RESULTATS!R3&gt;1.2,"Consultation spécialisée","Dépistage usuel")))</f>
        <v>Consultation spécialisée</v>
      </c>
      <c r="G6" s="24" t="s">
        <v>109</v>
      </c>
      <c r="H6" s="16" t="str">
        <f>IF(ImportQuestion!H77&gt;0.25,"Oui","Non")</f>
        <v>Oui</v>
      </c>
    </row>
    <row r="7" spans="5:8" ht="18">
      <c r="E7" s="819" t="s">
        <v>35</v>
      </c>
      <c r="F7" s="20" t="str">
        <f>IF(ImportQuestion!F3="F","ND",(IF(RESULTATS!R4&gt;1.2,"Consultation spécialisée", "Dépistage usuel")))</f>
        <v>Dépistage usuel</v>
      </c>
      <c r="G7" s="24" t="s">
        <v>111</v>
      </c>
      <c r="H7" s="16" t="str">
        <f>IF(ImportQuestion!F82="Y","Oui","Non")</f>
        <v>Non</v>
      </c>
    </row>
    <row r="8" spans="5:8" ht="18">
      <c r="E8" s="18" t="s">
        <v>36</v>
      </c>
      <c r="F8" s="20" t="str">
        <f>IF(RESULTATS!R5&gt;1.2,"Consultation spécialisée","Dépistage usuel")</f>
        <v>Dépistage usuel</v>
      </c>
      <c r="G8" s="24" t="s">
        <v>237</v>
      </c>
      <c r="H8" s="16" t="str">
        <f>IF(ImportQuestion!F86="Y","Oui","Non")</f>
        <v>Oui</v>
      </c>
    </row>
    <row r="9" spans="5:8" ht="18">
      <c r="E9" s="18" t="s">
        <v>37</v>
      </c>
      <c r="F9" s="20" t="str">
        <f>IF(RESULTATS!R6&gt;1.2,"Echographie rénale", "Dépistage usuel")</f>
        <v>Echographie rénale</v>
      </c>
      <c r="G9" s="24" t="s">
        <v>110</v>
      </c>
      <c r="H9" s="16" t="str">
        <f>IF(ImportQuestion!F89="Y","Non","Oui")</f>
        <v>Oui</v>
      </c>
    </row>
    <row r="10" spans="5:8" ht="18">
      <c r="E10" s="18" t="s">
        <v>38</v>
      </c>
      <c r="F10" s="20" t="str">
        <f>IF(RESULTATS!R7&gt;1.2,"DXA", "Dépistage usuel")</f>
        <v>Dépistage usuel</v>
      </c>
      <c r="G10" s="24" t="s">
        <v>113</v>
      </c>
      <c r="H10" s="16" t="str">
        <f>IF(ImportQuestion!F92="Y","Non","Oui")</f>
        <v>Oui</v>
      </c>
    </row>
    <row r="11" spans="5:8" ht="18">
      <c r="E11" s="18" t="s">
        <v>39</v>
      </c>
      <c r="F11" s="20" t="str">
        <f>IF(RESULTATS!R8&gt;1.2,"Consultation spécialisée", "Dépistage usuel")</f>
        <v>Consultation spécialisée</v>
      </c>
      <c r="G11" s="24" t="s">
        <v>125</v>
      </c>
      <c r="H11" s="16" t="str">
        <f>IF(ImportBiologie!H14&lt;30,"Oui","Non")</f>
        <v>Oui</v>
      </c>
    </row>
    <row r="12" spans="5:8">
      <c r="E12" s="18" t="s">
        <v>250</v>
      </c>
      <c r="F12" s="20" t="str">
        <f>IF(RESULTATS!R9&gt;1.2,"Echographie hépatobiliaire","Dépistage usuel")</f>
        <v>Echographie hépatobiliaire</v>
      </c>
    </row>
    <row r="13" spans="5:8">
      <c r="E13" s="18" t="s">
        <v>41</v>
      </c>
      <c r="F13" s="20" t="str">
        <f>IF(RESULTATS!R10&gt;1.2,"Consultation spécialisée", "Dépistage suel")</f>
        <v>Dépistage suel</v>
      </c>
    </row>
    <row r="14" spans="5:8">
      <c r="E14" s="18" t="s">
        <v>42</v>
      </c>
      <c r="F14" s="20" t="str">
        <f>IF(RESULTATS!R11&gt;1.2,"Consultation spécialisée", "Dépistage usuel")</f>
        <v>Consultation spécialisée</v>
      </c>
    </row>
    <row r="15" spans="5:8">
      <c r="E15" s="18" t="s">
        <v>249</v>
      </c>
      <c r="F15" s="20" t="str">
        <f>IF(RESULTATS!R12&gt;1.2,"Consultation spécialisée", "Dépistage usuel")</f>
        <v>Dépistage usuel</v>
      </c>
    </row>
    <row r="16" spans="5:8">
      <c r="E16" s="18" t="s">
        <v>44</v>
      </c>
      <c r="F16" s="20" t="str">
        <f>IF(RESULTATS!R13&gt;1.2,"Consultation spécialisée", "Dépistage usuel")</f>
        <v>Consultation spécialisée</v>
      </c>
    </row>
    <row r="17" spans="5:6">
      <c r="E17" s="18" t="s">
        <v>45</v>
      </c>
      <c r="F17" s="20" t="str">
        <f>IF(RESULTATS!R14&gt;1.2,"Consultation spécialisée", "Dépistage usuel")</f>
        <v>Dépistage usuel</v>
      </c>
    </row>
    <row r="18" spans="5:6">
      <c r="E18" s="18" t="s">
        <v>46</v>
      </c>
      <c r="F18" s="20" t="str">
        <f>IF(RESULTATS!R15&gt;1.2,"Echo-Doppler", "Dépistage usuel")</f>
        <v>Dépistage usuel</v>
      </c>
    </row>
    <row r="19" spans="5:6">
      <c r="E19" s="18" t="s">
        <v>47</v>
      </c>
      <c r="F19" s="20" t="str">
        <f>IF(RESULTATS!R16&gt;1.2,"Consultation spécialisée", "Dépistage usuel")</f>
        <v>Dépistage usuel</v>
      </c>
    </row>
    <row r="20" spans="5:6">
      <c r="E20" s="18" t="s">
        <v>48</v>
      </c>
      <c r="F20" s="20" t="str">
        <f>IF(RESULTATS!R17&gt;1.2,"Consultation spécialisée", "Dépistage usuel")</f>
        <v>Dépistage usuel</v>
      </c>
    </row>
    <row r="21" spans="5:6">
      <c r="E21" s="18" t="s">
        <v>49</v>
      </c>
      <c r="F21" s="20" t="str">
        <f>IF(RESULTATS!R18&gt;1.2,"scanner thoracique", "Dépistage usuel")</f>
        <v>Dépistage usuel</v>
      </c>
    </row>
    <row r="22" spans="5:6">
      <c r="E22" s="18" t="s">
        <v>50</v>
      </c>
      <c r="F22" s="20" t="str">
        <f>IF(RESULTATS!R19&gt;1.2,"Consultation spécialisée", "Dépistage usuel")</f>
        <v>Dépistage usuel</v>
      </c>
    </row>
    <row r="23" spans="5:6">
      <c r="E23" s="18" t="s">
        <v>51</v>
      </c>
      <c r="F23" s="20" t="str">
        <f>IF(RESULTATS!R20&gt;1.2,"Spirométrie", "Dépistage usuel")</f>
        <v>Dépistage usuel</v>
      </c>
    </row>
    <row r="24" spans="5:6">
      <c r="E24" s="18" t="s">
        <v>52</v>
      </c>
      <c r="F24" s="20" t="str">
        <f>IF(RESULTATS!R21&gt;1.2,"Consultation spécialisée", "Dépistage usuel")</f>
        <v>Dépistage usuel</v>
      </c>
    </row>
    <row r="25" spans="5:6">
      <c r="E25" s="18" t="s">
        <v>2023</v>
      </c>
      <c r="F25" s="20" t="str">
        <f>IF(ImportQuestion!F3="H","ND",(IF(RESULTATS!R22&gt;1.2,"Consultation spécialisée","Dépistage usuel")))</f>
        <v>ND</v>
      </c>
    </row>
    <row r="26" spans="5:6">
      <c r="E26" s="23" t="s">
        <v>596</v>
      </c>
      <c r="F26" s="20" t="str">
        <f>IF(RESULTATS!R23&gt;1.2,"Consultation spécialisée", "Dépistage usuel")</f>
        <v>Dépistage usuel</v>
      </c>
    </row>
  </sheetData>
  <conditionalFormatting sqref="E16">
    <cfRule type="colorScale" priority="4">
      <colorScale>
        <cfvo type="min"/>
        <cfvo type="percentile" val="50"/>
        <cfvo type="max"/>
        <color rgb="FF5A8AC6"/>
        <color rgb="FFFCFCFF"/>
        <color rgb="FFF8696B"/>
      </colorScale>
    </cfRule>
  </conditionalFormatting>
  <conditionalFormatting sqref="E17:E22 E7:E15">
    <cfRule type="colorScale" priority="1113">
      <colorScale>
        <cfvo type="min"/>
        <cfvo type="percentile" val="50"/>
        <cfvo type="max"/>
        <color rgb="FF5A8AC6"/>
        <color rgb="FFFCFCFF"/>
        <color rgb="FFF8696B"/>
      </colorScale>
    </cfRule>
  </conditionalFormatting>
  <conditionalFormatting sqref="E23">
    <cfRule type="colorScale" priority="3">
      <colorScale>
        <cfvo type="min"/>
        <cfvo type="percentile" val="50"/>
        <cfvo type="max"/>
        <color rgb="FF5A8AC6"/>
        <color rgb="FFFCFCFF"/>
        <color rgb="FFF8696B"/>
      </colorScale>
    </cfRule>
  </conditionalFormatting>
  <conditionalFormatting sqref="E24">
    <cfRule type="colorScale" priority="2">
      <colorScale>
        <cfvo type="min"/>
        <cfvo type="percentile" val="50"/>
        <cfvo type="max"/>
        <color rgb="FF5A8AC6"/>
        <color rgb="FFFCFCFF"/>
        <color rgb="FFF8696B"/>
      </colorScale>
    </cfRule>
  </conditionalFormatting>
  <conditionalFormatting sqref="E25">
    <cfRule type="iconSet" priority="1">
      <iconSet reverse="1">
        <cfvo type="percent" val="0"/>
        <cfvo type="percent" val="33"/>
        <cfvo type="percent" val="67"/>
      </iconSet>
    </cfRule>
  </conditionalFormatting>
  <pageMargins left="0.7" right="0.7" top="0.75" bottom="0.75" header="0.3" footer="0.3"/>
  <pageSetup paperSize="9" scale="3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AC957-C515-447B-9046-2F5164EAA706}">
  <dimension ref="A1:N27"/>
  <sheetViews>
    <sheetView workbookViewId="0">
      <selection activeCell="B8" sqref="B8"/>
    </sheetView>
  </sheetViews>
  <sheetFormatPr baseColWidth="10" defaultColWidth="9.109375" defaultRowHeight="14.4"/>
  <cols>
    <col min="1" max="1" width="9.88671875" bestFit="1" customWidth="1"/>
    <col min="2" max="2" width="9.88671875" customWidth="1"/>
    <col min="4" max="4" width="13.109375" bestFit="1" customWidth="1"/>
    <col min="5" max="5" width="24.21875" bestFit="1" customWidth="1"/>
    <col min="8" max="8" width="27.33203125" bestFit="1" customWidth="1"/>
    <col min="11" max="11" width="34.33203125" bestFit="1" customWidth="1"/>
  </cols>
  <sheetData>
    <row r="1" spans="1:14" s="840" customFormat="1">
      <c r="A1" s="840" t="s">
        <v>2357</v>
      </c>
      <c r="D1" s="840" t="s">
        <v>2358</v>
      </c>
      <c r="G1" s="840" t="s">
        <v>2568</v>
      </c>
      <c r="J1" s="840" t="s">
        <v>2579</v>
      </c>
      <c r="M1" s="840" t="s">
        <v>2584</v>
      </c>
    </row>
    <row r="2" spans="1:14">
      <c r="A2">
        <v>0</v>
      </c>
      <c r="B2" t="s">
        <v>635</v>
      </c>
      <c r="D2">
        <v>0</v>
      </c>
      <c r="E2" t="s">
        <v>635</v>
      </c>
      <c r="G2">
        <v>0</v>
      </c>
      <c r="H2" t="s">
        <v>2564</v>
      </c>
      <c r="J2">
        <v>0</v>
      </c>
      <c r="K2" t="s">
        <v>2570</v>
      </c>
      <c r="M2">
        <v>0</v>
      </c>
      <c r="N2" t="s">
        <v>2580</v>
      </c>
    </row>
    <row r="3" spans="1:14">
      <c r="A3">
        <v>1</v>
      </c>
      <c r="B3" t="s">
        <v>636</v>
      </c>
      <c r="D3">
        <v>1</v>
      </c>
      <c r="E3" t="s">
        <v>636</v>
      </c>
      <c r="G3">
        <v>1</v>
      </c>
      <c r="H3" t="s">
        <v>2566</v>
      </c>
      <c r="J3">
        <v>1</v>
      </c>
      <c r="K3" t="s">
        <v>2571</v>
      </c>
      <c r="M3">
        <v>1</v>
      </c>
      <c r="N3" t="s">
        <v>2583</v>
      </c>
    </row>
    <row r="4" spans="1:14">
      <c r="D4" s="430">
        <v>2</v>
      </c>
      <c r="E4" t="s">
        <v>803</v>
      </c>
      <c r="G4">
        <v>2</v>
      </c>
      <c r="H4" t="s">
        <v>2567</v>
      </c>
      <c r="J4">
        <v>1</v>
      </c>
      <c r="K4" t="s">
        <v>2572</v>
      </c>
      <c r="M4">
        <v>1</v>
      </c>
      <c r="N4" t="s">
        <v>2581</v>
      </c>
    </row>
    <row r="5" spans="1:14">
      <c r="A5" t="s">
        <v>2665</v>
      </c>
      <c r="G5">
        <v>0</v>
      </c>
      <c r="H5" t="s">
        <v>2565</v>
      </c>
      <c r="J5" s="430">
        <v>1</v>
      </c>
      <c r="K5" t="s">
        <v>2573</v>
      </c>
      <c r="M5">
        <v>1</v>
      </c>
      <c r="N5" t="s">
        <v>2582</v>
      </c>
    </row>
    <row r="6" spans="1:14">
      <c r="A6">
        <v>0</v>
      </c>
      <c r="B6" t="s">
        <v>62</v>
      </c>
      <c r="J6">
        <v>1</v>
      </c>
      <c r="K6" t="s">
        <v>2574</v>
      </c>
      <c r="M6">
        <v>1</v>
      </c>
      <c r="N6" t="s">
        <v>796</v>
      </c>
    </row>
    <row r="7" spans="1:14">
      <c r="A7">
        <v>1</v>
      </c>
      <c r="B7" t="s">
        <v>61</v>
      </c>
      <c r="J7">
        <v>2</v>
      </c>
      <c r="K7" t="s">
        <v>2575</v>
      </c>
    </row>
    <row r="8" spans="1:14">
      <c r="J8">
        <v>3</v>
      </c>
      <c r="K8" t="s">
        <v>2576</v>
      </c>
    </row>
    <row r="9" spans="1:14">
      <c r="J9">
        <v>4</v>
      </c>
      <c r="K9" t="s">
        <v>2577</v>
      </c>
    </row>
    <row r="10" spans="1:14">
      <c r="J10">
        <v>5</v>
      </c>
      <c r="K10" t="s">
        <v>2578</v>
      </c>
    </row>
    <row r="12" spans="1:14" s="840" customFormat="1">
      <c r="A12" s="840" t="s">
        <v>2585</v>
      </c>
      <c r="D12" s="840" t="s">
        <v>2597</v>
      </c>
      <c r="G12" s="840" t="s">
        <v>2598</v>
      </c>
      <c r="J12" s="840" t="s">
        <v>2599</v>
      </c>
      <c r="M12" s="840" t="s">
        <v>2600</v>
      </c>
    </row>
    <row r="13" spans="1:14">
      <c r="A13">
        <v>0</v>
      </c>
      <c r="B13" t="s">
        <v>2587</v>
      </c>
      <c r="D13">
        <v>0</v>
      </c>
      <c r="E13" t="s">
        <v>2589</v>
      </c>
      <c r="G13">
        <v>0</v>
      </c>
      <c r="H13" t="s">
        <v>2591</v>
      </c>
      <c r="J13">
        <v>0</v>
      </c>
      <c r="K13" t="s">
        <v>2595</v>
      </c>
      <c r="M13">
        <v>0</v>
      </c>
      <c r="N13" t="s">
        <v>979</v>
      </c>
    </row>
    <row r="14" spans="1:14">
      <c r="A14">
        <v>1</v>
      </c>
      <c r="B14" t="s">
        <v>2586</v>
      </c>
      <c r="D14">
        <v>1</v>
      </c>
      <c r="E14" t="s">
        <v>915</v>
      </c>
      <c r="G14">
        <v>1</v>
      </c>
      <c r="H14" t="s">
        <v>2592</v>
      </c>
      <c r="J14">
        <v>1</v>
      </c>
      <c r="K14" t="s">
        <v>2596</v>
      </c>
      <c r="M14">
        <v>1</v>
      </c>
      <c r="N14" t="s">
        <v>980</v>
      </c>
    </row>
    <row r="15" spans="1:14">
      <c r="A15">
        <v>2</v>
      </c>
      <c r="B15" t="s">
        <v>2333</v>
      </c>
      <c r="D15">
        <v>2</v>
      </c>
      <c r="E15" t="s">
        <v>2590</v>
      </c>
      <c r="G15">
        <v>2</v>
      </c>
      <c r="H15" t="s">
        <v>2593</v>
      </c>
      <c r="J15">
        <v>2</v>
      </c>
      <c r="K15" t="s">
        <v>980</v>
      </c>
      <c r="M15">
        <v>2</v>
      </c>
      <c r="N15" t="s">
        <v>981</v>
      </c>
    </row>
    <row r="16" spans="1:14">
      <c r="D16">
        <v>3</v>
      </c>
      <c r="E16" t="s">
        <v>913</v>
      </c>
      <c r="G16">
        <v>3</v>
      </c>
      <c r="H16" t="s">
        <v>2594</v>
      </c>
      <c r="J16">
        <v>3</v>
      </c>
      <c r="K16" t="s">
        <v>987</v>
      </c>
      <c r="M16">
        <v>3</v>
      </c>
      <c r="N16" t="s">
        <v>982</v>
      </c>
    </row>
    <row r="18" spans="1:14" s="840" customFormat="1">
      <c r="A18" s="840" t="s">
        <v>2601</v>
      </c>
      <c r="D18" s="840" t="s">
        <v>2602</v>
      </c>
      <c r="G18" s="840" t="s">
        <v>2607</v>
      </c>
      <c r="J18" s="840" t="s">
        <v>2608</v>
      </c>
      <c r="M18" s="840" t="s">
        <v>2611</v>
      </c>
    </row>
    <row r="19" spans="1:14">
      <c r="A19">
        <v>0</v>
      </c>
      <c r="B19">
        <v>0</v>
      </c>
      <c r="D19">
        <v>0</v>
      </c>
      <c r="E19" t="s">
        <v>2603</v>
      </c>
      <c r="G19">
        <v>0</v>
      </c>
      <c r="H19" s="841" t="s">
        <v>840</v>
      </c>
      <c r="J19">
        <v>0</v>
      </c>
      <c r="K19" t="s">
        <v>854</v>
      </c>
      <c r="M19">
        <v>0</v>
      </c>
      <c r="N19" t="s">
        <v>2612</v>
      </c>
    </row>
    <row r="20" spans="1:14">
      <c r="A20">
        <v>1</v>
      </c>
      <c r="B20">
        <v>1</v>
      </c>
      <c r="D20">
        <v>1</v>
      </c>
      <c r="E20" t="s">
        <v>2604</v>
      </c>
      <c r="G20">
        <v>1</v>
      </c>
      <c r="H20" t="s">
        <v>839</v>
      </c>
      <c r="J20">
        <v>1</v>
      </c>
      <c r="K20" t="s">
        <v>2609</v>
      </c>
      <c r="M20">
        <v>1</v>
      </c>
      <c r="N20" t="s">
        <v>2613</v>
      </c>
    </row>
    <row r="21" spans="1:14">
      <c r="A21">
        <v>2</v>
      </c>
      <c r="B21" t="s">
        <v>90</v>
      </c>
      <c r="D21">
        <v>2</v>
      </c>
      <c r="E21" t="s">
        <v>2605</v>
      </c>
      <c r="G21">
        <v>2</v>
      </c>
      <c r="H21" t="s">
        <v>838</v>
      </c>
      <c r="J21">
        <v>2</v>
      </c>
      <c r="K21" t="s">
        <v>914</v>
      </c>
      <c r="M21">
        <v>2</v>
      </c>
      <c r="N21" t="s">
        <v>2614</v>
      </c>
    </row>
    <row r="22" spans="1:14">
      <c r="D22">
        <v>3</v>
      </c>
      <c r="E22" t="s">
        <v>2606</v>
      </c>
      <c r="J22">
        <v>3</v>
      </c>
      <c r="K22" t="s">
        <v>2610</v>
      </c>
      <c r="M22">
        <v>3</v>
      </c>
      <c r="N22" t="s">
        <v>2615</v>
      </c>
    </row>
    <row r="24" spans="1:14" s="840" customFormat="1">
      <c r="A24" s="840" t="s">
        <v>2616</v>
      </c>
      <c r="D24" s="840" t="s">
        <v>2621</v>
      </c>
      <c r="G24" s="840" t="s">
        <v>2625</v>
      </c>
      <c r="J24" s="840" t="s">
        <v>2626</v>
      </c>
    </row>
    <row r="25" spans="1:14">
      <c r="A25">
        <v>0</v>
      </c>
      <c r="B25" t="s">
        <v>628</v>
      </c>
      <c r="D25">
        <v>0</v>
      </c>
      <c r="E25" t="s">
        <v>2619</v>
      </c>
      <c r="G25">
        <v>0</v>
      </c>
      <c r="H25" t="s">
        <v>2623</v>
      </c>
      <c r="J25">
        <v>0</v>
      </c>
      <c r="K25" t="s">
        <v>852</v>
      </c>
    </row>
    <row r="26" spans="1:14">
      <c r="A26">
        <v>1</v>
      </c>
      <c r="B26" t="s">
        <v>2617</v>
      </c>
      <c r="D26">
        <v>1</v>
      </c>
      <c r="E26" t="s">
        <v>2620</v>
      </c>
      <c r="G26">
        <v>1</v>
      </c>
      <c r="H26" t="s">
        <v>2624</v>
      </c>
      <c r="J26">
        <v>1</v>
      </c>
      <c r="K26" t="s">
        <v>851</v>
      </c>
    </row>
    <row r="27" spans="1:14">
      <c r="A27">
        <v>2</v>
      </c>
      <c r="B27" t="s">
        <v>2618</v>
      </c>
      <c r="G27">
        <v>2</v>
      </c>
      <c r="H27" t="s">
        <v>2622</v>
      </c>
      <c r="J27">
        <v>2</v>
      </c>
      <c r="K27" t="s">
        <v>2627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37E04-50B9-4788-9015-74A3DAF52A8F}">
  <sheetPr codeName="Feuil20"/>
  <dimension ref="A1:D374"/>
  <sheetViews>
    <sheetView workbookViewId="0">
      <pane xSplit="1" ySplit="1" topLeftCell="B343" activePane="bottomRight" state="frozen"/>
      <selection pane="topRight" activeCell="B1" sqref="B1"/>
      <selection pane="bottomLeft" activeCell="A2" sqref="A2"/>
      <selection pane="bottomRight" activeCell="O372" sqref="O372"/>
    </sheetView>
  </sheetViews>
  <sheetFormatPr baseColWidth="10" defaultColWidth="10.6640625" defaultRowHeight="14.4"/>
  <cols>
    <col min="1" max="1" width="31.109375" style="596" bestFit="1" customWidth="1"/>
    <col min="2" max="2" width="31.109375" style="596" customWidth="1"/>
    <col min="3" max="3" width="15.5546875" style="149" bestFit="1" customWidth="1"/>
    <col min="4" max="4" width="88.6640625" style="596" bestFit="1" customWidth="1"/>
    <col min="5" max="16384" width="10.6640625" style="596"/>
  </cols>
  <sheetData>
    <row r="1" spans="1:4" s="25" customFormat="1">
      <c r="A1" s="25" t="s">
        <v>2124</v>
      </c>
      <c r="B1" s="25" t="s">
        <v>2123</v>
      </c>
      <c r="C1" s="25" t="s">
        <v>1901</v>
      </c>
      <c r="D1" s="25" t="s">
        <v>238</v>
      </c>
    </row>
    <row r="2" spans="1:4">
      <c r="A2" s="596" t="s">
        <v>1715</v>
      </c>
      <c r="C2" s="531" t="s">
        <v>1432</v>
      </c>
      <c r="D2" s="596" t="s">
        <v>47</v>
      </c>
    </row>
    <row r="3" spans="1:4">
      <c r="A3" s="596" t="s">
        <v>1715</v>
      </c>
      <c r="C3" s="531" t="s">
        <v>1432</v>
      </c>
      <c r="D3" s="596" t="s">
        <v>1716</v>
      </c>
    </row>
    <row r="4" spans="1:4">
      <c r="A4" s="596" t="s">
        <v>1715</v>
      </c>
      <c r="C4" s="531" t="s">
        <v>1432</v>
      </c>
      <c r="D4" s="596" t="s">
        <v>899</v>
      </c>
    </row>
    <row r="5" spans="1:4">
      <c r="A5" s="596" t="s">
        <v>1715</v>
      </c>
      <c r="C5" s="531" t="s">
        <v>1432</v>
      </c>
      <c r="D5" s="596" t="s">
        <v>1717</v>
      </c>
    </row>
    <row r="6" spans="1:4">
      <c r="A6" s="596" t="s">
        <v>1715</v>
      </c>
      <c r="C6" s="531" t="s">
        <v>1432</v>
      </c>
      <c r="D6" s="596" t="s">
        <v>735</v>
      </c>
    </row>
    <row r="7" spans="1:4">
      <c r="A7" s="596" t="s">
        <v>1715</v>
      </c>
      <c r="C7" s="531" t="s">
        <v>1432</v>
      </c>
      <c r="D7" s="596" t="s">
        <v>736</v>
      </c>
    </row>
    <row r="8" spans="1:4">
      <c r="A8" s="596" t="s">
        <v>1715</v>
      </c>
      <c r="C8" s="531" t="s">
        <v>1432</v>
      </c>
      <c r="D8" s="596" t="s">
        <v>1718</v>
      </c>
    </row>
    <row r="9" spans="1:4">
      <c r="A9" s="596" t="s">
        <v>1715</v>
      </c>
      <c r="C9" s="531" t="s">
        <v>1432</v>
      </c>
      <c r="D9" s="596" t="s">
        <v>1719</v>
      </c>
    </row>
    <row r="10" spans="1:4">
      <c r="A10" s="596" t="s">
        <v>1715</v>
      </c>
      <c r="C10" s="544" t="s">
        <v>1720</v>
      </c>
      <c r="D10" s="596" t="s">
        <v>735</v>
      </c>
    </row>
    <row r="11" spans="1:4">
      <c r="A11" s="596" t="s">
        <v>1715</v>
      </c>
      <c r="C11" s="544" t="s">
        <v>1720</v>
      </c>
      <c r="D11" s="596" t="s">
        <v>736</v>
      </c>
    </row>
    <row r="12" spans="1:4">
      <c r="A12" s="596" t="s">
        <v>1715</v>
      </c>
      <c r="C12" s="544" t="s">
        <v>1720</v>
      </c>
      <c r="D12" s="596" t="s">
        <v>1721</v>
      </c>
    </row>
    <row r="13" spans="1:4">
      <c r="A13" s="596" t="s">
        <v>1715</v>
      </c>
      <c r="C13" s="544" t="s">
        <v>1720</v>
      </c>
      <c r="D13" s="596" t="s">
        <v>1722</v>
      </c>
    </row>
    <row r="14" spans="1:4">
      <c r="A14" s="596" t="s">
        <v>1715</v>
      </c>
      <c r="C14" s="544" t="s">
        <v>1720</v>
      </c>
      <c r="D14" s="581" t="s">
        <v>1723</v>
      </c>
    </row>
    <row r="15" spans="1:4">
      <c r="A15" s="596" t="s">
        <v>1715</v>
      </c>
      <c r="C15" s="149" t="s">
        <v>1720</v>
      </c>
      <c r="D15" s="598" t="s">
        <v>1740</v>
      </c>
    </row>
    <row r="16" spans="1:4">
      <c r="A16" s="596" t="s">
        <v>1715</v>
      </c>
      <c r="C16" s="149" t="s">
        <v>1720</v>
      </c>
      <c r="D16" s="608" t="s">
        <v>1902</v>
      </c>
    </row>
    <row r="17" spans="1:4">
      <c r="A17" s="596" t="s">
        <v>1715</v>
      </c>
      <c r="C17" s="544" t="s">
        <v>1720</v>
      </c>
      <c r="D17" s="581" t="s">
        <v>1724</v>
      </c>
    </row>
    <row r="18" spans="1:4">
      <c r="A18" s="596" t="s">
        <v>1715</v>
      </c>
      <c r="C18" s="544" t="s">
        <v>1720</v>
      </c>
      <c r="D18" s="596" t="s">
        <v>1725</v>
      </c>
    </row>
    <row r="19" spans="1:4">
      <c r="A19" s="596" t="s">
        <v>1715</v>
      </c>
      <c r="C19" s="544" t="s">
        <v>1720</v>
      </c>
      <c r="D19" s="596" t="s">
        <v>1726</v>
      </c>
    </row>
    <row r="20" spans="1:4">
      <c r="A20" s="596" t="s">
        <v>1715</v>
      </c>
      <c r="C20" s="544" t="s">
        <v>1720</v>
      </c>
      <c r="D20" s="596" t="s">
        <v>1907</v>
      </c>
    </row>
    <row r="21" spans="1:4">
      <c r="A21" s="596" t="s">
        <v>1715</v>
      </c>
      <c r="C21" s="544" t="s">
        <v>1720</v>
      </c>
      <c r="D21" s="596" t="s">
        <v>1727</v>
      </c>
    </row>
    <row r="22" spans="1:4">
      <c r="A22" s="596" t="s">
        <v>1715</v>
      </c>
      <c r="C22" s="544" t="s">
        <v>1720</v>
      </c>
      <c r="D22" s="596" t="s">
        <v>1728</v>
      </c>
    </row>
    <row r="23" spans="1:4">
      <c r="A23" s="596" t="s">
        <v>1715</v>
      </c>
      <c r="C23" s="544" t="s">
        <v>1720</v>
      </c>
      <c r="D23" s="596" t="s">
        <v>1729</v>
      </c>
    </row>
    <row r="24" spans="1:4">
      <c r="A24" s="596" t="s">
        <v>1715</v>
      </c>
      <c r="C24" s="544" t="s">
        <v>1730</v>
      </c>
      <c r="D24" s="596" t="s">
        <v>900</v>
      </c>
    </row>
    <row r="25" spans="1:4">
      <c r="A25" s="596" t="s">
        <v>1715</v>
      </c>
      <c r="C25" s="544" t="s">
        <v>1730</v>
      </c>
      <c r="D25" s="607" t="s">
        <v>631</v>
      </c>
    </row>
    <row r="26" spans="1:4">
      <c r="A26" s="596" t="s">
        <v>1715</v>
      </c>
      <c r="C26" s="544" t="s">
        <v>1730</v>
      </c>
      <c r="D26" s="582" t="s">
        <v>1731</v>
      </c>
    </row>
    <row r="27" spans="1:4">
      <c r="A27" s="596" t="s">
        <v>1715</v>
      </c>
      <c r="C27" s="544" t="s">
        <v>1730</v>
      </c>
      <c r="D27" s="582" t="s">
        <v>1732</v>
      </c>
    </row>
    <row r="28" spans="1:4">
      <c r="A28" s="596" t="s">
        <v>1715</v>
      </c>
      <c r="C28" s="544" t="s">
        <v>1730</v>
      </c>
      <c r="D28" s="582" t="s">
        <v>1733</v>
      </c>
    </row>
    <row r="29" spans="1:4">
      <c r="A29" s="596" t="s">
        <v>1715</v>
      </c>
      <c r="C29" s="544" t="s">
        <v>1730</v>
      </c>
      <c r="D29" s="583" t="s">
        <v>1734</v>
      </c>
    </row>
    <row r="30" spans="1:4">
      <c r="A30" s="596" t="s">
        <v>1715</v>
      </c>
      <c r="C30" s="544" t="s">
        <v>1730</v>
      </c>
      <c r="D30" s="596" t="s">
        <v>1735</v>
      </c>
    </row>
    <row r="31" spans="1:4">
      <c r="A31" s="596" t="s">
        <v>1715</v>
      </c>
      <c r="C31" s="544" t="s">
        <v>1730</v>
      </c>
      <c r="D31" s="597" t="s">
        <v>742</v>
      </c>
    </row>
    <row r="32" spans="1:4">
      <c r="A32" s="596" t="s">
        <v>1715</v>
      </c>
      <c r="C32" s="544" t="s">
        <v>1730</v>
      </c>
      <c r="D32" s="597" t="s">
        <v>743</v>
      </c>
    </row>
    <row r="33" spans="1:4">
      <c r="A33" s="596" t="s">
        <v>1715</v>
      </c>
      <c r="C33" s="544" t="s">
        <v>1730</v>
      </c>
      <c r="D33" s="597" t="s">
        <v>744</v>
      </c>
    </row>
    <row r="34" spans="1:4">
      <c r="A34" s="596" t="s">
        <v>1715</v>
      </c>
      <c r="C34" s="544" t="s">
        <v>1730</v>
      </c>
      <c r="D34" s="597" t="s">
        <v>1736</v>
      </c>
    </row>
    <row r="35" spans="1:4">
      <c r="A35" s="596" t="s">
        <v>1715</v>
      </c>
      <c r="C35" s="544" t="s">
        <v>1730</v>
      </c>
      <c r="D35" s="597" t="s">
        <v>748</v>
      </c>
    </row>
    <row r="36" spans="1:4">
      <c r="A36" s="359" t="s">
        <v>1737</v>
      </c>
      <c r="B36" s="359"/>
      <c r="C36" s="149" t="s">
        <v>1432</v>
      </c>
      <c r="D36" s="584" t="s">
        <v>1683</v>
      </c>
    </row>
    <row r="37" spans="1:4">
      <c r="A37" s="359" t="s">
        <v>1737</v>
      </c>
      <c r="B37" s="359"/>
      <c r="C37" s="149" t="s">
        <v>1432</v>
      </c>
      <c r="D37" s="584" t="s">
        <v>1577</v>
      </c>
    </row>
    <row r="38" spans="1:4">
      <c r="A38" s="359" t="s">
        <v>1737</v>
      </c>
      <c r="B38" s="359"/>
      <c r="C38" s="149" t="s">
        <v>1432</v>
      </c>
      <c r="D38" s="584" t="s">
        <v>50</v>
      </c>
    </row>
    <row r="39" spans="1:4">
      <c r="A39" s="359" t="s">
        <v>1737</v>
      </c>
      <c r="B39" s="359"/>
      <c r="C39" s="149" t="s">
        <v>1432</v>
      </c>
      <c r="D39" s="584" t="s">
        <v>49</v>
      </c>
    </row>
    <row r="40" spans="1:4">
      <c r="A40" s="359" t="s">
        <v>1737</v>
      </c>
      <c r="B40" s="359"/>
      <c r="C40" s="149" t="s">
        <v>1720</v>
      </c>
      <c r="D40" s="598" t="s">
        <v>1923</v>
      </c>
    </row>
    <row r="41" spans="1:4">
      <c r="A41" s="359" t="s">
        <v>1737</v>
      </c>
      <c r="B41" s="359"/>
      <c r="C41" s="149" t="s">
        <v>1720</v>
      </c>
      <c r="D41" s="598" t="s">
        <v>1884</v>
      </c>
    </row>
    <row r="42" spans="1:4">
      <c r="A42" s="359" t="s">
        <v>1737</v>
      </c>
      <c r="B42" s="359"/>
      <c r="C42" s="149" t="s">
        <v>1720</v>
      </c>
      <c r="D42" s="598" t="s">
        <v>1739</v>
      </c>
    </row>
    <row r="43" spans="1:4">
      <c r="A43" s="359" t="s">
        <v>1737</v>
      </c>
      <c r="B43" s="359"/>
      <c r="C43" s="149" t="s">
        <v>1720</v>
      </c>
      <c r="D43" s="598" t="s">
        <v>1740</v>
      </c>
    </row>
    <row r="44" spans="1:4">
      <c r="A44" s="359" t="s">
        <v>1737</v>
      </c>
      <c r="B44" s="359"/>
      <c r="C44" s="149" t="s">
        <v>1720</v>
      </c>
      <c r="D44" s="608" t="s">
        <v>1902</v>
      </c>
    </row>
    <row r="45" spans="1:4">
      <c r="A45" s="359" t="s">
        <v>1737</v>
      </c>
      <c r="B45" s="359"/>
      <c r="C45" s="149" t="s">
        <v>1720</v>
      </c>
      <c r="D45" s="598" t="s">
        <v>1726</v>
      </c>
    </row>
    <row r="46" spans="1:4">
      <c r="A46" s="359" t="s">
        <v>1737</v>
      </c>
      <c r="B46" s="359"/>
      <c r="C46" s="149" t="s">
        <v>1720</v>
      </c>
      <c r="D46" s="598" t="s">
        <v>1741</v>
      </c>
    </row>
    <row r="47" spans="1:4">
      <c r="A47" s="359" t="s">
        <v>1737</v>
      </c>
      <c r="B47" s="359"/>
      <c r="C47" s="149" t="s">
        <v>1720</v>
      </c>
      <c r="D47" s="598" t="s">
        <v>1742</v>
      </c>
    </row>
    <row r="48" spans="1:4">
      <c r="A48" s="359" t="s">
        <v>1737</v>
      </c>
      <c r="B48" s="359"/>
      <c r="C48" s="149" t="s">
        <v>1720</v>
      </c>
      <c r="D48" s="581" t="s">
        <v>1743</v>
      </c>
    </row>
    <row r="49" spans="1:4">
      <c r="A49" s="359" t="s">
        <v>1737</v>
      </c>
      <c r="B49" s="359"/>
      <c r="C49" s="149" t="s">
        <v>1720</v>
      </c>
      <c r="D49" s="581" t="s">
        <v>1744</v>
      </c>
    </row>
    <row r="50" spans="1:4">
      <c r="A50" s="359" t="s">
        <v>1737</v>
      </c>
      <c r="B50" s="359"/>
      <c r="C50" s="149" t="s">
        <v>1720</v>
      </c>
      <c r="D50" s="581" t="s">
        <v>1745</v>
      </c>
    </row>
    <row r="51" spans="1:4">
      <c r="A51" s="359" t="s">
        <v>1737</v>
      </c>
      <c r="B51" s="359"/>
      <c r="C51" s="149" t="s">
        <v>1730</v>
      </c>
      <c r="D51" s="598" t="s">
        <v>1746</v>
      </c>
    </row>
    <row r="52" spans="1:4">
      <c r="A52" s="359" t="s">
        <v>1737</v>
      </c>
      <c r="B52" s="359"/>
      <c r="C52" s="149" t="s">
        <v>1730</v>
      </c>
      <c r="D52" s="598" t="s">
        <v>1747</v>
      </c>
    </row>
    <row r="53" spans="1:4">
      <c r="A53" s="359" t="s">
        <v>1737</v>
      </c>
      <c r="B53" s="359"/>
      <c r="C53" s="149" t="s">
        <v>1730</v>
      </c>
      <c r="D53" s="598" t="s">
        <v>1748</v>
      </c>
    </row>
    <row r="54" spans="1:4">
      <c r="A54" s="359" t="s">
        <v>1737</v>
      </c>
      <c r="B54" s="359"/>
      <c r="C54" s="149" t="s">
        <v>1730</v>
      </c>
      <c r="D54" s="598" t="s">
        <v>1318</v>
      </c>
    </row>
    <row r="55" spans="1:4">
      <c r="A55" s="359" t="s">
        <v>1737</v>
      </c>
      <c r="B55" s="359"/>
      <c r="C55" s="149" t="s">
        <v>1730</v>
      </c>
      <c r="D55" s="598" t="s">
        <v>1920</v>
      </c>
    </row>
    <row r="56" spans="1:4">
      <c r="A56" s="599" t="s">
        <v>767</v>
      </c>
      <c r="B56" s="599"/>
      <c r="C56" s="619" t="s">
        <v>1432</v>
      </c>
      <c r="D56" s="585" t="s">
        <v>45</v>
      </c>
    </row>
    <row r="57" spans="1:4">
      <c r="A57" s="599" t="s">
        <v>767</v>
      </c>
      <c r="B57" s="599"/>
      <c r="C57" s="619" t="s">
        <v>1432</v>
      </c>
      <c r="D57" s="585" t="s">
        <v>46</v>
      </c>
    </row>
    <row r="58" spans="1:4">
      <c r="A58" s="599" t="s">
        <v>767</v>
      </c>
      <c r="B58" s="599"/>
      <c r="C58" s="619" t="s">
        <v>1432</v>
      </c>
      <c r="D58" s="585" t="s">
        <v>47</v>
      </c>
    </row>
    <row r="59" spans="1:4">
      <c r="A59" s="599" t="s">
        <v>767</v>
      </c>
      <c r="B59" s="599"/>
      <c r="C59" s="619" t="s">
        <v>1432</v>
      </c>
      <c r="D59" s="585" t="s">
        <v>48</v>
      </c>
    </row>
    <row r="60" spans="1:4">
      <c r="A60" s="599" t="s">
        <v>767</v>
      </c>
      <c r="B60" s="599"/>
      <c r="C60" s="619" t="s">
        <v>1432</v>
      </c>
      <c r="D60" s="585" t="s">
        <v>42</v>
      </c>
    </row>
    <row r="61" spans="1:4">
      <c r="A61" s="599" t="s">
        <v>767</v>
      </c>
      <c r="B61" s="599"/>
      <c r="C61" s="619" t="s">
        <v>1432</v>
      </c>
      <c r="D61" s="585" t="s">
        <v>1749</v>
      </c>
    </row>
    <row r="62" spans="1:4">
      <c r="A62" s="599" t="s">
        <v>767</v>
      </c>
      <c r="B62" s="599"/>
      <c r="C62" s="619" t="s">
        <v>1720</v>
      </c>
      <c r="D62" s="599" t="s">
        <v>1738</v>
      </c>
    </row>
    <row r="63" spans="1:4">
      <c r="A63" s="599" t="s">
        <v>767</v>
      </c>
      <c r="B63" s="599"/>
      <c r="C63" s="619" t="s">
        <v>1720</v>
      </c>
      <c r="D63" s="599" t="s">
        <v>1750</v>
      </c>
    </row>
    <row r="64" spans="1:4">
      <c r="A64" s="599" t="s">
        <v>767</v>
      </c>
      <c r="B64" s="599"/>
      <c r="C64" s="619" t="s">
        <v>1720</v>
      </c>
      <c r="D64" s="599" t="s">
        <v>1751</v>
      </c>
    </row>
    <row r="65" spans="1:4">
      <c r="A65" s="599" t="s">
        <v>767</v>
      </c>
      <c r="B65" s="599"/>
      <c r="C65" s="619" t="s">
        <v>1720</v>
      </c>
      <c r="D65" s="599" t="s">
        <v>1752</v>
      </c>
    </row>
    <row r="66" spans="1:4">
      <c r="A66" s="599" t="s">
        <v>767</v>
      </c>
      <c r="B66" s="599"/>
      <c r="C66" s="619" t="s">
        <v>1720</v>
      </c>
      <c r="D66" s="586" t="s">
        <v>1753</v>
      </c>
    </row>
    <row r="67" spans="1:4">
      <c r="A67" s="599" t="s">
        <v>767</v>
      </c>
      <c r="B67" s="599"/>
      <c r="C67" s="619" t="s">
        <v>1720</v>
      </c>
      <c r="D67" s="586" t="s">
        <v>1754</v>
      </c>
    </row>
    <row r="68" spans="1:4">
      <c r="A68" s="599" t="s">
        <v>767</v>
      </c>
      <c r="B68" s="599"/>
      <c r="C68" s="619" t="s">
        <v>1720</v>
      </c>
      <c r="D68" s="586" t="s">
        <v>1755</v>
      </c>
    </row>
    <row r="69" spans="1:4">
      <c r="A69" s="599" t="s">
        <v>767</v>
      </c>
      <c r="B69" s="599"/>
      <c r="C69" s="619" t="s">
        <v>1720</v>
      </c>
      <c r="D69" s="599" t="s">
        <v>1756</v>
      </c>
    </row>
    <row r="70" spans="1:4">
      <c r="A70" s="599" t="s">
        <v>767</v>
      </c>
      <c r="B70" s="599"/>
      <c r="C70" s="619" t="s">
        <v>1720</v>
      </c>
      <c r="D70" s="599" t="s">
        <v>1757</v>
      </c>
    </row>
    <row r="71" spans="1:4">
      <c r="A71" s="599" t="s">
        <v>767</v>
      </c>
      <c r="B71" s="599"/>
      <c r="C71" s="619" t="s">
        <v>1720</v>
      </c>
      <c r="D71" s="599" t="s">
        <v>1740</v>
      </c>
    </row>
    <row r="72" spans="1:4">
      <c r="A72" s="599" t="s">
        <v>767</v>
      </c>
      <c r="B72" s="599"/>
      <c r="C72" s="619" t="s">
        <v>1720</v>
      </c>
      <c r="D72" s="608" t="s">
        <v>1902</v>
      </c>
    </row>
    <row r="73" spans="1:4">
      <c r="A73" s="599" t="s">
        <v>767</v>
      </c>
      <c r="B73" s="599"/>
      <c r="C73" s="619" t="s">
        <v>1720</v>
      </c>
      <c r="D73" s="599" t="s">
        <v>1758</v>
      </c>
    </row>
    <row r="74" spans="1:4">
      <c r="A74" s="599" t="s">
        <v>767</v>
      </c>
      <c r="B74" s="599"/>
      <c r="C74" s="619" t="s">
        <v>1720</v>
      </c>
      <c r="D74" s="599" t="s">
        <v>1759</v>
      </c>
    </row>
    <row r="75" spans="1:4">
      <c r="A75" s="599" t="s">
        <v>767</v>
      </c>
      <c r="B75" s="599"/>
      <c r="C75" s="619" t="s">
        <v>1720</v>
      </c>
      <c r="D75" s="599" t="s">
        <v>1760</v>
      </c>
    </row>
    <row r="76" spans="1:4">
      <c r="A76" s="599" t="s">
        <v>767</v>
      </c>
      <c r="B76" s="599"/>
      <c r="C76" s="619" t="s">
        <v>1720</v>
      </c>
      <c r="D76" s="599" t="s">
        <v>1761</v>
      </c>
    </row>
    <row r="77" spans="1:4">
      <c r="A77" s="599" t="s">
        <v>767</v>
      </c>
      <c r="B77" s="599"/>
      <c r="C77" s="619" t="s">
        <v>1730</v>
      </c>
      <c r="D77" s="599" t="s">
        <v>1284</v>
      </c>
    </row>
    <row r="78" spans="1:4">
      <c r="A78" s="599" t="s">
        <v>767</v>
      </c>
      <c r="B78" s="599"/>
      <c r="C78" s="619" t="s">
        <v>1730</v>
      </c>
      <c r="D78" s="586" t="s">
        <v>1731</v>
      </c>
    </row>
    <row r="79" spans="1:4">
      <c r="A79" s="599" t="s">
        <v>767</v>
      </c>
      <c r="B79" s="599"/>
      <c r="C79" s="619" t="s">
        <v>1730</v>
      </c>
      <c r="D79" s="586" t="s">
        <v>1732</v>
      </c>
    </row>
    <row r="80" spans="1:4">
      <c r="A80" s="599" t="s">
        <v>767</v>
      </c>
      <c r="B80" s="599"/>
      <c r="C80" s="619" t="s">
        <v>1730</v>
      </c>
      <c r="D80" s="599" t="s">
        <v>1762</v>
      </c>
    </row>
    <row r="81" spans="1:4">
      <c r="A81" s="591" t="s">
        <v>1828</v>
      </c>
      <c r="B81" s="591"/>
      <c r="C81" s="619" t="s">
        <v>1730</v>
      </c>
      <c r="D81" s="583" t="s">
        <v>1912</v>
      </c>
    </row>
    <row r="82" spans="1:4">
      <c r="A82" s="599" t="s">
        <v>767</v>
      </c>
      <c r="B82" s="599"/>
      <c r="C82" s="619" t="s">
        <v>1730</v>
      </c>
      <c r="D82" s="599" t="s">
        <v>71</v>
      </c>
    </row>
    <row r="83" spans="1:4">
      <c r="A83" s="599" t="s">
        <v>767</v>
      </c>
      <c r="B83" s="599"/>
      <c r="C83" s="619" t="s">
        <v>1730</v>
      </c>
      <c r="D83" s="586" t="s">
        <v>1763</v>
      </c>
    </row>
    <row r="84" spans="1:4">
      <c r="A84" s="599" t="s">
        <v>767</v>
      </c>
      <c r="B84" s="599"/>
      <c r="C84" s="619" t="s">
        <v>1730</v>
      </c>
      <c r="D84" s="587" t="s">
        <v>1916</v>
      </c>
    </row>
    <row r="85" spans="1:4">
      <c r="A85" s="599" t="s">
        <v>767</v>
      </c>
      <c r="B85" s="599"/>
      <c r="C85" s="619" t="s">
        <v>1730</v>
      </c>
      <c r="D85" s="586" t="s">
        <v>631</v>
      </c>
    </row>
    <row r="86" spans="1:4">
      <c r="A86" s="599" t="s">
        <v>767</v>
      </c>
      <c r="B86" s="599"/>
      <c r="C86" s="619" t="s">
        <v>1730</v>
      </c>
      <c r="D86" s="585" t="s">
        <v>632</v>
      </c>
    </row>
    <row r="87" spans="1:4">
      <c r="A87" s="599" t="s">
        <v>767</v>
      </c>
      <c r="B87" s="599"/>
      <c r="C87" s="619" t="s">
        <v>1730</v>
      </c>
      <c r="D87" s="586" t="s">
        <v>1764</v>
      </c>
    </row>
    <row r="88" spans="1:4">
      <c r="A88" s="599" t="s">
        <v>767</v>
      </c>
      <c r="B88" s="599"/>
      <c r="C88" s="619" t="s">
        <v>1730</v>
      </c>
      <c r="D88" s="599" t="s">
        <v>1746</v>
      </c>
    </row>
    <row r="89" spans="1:4">
      <c r="A89" s="599" t="s">
        <v>767</v>
      </c>
      <c r="B89" s="599"/>
      <c r="C89" s="619" t="s">
        <v>1730</v>
      </c>
      <c r="D89" s="599" t="s">
        <v>1765</v>
      </c>
    </row>
    <row r="90" spans="1:4">
      <c r="A90" s="599" t="s">
        <v>767</v>
      </c>
      <c r="B90" s="599"/>
      <c r="C90" s="619" t="s">
        <v>1730</v>
      </c>
      <c r="D90" s="599" t="s">
        <v>1766</v>
      </c>
    </row>
    <row r="91" spans="1:4">
      <c r="A91" s="599" t="s">
        <v>767</v>
      </c>
      <c r="B91" s="599"/>
      <c r="C91" s="619" t="s">
        <v>1730</v>
      </c>
      <c r="D91" s="599" t="s">
        <v>1767</v>
      </c>
    </row>
    <row r="92" spans="1:4">
      <c r="A92" s="599" t="s">
        <v>767</v>
      </c>
      <c r="B92" s="599"/>
      <c r="C92" s="619" t="s">
        <v>1730</v>
      </c>
      <c r="D92" s="599" t="s">
        <v>1768</v>
      </c>
    </row>
    <row r="93" spans="1:4">
      <c r="A93" s="599" t="s">
        <v>767</v>
      </c>
      <c r="B93" s="599"/>
      <c r="C93" s="619" t="s">
        <v>1730</v>
      </c>
      <c r="D93" s="599" t="s">
        <v>621</v>
      </c>
    </row>
    <row r="94" spans="1:4">
      <c r="A94" s="599" t="s">
        <v>767</v>
      </c>
      <c r="B94" s="599"/>
      <c r="C94" s="619" t="s">
        <v>1730</v>
      </c>
      <c r="D94" s="599" t="s">
        <v>1380</v>
      </c>
    </row>
    <row r="95" spans="1:4">
      <c r="A95" s="599" t="s">
        <v>767</v>
      </c>
      <c r="B95" s="599"/>
      <c r="C95" s="619" t="s">
        <v>1730</v>
      </c>
      <c r="D95" s="599" t="s">
        <v>1769</v>
      </c>
    </row>
    <row r="96" spans="1:4">
      <c r="A96" s="599" t="s">
        <v>767</v>
      </c>
      <c r="B96" s="599"/>
      <c r="C96" s="619" t="s">
        <v>1730</v>
      </c>
      <c r="D96" s="599" t="s">
        <v>1621</v>
      </c>
    </row>
    <row r="97" spans="1:4">
      <c r="A97" s="599" t="s">
        <v>767</v>
      </c>
      <c r="B97" s="599"/>
      <c r="C97" s="619" t="s">
        <v>1730</v>
      </c>
      <c r="D97" s="587" t="s">
        <v>505</v>
      </c>
    </row>
    <row r="98" spans="1:4">
      <c r="A98" s="599" t="s">
        <v>767</v>
      </c>
      <c r="B98" s="599"/>
      <c r="C98" s="619" t="s">
        <v>1730</v>
      </c>
      <c r="D98" s="587" t="s">
        <v>506</v>
      </c>
    </row>
    <row r="99" spans="1:4">
      <c r="A99" s="599" t="s">
        <v>767</v>
      </c>
      <c r="B99" s="599"/>
      <c r="C99" s="619" t="s">
        <v>1730</v>
      </c>
      <c r="D99" s="587" t="s">
        <v>507</v>
      </c>
    </row>
    <row r="100" spans="1:4">
      <c r="A100" s="599" t="s">
        <v>767</v>
      </c>
      <c r="B100" s="599"/>
      <c r="C100" s="619" t="s">
        <v>1730</v>
      </c>
      <c r="D100" s="587" t="s">
        <v>538</v>
      </c>
    </row>
    <row r="101" spans="1:4">
      <c r="A101" s="599" t="s">
        <v>767</v>
      </c>
      <c r="B101" s="599"/>
      <c r="C101" s="619" t="s">
        <v>1730</v>
      </c>
      <c r="D101" s="587" t="s">
        <v>508</v>
      </c>
    </row>
    <row r="102" spans="1:4">
      <c r="A102" s="599" t="s">
        <v>767</v>
      </c>
      <c r="B102" s="599"/>
      <c r="C102" s="619" t="s">
        <v>1730</v>
      </c>
      <c r="D102" s="587" t="s">
        <v>1069</v>
      </c>
    </row>
    <row r="103" spans="1:4">
      <c r="A103" s="599" t="s">
        <v>767</v>
      </c>
      <c r="B103" s="599"/>
      <c r="C103" s="619" t="s">
        <v>1730</v>
      </c>
      <c r="D103" s="605" t="s">
        <v>1620</v>
      </c>
    </row>
    <row r="104" spans="1:4">
      <c r="A104" s="599" t="s">
        <v>767</v>
      </c>
      <c r="B104" s="599"/>
      <c r="C104" s="619" t="s">
        <v>1730</v>
      </c>
      <c r="D104" s="600" t="s">
        <v>1617</v>
      </c>
    </row>
    <row r="105" spans="1:4">
      <c r="A105" s="599" t="s">
        <v>767</v>
      </c>
      <c r="B105" s="599"/>
      <c r="C105" s="619" t="s">
        <v>1730</v>
      </c>
      <c r="D105" s="606" t="s">
        <v>1618</v>
      </c>
    </row>
    <row r="106" spans="1:4">
      <c r="A106" s="599" t="s">
        <v>767</v>
      </c>
      <c r="B106" s="599"/>
      <c r="C106" s="619" t="s">
        <v>1730</v>
      </c>
      <c r="D106" s="588"/>
    </row>
    <row r="107" spans="1:4">
      <c r="A107" s="599" t="s">
        <v>767</v>
      </c>
      <c r="B107" s="599"/>
      <c r="C107" s="619" t="s">
        <v>1730</v>
      </c>
      <c r="D107" s="599" t="s">
        <v>1649</v>
      </c>
    </row>
    <row r="108" spans="1:4">
      <c r="A108" s="599" t="s">
        <v>767</v>
      </c>
      <c r="B108" s="599"/>
      <c r="C108" s="619" t="s">
        <v>1730</v>
      </c>
      <c r="D108" s="599" t="s">
        <v>1643</v>
      </c>
    </row>
    <row r="109" spans="1:4">
      <c r="A109" s="599" t="s">
        <v>767</v>
      </c>
      <c r="B109" s="599"/>
      <c r="C109" s="619" t="s">
        <v>1730</v>
      </c>
      <c r="D109" s="587" t="s">
        <v>509</v>
      </c>
    </row>
    <row r="110" spans="1:4">
      <c r="A110" s="599" t="s">
        <v>767</v>
      </c>
      <c r="B110" s="599"/>
      <c r="C110" s="619" t="s">
        <v>1730</v>
      </c>
      <c r="D110" s="588" t="s">
        <v>1917</v>
      </c>
    </row>
    <row r="111" spans="1:4">
      <c r="A111" s="599" t="s">
        <v>767</v>
      </c>
      <c r="B111" s="599"/>
      <c r="C111" s="619" t="s">
        <v>1730</v>
      </c>
      <c r="D111" s="599" t="s">
        <v>1649</v>
      </c>
    </row>
    <row r="112" spans="1:4">
      <c r="A112" s="599" t="s">
        <v>1770</v>
      </c>
      <c r="B112" s="599"/>
      <c r="C112" s="619" t="s">
        <v>1432</v>
      </c>
      <c r="D112" s="585" t="s">
        <v>892</v>
      </c>
    </row>
    <row r="113" spans="1:4">
      <c r="A113" s="599" t="s">
        <v>1770</v>
      </c>
      <c r="B113" s="599"/>
      <c r="C113" s="619" t="s">
        <v>1432</v>
      </c>
      <c r="D113" s="585" t="s">
        <v>1771</v>
      </c>
    </row>
    <row r="114" spans="1:4">
      <c r="A114" s="599" t="s">
        <v>1770</v>
      </c>
      <c r="B114" s="599"/>
      <c r="C114" s="619" t="s">
        <v>1432</v>
      </c>
      <c r="D114" s="585" t="s">
        <v>39</v>
      </c>
    </row>
    <row r="115" spans="1:4">
      <c r="A115" s="599" t="s">
        <v>1770</v>
      </c>
      <c r="B115" s="599"/>
      <c r="C115" s="619" t="s">
        <v>1432</v>
      </c>
      <c r="D115" s="585" t="s">
        <v>895</v>
      </c>
    </row>
    <row r="116" spans="1:4">
      <c r="A116" s="599" t="s">
        <v>1770</v>
      </c>
      <c r="B116" s="599"/>
      <c r="C116" s="619" t="s">
        <v>1432</v>
      </c>
      <c r="D116" s="585" t="s">
        <v>1772</v>
      </c>
    </row>
    <row r="117" spans="1:4">
      <c r="A117" s="599" t="s">
        <v>1770</v>
      </c>
      <c r="B117" s="599"/>
      <c r="C117" s="619" t="s">
        <v>1432</v>
      </c>
      <c r="D117" s="585" t="s">
        <v>1773</v>
      </c>
    </row>
    <row r="118" spans="1:4">
      <c r="A118" s="599" t="s">
        <v>1770</v>
      </c>
      <c r="B118" s="599"/>
      <c r="C118" s="619" t="s">
        <v>1432</v>
      </c>
      <c r="D118" s="599" t="s">
        <v>889</v>
      </c>
    </row>
    <row r="119" spans="1:4">
      <c r="A119" s="599" t="s">
        <v>1770</v>
      </c>
      <c r="B119" s="599"/>
      <c r="C119" s="619" t="s">
        <v>1432</v>
      </c>
      <c r="D119" s="599" t="s">
        <v>1684</v>
      </c>
    </row>
    <row r="120" spans="1:4">
      <c r="A120" s="599" t="s">
        <v>1770</v>
      </c>
      <c r="B120" s="599"/>
      <c r="C120" s="619" t="s">
        <v>1432</v>
      </c>
      <c r="D120" s="599" t="s">
        <v>896</v>
      </c>
    </row>
    <row r="121" spans="1:4">
      <c r="A121" s="599" t="s">
        <v>1770</v>
      </c>
      <c r="B121" s="599"/>
      <c r="C121" s="619" t="s">
        <v>1432</v>
      </c>
      <c r="D121" s="599" t="s">
        <v>1774</v>
      </c>
    </row>
    <row r="122" spans="1:4">
      <c r="A122" s="599" t="s">
        <v>1770</v>
      </c>
      <c r="B122" s="599"/>
      <c r="C122" s="619" t="s">
        <v>1720</v>
      </c>
      <c r="D122" s="599" t="s">
        <v>1775</v>
      </c>
    </row>
    <row r="123" spans="1:4">
      <c r="A123" s="599" t="s">
        <v>1770</v>
      </c>
      <c r="B123" s="599"/>
      <c r="C123" s="619" t="s">
        <v>1720</v>
      </c>
      <c r="D123" s="599" t="s">
        <v>1776</v>
      </c>
    </row>
    <row r="124" spans="1:4">
      <c r="A124" s="599" t="s">
        <v>1770</v>
      </c>
      <c r="B124" s="599"/>
      <c r="C124" s="619" t="s">
        <v>1720</v>
      </c>
      <c r="D124" s="599" t="s">
        <v>1777</v>
      </c>
    </row>
    <row r="125" spans="1:4">
      <c r="A125" s="599" t="s">
        <v>1770</v>
      </c>
      <c r="B125" s="599"/>
      <c r="C125" s="619" t="s">
        <v>1720</v>
      </c>
      <c r="D125" s="599" t="s">
        <v>1778</v>
      </c>
    </row>
    <row r="126" spans="1:4">
      <c r="A126" s="599" t="s">
        <v>1770</v>
      </c>
      <c r="B126" s="599"/>
      <c r="C126" s="619" t="s">
        <v>1720</v>
      </c>
      <c r="D126" s="599" t="s">
        <v>1779</v>
      </c>
    </row>
    <row r="127" spans="1:4">
      <c r="A127" s="599" t="s">
        <v>1770</v>
      </c>
      <c r="B127" s="599"/>
      <c r="C127" s="619" t="s">
        <v>1720</v>
      </c>
      <c r="D127" s="599" t="s">
        <v>1780</v>
      </c>
    </row>
    <row r="128" spans="1:4">
      <c r="A128" s="599" t="s">
        <v>1770</v>
      </c>
      <c r="B128" s="599"/>
      <c r="C128" s="619" t="s">
        <v>1720</v>
      </c>
      <c r="D128" s="581" t="s">
        <v>1781</v>
      </c>
    </row>
    <row r="129" spans="1:4">
      <c r="A129" s="599" t="s">
        <v>1770</v>
      </c>
      <c r="B129" s="599"/>
      <c r="C129" s="619" t="s">
        <v>1720</v>
      </c>
      <c r="D129" s="581" t="s">
        <v>1782</v>
      </c>
    </row>
    <row r="130" spans="1:4">
      <c r="A130" s="599" t="s">
        <v>1770</v>
      </c>
      <c r="B130" s="599"/>
      <c r="C130" s="619" t="s">
        <v>1720</v>
      </c>
      <c r="D130" s="581" t="s">
        <v>1783</v>
      </c>
    </row>
    <row r="131" spans="1:4">
      <c r="A131" s="599" t="s">
        <v>1770</v>
      </c>
      <c r="B131" s="599"/>
      <c r="C131" s="619" t="s">
        <v>1720</v>
      </c>
      <c r="D131" s="599" t="s">
        <v>1924</v>
      </c>
    </row>
    <row r="132" spans="1:4">
      <c r="A132" s="599" t="s">
        <v>1770</v>
      </c>
      <c r="B132" s="599"/>
      <c r="C132" s="619" t="s">
        <v>1720</v>
      </c>
      <c r="D132" s="581" t="s">
        <v>1784</v>
      </c>
    </row>
    <row r="133" spans="1:4">
      <c r="A133" s="599" t="s">
        <v>1770</v>
      </c>
      <c r="B133" s="599"/>
      <c r="C133" s="619" t="s">
        <v>1720</v>
      </c>
      <c r="D133" s="581" t="s">
        <v>1785</v>
      </c>
    </row>
    <row r="134" spans="1:4">
      <c r="A134" s="599" t="s">
        <v>1770</v>
      </c>
      <c r="B134" s="599"/>
      <c r="C134" s="619" t="s">
        <v>1720</v>
      </c>
      <c r="D134" s="581" t="s">
        <v>1786</v>
      </c>
    </row>
    <row r="135" spans="1:4">
      <c r="A135" s="599" t="s">
        <v>1770</v>
      </c>
      <c r="B135" s="599"/>
      <c r="C135" s="619" t="s">
        <v>1720</v>
      </c>
      <c r="D135" s="581" t="s">
        <v>1787</v>
      </c>
    </row>
    <row r="136" spans="1:4">
      <c r="A136" s="599" t="s">
        <v>1770</v>
      </c>
      <c r="B136" s="599"/>
      <c r="C136" s="619" t="s">
        <v>1730</v>
      </c>
      <c r="D136" s="601" t="s">
        <v>1274</v>
      </c>
    </row>
    <row r="137" spans="1:4">
      <c r="A137" s="599" t="s">
        <v>1770</v>
      </c>
      <c r="B137" s="599"/>
      <c r="C137" s="619" t="s">
        <v>1730</v>
      </c>
      <c r="D137" s="587" t="s">
        <v>17</v>
      </c>
    </row>
    <row r="138" spans="1:4">
      <c r="A138" s="599" t="s">
        <v>1770</v>
      </c>
      <c r="B138" s="599"/>
      <c r="C138" s="619" t="s">
        <v>1730</v>
      </c>
      <c r="D138" s="587" t="s">
        <v>18</v>
      </c>
    </row>
    <row r="139" spans="1:4">
      <c r="A139" s="599" t="s">
        <v>1770</v>
      </c>
      <c r="B139" s="599"/>
      <c r="C139" s="619" t="s">
        <v>1730</v>
      </c>
      <c r="D139" s="587" t="s">
        <v>515</v>
      </c>
    </row>
    <row r="140" spans="1:4">
      <c r="A140" s="599" t="s">
        <v>1770</v>
      </c>
      <c r="B140" s="599"/>
      <c r="C140" s="619" t="s">
        <v>1730</v>
      </c>
      <c r="D140" s="587" t="s">
        <v>1788</v>
      </c>
    </row>
    <row r="141" spans="1:4">
      <c r="A141" s="599" t="s">
        <v>1770</v>
      </c>
      <c r="B141" s="599"/>
      <c r="C141" s="619" t="s">
        <v>1730</v>
      </c>
      <c r="D141" s="587" t="s">
        <v>239</v>
      </c>
    </row>
    <row r="142" spans="1:4">
      <c r="A142" s="599" t="s">
        <v>1770</v>
      </c>
      <c r="B142" s="599"/>
      <c r="C142" s="619" t="s">
        <v>1730</v>
      </c>
      <c r="D142" s="606" t="s">
        <v>1632</v>
      </c>
    </row>
    <row r="143" spans="1:4">
      <c r="A143" s="599" t="s">
        <v>1770</v>
      </c>
      <c r="B143" s="599"/>
      <c r="C143" s="619" t="s">
        <v>1730</v>
      </c>
      <c r="D143" s="599" t="s">
        <v>357</v>
      </c>
    </row>
    <row r="144" spans="1:4">
      <c r="A144" s="599" t="s">
        <v>1770</v>
      </c>
      <c r="B144" s="599"/>
      <c r="C144" s="619" t="s">
        <v>1730</v>
      </c>
      <c r="D144" s="599" t="s">
        <v>1789</v>
      </c>
    </row>
    <row r="145" spans="1:4">
      <c r="A145" s="598" t="s">
        <v>1790</v>
      </c>
      <c r="B145" s="598"/>
      <c r="C145" s="619" t="s">
        <v>1432</v>
      </c>
      <c r="D145" s="590" t="s">
        <v>54</v>
      </c>
    </row>
    <row r="146" spans="1:4">
      <c r="A146" s="598" t="s">
        <v>1790</v>
      </c>
      <c r="B146" s="598"/>
      <c r="C146" s="619" t="s">
        <v>1432</v>
      </c>
      <c r="D146" s="590" t="s">
        <v>35</v>
      </c>
    </row>
    <row r="147" spans="1:4">
      <c r="A147" s="598" t="s">
        <v>1790</v>
      </c>
      <c r="B147" s="598"/>
      <c r="C147" s="619" t="s">
        <v>1432</v>
      </c>
      <c r="D147" s="590" t="s">
        <v>1791</v>
      </c>
    </row>
    <row r="148" spans="1:4">
      <c r="A148" s="598" t="s">
        <v>1790</v>
      </c>
      <c r="B148" s="598"/>
      <c r="C148" s="619" t="s">
        <v>1432</v>
      </c>
      <c r="D148" s="590" t="s">
        <v>1792</v>
      </c>
    </row>
    <row r="149" spans="1:4">
      <c r="A149" s="598" t="s">
        <v>1790</v>
      </c>
      <c r="B149" s="598"/>
      <c r="C149" s="619" t="s">
        <v>1432</v>
      </c>
      <c r="D149" s="590" t="s">
        <v>1793</v>
      </c>
    </row>
    <row r="150" spans="1:4">
      <c r="A150" s="598" t="s">
        <v>1790</v>
      </c>
      <c r="B150" s="598"/>
      <c r="C150" s="619" t="s">
        <v>1432</v>
      </c>
      <c r="D150" s="590" t="s">
        <v>1794</v>
      </c>
    </row>
    <row r="151" spans="1:4">
      <c r="A151" s="598" t="s">
        <v>1790</v>
      </c>
      <c r="B151" s="598"/>
      <c r="C151" s="619" t="s">
        <v>1432</v>
      </c>
      <c r="D151" s="590" t="s">
        <v>1795</v>
      </c>
    </row>
    <row r="152" spans="1:4">
      <c r="A152" s="598" t="s">
        <v>1790</v>
      </c>
      <c r="B152" s="598"/>
      <c r="C152" s="619" t="s">
        <v>1432</v>
      </c>
      <c r="D152" s="589" t="s">
        <v>784</v>
      </c>
    </row>
    <row r="153" spans="1:4">
      <c r="A153" s="598" t="s">
        <v>1790</v>
      </c>
      <c r="B153" s="598"/>
      <c r="C153" s="619" t="s">
        <v>1432</v>
      </c>
      <c r="D153" s="589" t="s">
        <v>1662</v>
      </c>
    </row>
    <row r="154" spans="1:4">
      <c r="A154" s="598" t="s">
        <v>1790</v>
      </c>
      <c r="B154" s="598"/>
      <c r="C154" s="619" t="s">
        <v>1432</v>
      </c>
      <c r="D154" s="590" t="s">
        <v>37</v>
      </c>
    </row>
    <row r="155" spans="1:4">
      <c r="A155" s="598" t="s">
        <v>1790</v>
      </c>
      <c r="B155" s="598"/>
      <c r="C155" s="619" t="s">
        <v>1432</v>
      </c>
      <c r="D155" s="590" t="s">
        <v>36</v>
      </c>
    </row>
    <row r="156" spans="1:4">
      <c r="A156" s="598" t="s">
        <v>1790</v>
      </c>
      <c r="B156" s="598"/>
      <c r="C156" s="619" t="s">
        <v>1432</v>
      </c>
      <c r="D156" s="589" t="s">
        <v>1796</v>
      </c>
    </row>
    <row r="157" spans="1:4">
      <c r="A157" s="598" t="s">
        <v>1790</v>
      </c>
      <c r="B157" s="598"/>
      <c r="C157" s="619" t="s">
        <v>1720</v>
      </c>
      <c r="D157" s="589" t="s">
        <v>1797</v>
      </c>
    </row>
    <row r="158" spans="1:4">
      <c r="A158" s="598" t="s">
        <v>1790</v>
      </c>
      <c r="B158" s="598"/>
      <c r="C158" s="619" t="s">
        <v>1720</v>
      </c>
      <c r="D158" s="589" t="s">
        <v>1908</v>
      </c>
    </row>
    <row r="159" spans="1:4">
      <c r="A159" s="598" t="s">
        <v>1790</v>
      </c>
      <c r="B159" s="598"/>
      <c r="C159" s="619" t="s">
        <v>1720</v>
      </c>
      <c r="D159" s="589" t="s">
        <v>1909</v>
      </c>
    </row>
    <row r="160" spans="1:4">
      <c r="A160" s="598" t="s">
        <v>1790</v>
      </c>
      <c r="B160" s="598"/>
      <c r="C160" s="619" t="s">
        <v>1720</v>
      </c>
      <c r="D160" s="589" t="s">
        <v>1798</v>
      </c>
    </row>
    <row r="161" spans="1:4">
      <c r="A161" s="598" t="s">
        <v>1790</v>
      </c>
      <c r="B161" s="598"/>
      <c r="C161" s="619" t="s">
        <v>1720</v>
      </c>
      <c r="D161" s="589" t="s">
        <v>1799</v>
      </c>
    </row>
    <row r="162" spans="1:4">
      <c r="A162" s="598" t="s">
        <v>1790</v>
      </c>
      <c r="B162" s="598"/>
      <c r="C162" s="619" t="s">
        <v>1720</v>
      </c>
      <c r="D162" s="589" t="s">
        <v>1800</v>
      </c>
    </row>
    <row r="163" spans="1:4">
      <c r="A163" s="598" t="s">
        <v>1790</v>
      </c>
      <c r="B163" s="598"/>
      <c r="C163" s="619" t="s">
        <v>1720</v>
      </c>
      <c r="D163" s="589" t="s">
        <v>1663</v>
      </c>
    </row>
    <row r="164" spans="1:4">
      <c r="A164" s="598" t="s">
        <v>1790</v>
      </c>
      <c r="B164" s="598"/>
      <c r="C164" s="619" t="s">
        <v>1720</v>
      </c>
      <c r="D164" s="589" t="s">
        <v>1801</v>
      </c>
    </row>
    <row r="165" spans="1:4">
      <c r="A165" s="598" t="s">
        <v>1790</v>
      </c>
      <c r="B165" s="598"/>
      <c r="C165" s="619" t="s">
        <v>1720</v>
      </c>
      <c r="D165" s="589" t="s">
        <v>1802</v>
      </c>
    </row>
    <row r="166" spans="1:4">
      <c r="A166" s="598" t="s">
        <v>1790</v>
      </c>
      <c r="B166" s="598"/>
      <c r="C166" s="619" t="s">
        <v>1720</v>
      </c>
      <c r="D166" s="581" t="s">
        <v>1803</v>
      </c>
    </row>
    <row r="167" spans="1:4">
      <c r="A167" s="598" t="s">
        <v>1790</v>
      </c>
      <c r="B167" s="598"/>
      <c r="C167" s="619" t="s">
        <v>1720</v>
      </c>
      <c r="D167" s="581" t="s">
        <v>1804</v>
      </c>
    </row>
    <row r="168" spans="1:4">
      <c r="A168" s="598" t="s">
        <v>1790</v>
      </c>
      <c r="B168" s="598"/>
      <c r="C168" s="619" t="s">
        <v>1720</v>
      </c>
      <c r="D168" s="589" t="s">
        <v>1805</v>
      </c>
    </row>
    <row r="169" spans="1:4">
      <c r="A169" s="598" t="s">
        <v>1790</v>
      </c>
      <c r="B169" s="598"/>
      <c r="C169" s="619" t="s">
        <v>1720</v>
      </c>
      <c r="D169" s="589" t="s">
        <v>1806</v>
      </c>
    </row>
    <row r="170" spans="1:4">
      <c r="A170" s="598" t="s">
        <v>1790</v>
      </c>
      <c r="B170" s="598"/>
      <c r="C170" s="619" t="s">
        <v>1720</v>
      </c>
      <c r="D170" s="589" t="s">
        <v>1807</v>
      </c>
    </row>
    <row r="171" spans="1:4">
      <c r="A171" s="598" t="s">
        <v>1790</v>
      </c>
      <c r="B171" s="598"/>
      <c r="C171" s="619" t="s">
        <v>1720</v>
      </c>
      <c r="D171" s="589" t="s">
        <v>1900</v>
      </c>
    </row>
    <row r="172" spans="1:4">
      <c r="A172" s="598" t="s">
        <v>1790</v>
      </c>
      <c r="B172" s="598"/>
      <c r="C172" s="619" t="s">
        <v>1730</v>
      </c>
      <c r="D172" s="590" t="s">
        <v>1808</v>
      </c>
    </row>
    <row r="173" spans="1:4">
      <c r="A173" s="598" t="s">
        <v>1790</v>
      </c>
      <c r="B173" s="598"/>
      <c r="C173" s="619" t="s">
        <v>1730</v>
      </c>
      <c r="D173" s="590" t="s">
        <v>1809</v>
      </c>
    </row>
    <row r="174" spans="1:4">
      <c r="A174" s="598" t="s">
        <v>1790</v>
      </c>
      <c r="B174" s="598"/>
      <c r="C174" s="619" t="s">
        <v>1730</v>
      </c>
      <c r="D174" s="590" t="s">
        <v>1810</v>
      </c>
    </row>
    <row r="175" spans="1:4">
      <c r="A175" s="598" t="s">
        <v>1790</v>
      </c>
      <c r="B175" s="598"/>
      <c r="C175" s="619" t="s">
        <v>1730</v>
      </c>
      <c r="D175" s="588" t="s">
        <v>1210</v>
      </c>
    </row>
    <row r="176" spans="1:4">
      <c r="A176" s="598" t="s">
        <v>1790</v>
      </c>
      <c r="B176" s="598"/>
      <c r="C176" s="619" t="s">
        <v>1730</v>
      </c>
      <c r="D176" s="588" t="s">
        <v>1378</v>
      </c>
    </row>
    <row r="177" spans="1:4">
      <c r="A177" s="598" t="s">
        <v>1790</v>
      </c>
      <c r="B177" s="598"/>
      <c r="C177" s="619" t="s">
        <v>1730</v>
      </c>
      <c r="D177" s="589" t="s">
        <v>1238</v>
      </c>
    </row>
    <row r="178" spans="1:4">
      <c r="A178" s="598" t="s">
        <v>1790</v>
      </c>
      <c r="B178" s="598"/>
      <c r="C178" s="619" t="s">
        <v>1730</v>
      </c>
      <c r="D178" s="589" t="s">
        <v>1656</v>
      </c>
    </row>
    <row r="179" spans="1:4">
      <c r="A179" s="598" t="s">
        <v>1790</v>
      </c>
      <c r="B179" s="598"/>
      <c r="C179" s="619" t="s">
        <v>1730</v>
      </c>
      <c r="D179" s="590" t="s">
        <v>209</v>
      </c>
    </row>
    <row r="180" spans="1:4">
      <c r="A180" s="598" t="s">
        <v>1790</v>
      </c>
      <c r="B180" s="598"/>
      <c r="C180" s="619" t="s">
        <v>1730</v>
      </c>
      <c r="D180" s="590" t="s">
        <v>525</v>
      </c>
    </row>
    <row r="181" spans="1:4">
      <c r="A181" s="598" t="s">
        <v>1790</v>
      </c>
      <c r="B181" s="598"/>
      <c r="C181" s="619" t="s">
        <v>1730</v>
      </c>
      <c r="D181" s="590" t="s">
        <v>536</v>
      </c>
    </row>
    <row r="182" spans="1:4">
      <c r="A182" s="598" t="s">
        <v>1790</v>
      </c>
      <c r="B182" s="598"/>
      <c r="C182" s="619" t="s">
        <v>1730</v>
      </c>
      <c r="D182" s="590" t="s">
        <v>591</v>
      </c>
    </row>
    <row r="183" spans="1:4">
      <c r="A183" s="598" t="s">
        <v>1790</v>
      </c>
      <c r="B183" s="598"/>
      <c r="C183" s="619" t="s">
        <v>1730</v>
      </c>
      <c r="D183" s="590" t="s">
        <v>560</v>
      </c>
    </row>
    <row r="184" spans="1:4">
      <c r="A184" s="598" t="s">
        <v>1790</v>
      </c>
      <c r="B184" s="598"/>
      <c r="C184" s="619" t="s">
        <v>1730</v>
      </c>
      <c r="D184" s="590" t="s">
        <v>561</v>
      </c>
    </row>
    <row r="185" spans="1:4">
      <c r="A185" s="598" t="s">
        <v>1790</v>
      </c>
      <c r="B185" s="598"/>
      <c r="C185" s="619" t="s">
        <v>1730</v>
      </c>
      <c r="D185" s="590" t="s">
        <v>517</v>
      </c>
    </row>
    <row r="186" spans="1:4">
      <c r="A186" s="598" t="s">
        <v>1790</v>
      </c>
      <c r="B186" s="598"/>
      <c r="C186" s="619" t="s">
        <v>1730</v>
      </c>
      <c r="D186" s="590" t="s">
        <v>1626</v>
      </c>
    </row>
    <row r="187" spans="1:4">
      <c r="A187" s="598" t="s">
        <v>1790</v>
      </c>
      <c r="B187" s="598"/>
      <c r="C187" s="619" t="s">
        <v>1730</v>
      </c>
      <c r="D187" s="590" t="s">
        <v>518</v>
      </c>
    </row>
    <row r="188" spans="1:4">
      <c r="A188" s="598" t="s">
        <v>1790</v>
      </c>
      <c r="B188" s="598"/>
      <c r="C188" s="619" t="s">
        <v>1730</v>
      </c>
      <c r="D188" s="590" t="s">
        <v>519</v>
      </c>
    </row>
    <row r="189" spans="1:4">
      <c r="A189" s="598" t="s">
        <v>1790</v>
      </c>
      <c r="B189" s="598"/>
      <c r="C189" s="619" t="s">
        <v>1730</v>
      </c>
      <c r="D189" s="602" t="s">
        <v>1453</v>
      </c>
    </row>
    <row r="190" spans="1:4">
      <c r="A190" s="598" t="s">
        <v>1790</v>
      </c>
      <c r="B190" s="598"/>
      <c r="C190" s="619" t="s">
        <v>1730</v>
      </c>
      <c r="D190" s="590" t="s">
        <v>520</v>
      </c>
    </row>
    <row r="191" spans="1:4">
      <c r="A191" s="598" t="s">
        <v>1790</v>
      </c>
      <c r="B191" s="598"/>
      <c r="C191" s="619" t="s">
        <v>1730</v>
      </c>
      <c r="D191" s="590" t="s">
        <v>1914</v>
      </c>
    </row>
    <row r="192" spans="1:4">
      <c r="A192" s="598" t="s">
        <v>1790</v>
      </c>
      <c r="B192" s="598"/>
      <c r="C192" s="619" t="s">
        <v>1730</v>
      </c>
      <c r="D192" s="590" t="s">
        <v>521</v>
      </c>
    </row>
    <row r="193" spans="1:4">
      <c r="A193" s="598" t="s">
        <v>1790</v>
      </c>
      <c r="B193" s="598"/>
      <c r="C193" s="619" t="s">
        <v>1730</v>
      </c>
      <c r="D193" s="590" t="s">
        <v>522</v>
      </c>
    </row>
    <row r="194" spans="1:4">
      <c r="A194" s="598" t="s">
        <v>1790</v>
      </c>
      <c r="B194" s="598"/>
      <c r="C194" s="619" t="s">
        <v>1730</v>
      </c>
      <c r="D194" s="581" t="s">
        <v>1615</v>
      </c>
    </row>
    <row r="195" spans="1:4">
      <c r="A195" s="598" t="s">
        <v>1790</v>
      </c>
      <c r="B195" s="598"/>
      <c r="C195" s="619" t="s">
        <v>1730</v>
      </c>
      <c r="D195" s="581" t="s">
        <v>1811</v>
      </c>
    </row>
    <row r="196" spans="1:4">
      <c r="A196" s="598" t="s">
        <v>1790</v>
      </c>
      <c r="B196" s="598"/>
      <c r="C196" s="619" t="s">
        <v>1730</v>
      </c>
      <c r="D196" s="581" t="s">
        <v>1812</v>
      </c>
    </row>
    <row r="197" spans="1:4">
      <c r="A197" s="598" t="s">
        <v>1790</v>
      </c>
      <c r="B197" s="598"/>
      <c r="C197" s="619" t="s">
        <v>1730</v>
      </c>
      <c r="D197" s="590" t="s">
        <v>351</v>
      </c>
    </row>
    <row r="198" spans="1:4">
      <c r="A198" s="598" t="s">
        <v>1790</v>
      </c>
      <c r="B198" s="598"/>
      <c r="C198" s="619" t="s">
        <v>1730</v>
      </c>
      <c r="D198" s="590" t="s">
        <v>298</v>
      </c>
    </row>
    <row r="199" spans="1:4">
      <c r="A199" s="598" t="s">
        <v>1790</v>
      </c>
      <c r="B199" s="598"/>
      <c r="C199" s="619" t="s">
        <v>1730</v>
      </c>
      <c r="D199" s="590" t="s">
        <v>354</v>
      </c>
    </row>
    <row r="200" spans="1:4">
      <c r="A200" s="598" t="s">
        <v>1790</v>
      </c>
      <c r="B200" s="598"/>
      <c r="C200" s="619" t="s">
        <v>1730</v>
      </c>
      <c r="D200" s="590" t="s">
        <v>299</v>
      </c>
    </row>
    <row r="201" spans="1:4">
      <c r="A201" s="598" t="s">
        <v>1790</v>
      </c>
      <c r="B201" s="598"/>
      <c r="C201" s="619" t="s">
        <v>1730</v>
      </c>
      <c r="D201" s="590" t="s">
        <v>305</v>
      </c>
    </row>
    <row r="202" spans="1:4">
      <c r="A202" s="598" t="s">
        <v>1790</v>
      </c>
      <c r="B202" s="598"/>
      <c r="C202" s="619" t="s">
        <v>1730</v>
      </c>
      <c r="D202" s="590" t="s">
        <v>356</v>
      </c>
    </row>
    <row r="203" spans="1:4">
      <c r="A203" s="598" t="s">
        <v>1790</v>
      </c>
      <c r="B203" s="598"/>
      <c r="C203" s="619" t="s">
        <v>1730</v>
      </c>
      <c r="D203" s="590" t="s">
        <v>357</v>
      </c>
    </row>
    <row r="204" spans="1:4">
      <c r="A204" s="598" t="s">
        <v>1790</v>
      </c>
      <c r="B204" s="598"/>
      <c r="C204" s="619" t="s">
        <v>1730</v>
      </c>
      <c r="D204" s="590" t="s">
        <v>358</v>
      </c>
    </row>
    <row r="205" spans="1:4">
      <c r="A205" s="591" t="s">
        <v>1828</v>
      </c>
      <c r="B205" s="591"/>
      <c r="C205" s="619" t="s">
        <v>1432</v>
      </c>
      <c r="D205" s="584" t="s">
        <v>42</v>
      </c>
    </row>
    <row r="206" spans="1:4">
      <c r="A206" s="591" t="s">
        <v>1828</v>
      </c>
      <c r="B206" s="591"/>
      <c r="C206" s="619" t="s">
        <v>1432</v>
      </c>
      <c r="D206" s="584" t="s">
        <v>1813</v>
      </c>
    </row>
    <row r="207" spans="1:4">
      <c r="A207" s="591" t="s">
        <v>1828</v>
      </c>
      <c r="B207" s="591"/>
      <c r="C207" s="619" t="s">
        <v>1432</v>
      </c>
      <c r="D207" s="584" t="s">
        <v>44</v>
      </c>
    </row>
    <row r="208" spans="1:4">
      <c r="A208" s="591" t="s">
        <v>1828</v>
      </c>
      <c r="B208" s="591"/>
      <c r="C208" s="619" t="s">
        <v>1432</v>
      </c>
      <c r="D208" s="584" t="s">
        <v>1814</v>
      </c>
    </row>
    <row r="209" spans="1:4">
      <c r="A209" s="591" t="s">
        <v>1828</v>
      </c>
      <c r="B209" s="591"/>
      <c r="C209" s="619" t="s">
        <v>1432</v>
      </c>
      <c r="D209" s="584" t="s">
        <v>1815</v>
      </c>
    </row>
    <row r="210" spans="1:4">
      <c r="A210" s="591" t="s">
        <v>1828</v>
      </c>
      <c r="B210" s="591"/>
      <c r="C210" s="619" t="s">
        <v>1720</v>
      </c>
      <c r="D210" s="581" t="s">
        <v>1816</v>
      </c>
    </row>
    <row r="211" spans="1:4">
      <c r="A211" s="591" t="s">
        <v>1828</v>
      </c>
      <c r="B211" s="591"/>
      <c r="C211" s="619" t="s">
        <v>1720</v>
      </c>
      <c r="D211" s="581" t="s">
        <v>1817</v>
      </c>
    </row>
    <row r="212" spans="1:4">
      <c r="A212" s="591" t="s">
        <v>1828</v>
      </c>
      <c r="B212" s="591"/>
      <c r="C212" s="619" t="s">
        <v>1720</v>
      </c>
      <c r="D212" s="581" t="s">
        <v>1818</v>
      </c>
    </row>
    <row r="213" spans="1:4">
      <c r="A213" s="591" t="s">
        <v>1828</v>
      </c>
      <c r="B213" s="591"/>
      <c r="C213" s="619" t="s">
        <v>1720</v>
      </c>
      <c r="D213" s="602" t="s">
        <v>1819</v>
      </c>
    </row>
    <row r="214" spans="1:4">
      <c r="A214" s="591" t="s">
        <v>1828</v>
      </c>
      <c r="B214" s="591"/>
      <c r="C214" s="619" t="s">
        <v>1720</v>
      </c>
      <c r="D214" s="602" t="s">
        <v>1820</v>
      </c>
    </row>
    <row r="215" spans="1:4">
      <c r="A215" s="591" t="s">
        <v>1828</v>
      </c>
      <c r="B215" s="591"/>
      <c r="C215" s="619" t="s">
        <v>1720</v>
      </c>
      <c r="D215" s="602" t="s">
        <v>1821</v>
      </c>
    </row>
    <row r="216" spans="1:4">
      <c r="A216" s="591" t="s">
        <v>1828</v>
      </c>
      <c r="B216" s="591"/>
      <c r="C216" s="619" t="s">
        <v>1720</v>
      </c>
      <c r="D216" s="602" t="s">
        <v>1822</v>
      </c>
    </row>
    <row r="217" spans="1:4">
      <c r="A217" s="591" t="s">
        <v>1828</v>
      </c>
      <c r="B217" s="591"/>
      <c r="C217" s="619" t="s">
        <v>1720</v>
      </c>
      <c r="D217" s="602" t="s">
        <v>1823</v>
      </c>
    </row>
    <row r="218" spans="1:4">
      <c r="A218" s="591" t="s">
        <v>1828</v>
      </c>
      <c r="B218" s="591"/>
      <c r="C218" s="619" t="s">
        <v>1720</v>
      </c>
      <c r="D218" s="581" t="s">
        <v>1824</v>
      </c>
    </row>
    <row r="219" spans="1:4">
      <c r="A219" s="591" t="s">
        <v>1828</v>
      </c>
      <c r="B219" s="591"/>
      <c r="C219" s="619" t="s">
        <v>1720</v>
      </c>
      <c r="D219" s="581" t="s">
        <v>1825</v>
      </c>
    </row>
    <row r="220" spans="1:4">
      <c r="A220" s="591" t="s">
        <v>1828</v>
      </c>
      <c r="B220" s="591"/>
      <c r="C220" s="619" t="s">
        <v>1730</v>
      </c>
      <c r="D220" s="592" t="s">
        <v>496</v>
      </c>
    </row>
    <row r="221" spans="1:4">
      <c r="A221" s="591" t="s">
        <v>1828</v>
      </c>
      <c r="B221" s="591"/>
      <c r="C221" s="619" t="s">
        <v>1730</v>
      </c>
      <c r="D221" s="583" t="s">
        <v>292</v>
      </c>
    </row>
    <row r="222" spans="1:4">
      <c r="A222" s="591" t="s">
        <v>1828</v>
      </c>
      <c r="B222" s="591"/>
      <c r="C222" s="619" t="s">
        <v>1730</v>
      </c>
      <c r="D222" s="583" t="s">
        <v>497</v>
      </c>
    </row>
    <row r="223" spans="1:4">
      <c r="A223" s="591" t="s">
        <v>1828</v>
      </c>
      <c r="B223" s="591"/>
      <c r="C223" s="619" t="s">
        <v>1730</v>
      </c>
      <c r="D223" s="583" t="s">
        <v>498</v>
      </c>
    </row>
    <row r="224" spans="1:4">
      <c r="A224" s="591" t="s">
        <v>1828</v>
      </c>
      <c r="B224" s="591"/>
      <c r="C224" s="619" t="s">
        <v>1730</v>
      </c>
      <c r="D224" s="583" t="s">
        <v>1912</v>
      </c>
    </row>
    <row r="225" spans="1:4">
      <c r="A225" s="591" t="s">
        <v>1828</v>
      </c>
      <c r="B225" s="591"/>
      <c r="C225" s="619" t="s">
        <v>1730</v>
      </c>
      <c r="D225" s="593" t="s">
        <v>1631</v>
      </c>
    </row>
    <row r="226" spans="1:4">
      <c r="A226" s="591" t="s">
        <v>1828</v>
      </c>
      <c r="B226" s="591"/>
      <c r="C226" s="619" t="s">
        <v>1730</v>
      </c>
      <c r="D226" s="593" t="s">
        <v>1632</v>
      </c>
    </row>
    <row r="227" spans="1:4">
      <c r="A227" s="591" t="s">
        <v>1828</v>
      </c>
      <c r="B227" s="591"/>
      <c r="C227" s="619" t="s">
        <v>1730</v>
      </c>
      <c r="D227" s="602" t="s">
        <v>1317</v>
      </c>
    </row>
    <row r="228" spans="1:4">
      <c r="A228" s="591" t="s">
        <v>1828</v>
      </c>
      <c r="B228" s="591"/>
      <c r="C228" s="619" t="s">
        <v>1730</v>
      </c>
      <c r="D228" s="599" t="s">
        <v>1649</v>
      </c>
    </row>
    <row r="229" spans="1:4">
      <c r="A229" s="591" t="s">
        <v>1828</v>
      </c>
      <c r="B229" s="591"/>
      <c r="C229" s="619" t="s">
        <v>1730</v>
      </c>
      <c r="D229" s="603" t="s">
        <v>1640</v>
      </c>
    </row>
    <row r="230" spans="1:4">
      <c r="A230" s="591" t="s">
        <v>1828</v>
      </c>
      <c r="B230" s="591"/>
      <c r="C230" s="619" t="s">
        <v>1730</v>
      </c>
      <c r="D230" s="603" t="s">
        <v>1641</v>
      </c>
    </row>
    <row r="231" spans="1:4">
      <c r="A231" s="591" t="s">
        <v>1828</v>
      </c>
      <c r="B231" s="591"/>
      <c r="C231" s="619" t="s">
        <v>1730</v>
      </c>
      <c r="D231" s="598" t="s">
        <v>1643</v>
      </c>
    </row>
    <row r="232" spans="1:4">
      <c r="A232" s="591" t="s">
        <v>1828</v>
      </c>
      <c r="B232" s="591"/>
      <c r="C232" s="619" t="s">
        <v>1730</v>
      </c>
      <c r="D232" s="583" t="s">
        <v>501</v>
      </c>
    </row>
    <row r="233" spans="1:4">
      <c r="A233" s="591" t="s">
        <v>1828</v>
      </c>
      <c r="B233" s="591"/>
      <c r="C233" s="619" t="s">
        <v>1730</v>
      </c>
      <c r="D233" s="590" t="s">
        <v>1406</v>
      </c>
    </row>
    <row r="234" spans="1:4">
      <c r="A234" s="591" t="s">
        <v>1828</v>
      </c>
      <c r="B234" s="591"/>
      <c r="C234" s="619" t="s">
        <v>1730</v>
      </c>
      <c r="D234" s="598" t="s">
        <v>1650</v>
      </c>
    </row>
    <row r="235" spans="1:4">
      <c r="A235" s="591" t="s">
        <v>1828</v>
      </c>
      <c r="B235" s="591"/>
      <c r="C235" s="619" t="s">
        <v>1730</v>
      </c>
      <c r="D235" s="598" t="s">
        <v>1652</v>
      </c>
    </row>
    <row r="236" spans="1:4">
      <c r="A236" s="591" t="s">
        <v>1828</v>
      </c>
      <c r="B236" s="591"/>
      <c r="C236" s="619" t="s">
        <v>1730</v>
      </c>
      <c r="D236" s="603" t="s">
        <v>1635</v>
      </c>
    </row>
    <row r="237" spans="1:4">
      <c r="A237" s="591" t="s">
        <v>1828</v>
      </c>
      <c r="B237" s="591"/>
      <c r="C237" s="619" t="s">
        <v>1730</v>
      </c>
      <c r="D237" s="603" t="s">
        <v>1637</v>
      </c>
    </row>
    <row r="238" spans="1:4">
      <c r="A238" s="591" t="s">
        <v>1828</v>
      </c>
      <c r="B238" s="591"/>
      <c r="C238" s="619" t="s">
        <v>1730</v>
      </c>
      <c r="D238" s="603" t="s">
        <v>1638</v>
      </c>
    </row>
    <row r="239" spans="1:4">
      <c r="A239" s="591" t="s">
        <v>1828</v>
      </c>
      <c r="B239" s="591"/>
      <c r="C239" s="619" t="s">
        <v>1730</v>
      </c>
      <c r="D239" s="593" t="s">
        <v>173</v>
      </c>
    </row>
    <row r="240" spans="1:4">
      <c r="A240" s="591" t="s">
        <v>1828</v>
      </c>
      <c r="B240" s="591"/>
      <c r="C240" s="619" t="s">
        <v>1730</v>
      </c>
      <c r="D240" s="593" t="s">
        <v>1633</v>
      </c>
    </row>
    <row r="241" spans="1:4">
      <c r="A241" s="591" t="s">
        <v>1828</v>
      </c>
      <c r="B241" s="591"/>
      <c r="C241" s="619" t="s">
        <v>1730</v>
      </c>
      <c r="D241" s="593" t="s">
        <v>1634</v>
      </c>
    </row>
    <row r="242" spans="1:4">
      <c r="A242" s="591" t="s">
        <v>1828</v>
      </c>
      <c r="B242" s="591"/>
      <c r="C242" s="619" t="s">
        <v>1730</v>
      </c>
      <c r="D242" s="598" t="s">
        <v>1826</v>
      </c>
    </row>
    <row r="243" spans="1:4">
      <c r="A243" s="591" t="s">
        <v>1828</v>
      </c>
      <c r="B243" s="591"/>
      <c r="C243" s="619" t="s">
        <v>1730</v>
      </c>
      <c r="D243" s="598" t="s">
        <v>1827</v>
      </c>
    </row>
    <row r="244" spans="1:4">
      <c r="A244" s="591" t="s">
        <v>1828</v>
      </c>
      <c r="B244" s="591"/>
      <c r="C244" s="619" t="s">
        <v>1730</v>
      </c>
      <c r="D244" s="598" t="s">
        <v>1626</v>
      </c>
    </row>
    <row r="245" spans="1:4">
      <c r="A245" s="586" t="s">
        <v>1829</v>
      </c>
      <c r="B245" s="586"/>
      <c r="C245" s="619" t="s">
        <v>1432</v>
      </c>
      <c r="D245" s="599" t="s">
        <v>1830</v>
      </c>
    </row>
    <row r="246" spans="1:4">
      <c r="A246" s="586" t="s">
        <v>1829</v>
      </c>
      <c r="B246" s="586"/>
      <c r="C246" s="619" t="s">
        <v>1432</v>
      </c>
      <c r="D246" s="599" t="s">
        <v>1831</v>
      </c>
    </row>
    <row r="247" spans="1:4">
      <c r="A247" s="586" t="s">
        <v>1829</v>
      </c>
      <c r="B247" s="586"/>
      <c r="C247" s="619" t="s">
        <v>1432</v>
      </c>
      <c r="D247" s="599" t="s">
        <v>907</v>
      </c>
    </row>
    <row r="248" spans="1:4">
      <c r="A248" s="586" t="s">
        <v>1829</v>
      </c>
      <c r="B248" s="586"/>
      <c r="C248" s="619" t="s">
        <v>1432</v>
      </c>
      <c r="D248" s="599" t="s">
        <v>908</v>
      </c>
    </row>
    <row r="249" spans="1:4">
      <c r="A249" s="586" t="s">
        <v>1829</v>
      </c>
      <c r="B249" s="586"/>
      <c r="C249" s="619" t="s">
        <v>1432</v>
      </c>
      <c r="D249" s="599" t="s">
        <v>1713</v>
      </c>
    </row>
    <row r="250" spans="1:4">
      <c r="A250" s="586" t="s">
        <v>1829</v>
      </c>
      <c r="B250" s="586"/>
      <c r="C250" s="619" t="s">
        <v>1432</v>
      </c>
      <c r="D250" s="599" t="s">
        <v>1177</v>
      </c>
    </row>
    <row r="251" spans="1:4">
      <c r="A251" s="586" t="s">
        <v>1829</v>
      </c>
      <c r="B251" s="586"/>
      <c r="C251" s="619" t="s">
        <v>1432</v>
      </c>
      <c r="D251" s="599" t="s">
        <v>911</v>
      </c>
    </row>
    <row r="252" spans="1:4">
      <c r="A252" s="586" t="s">
        <v>1829</v>
      </c>
      <c r="B252" s="586"/>
      <c r="C252" s="619" t="s">
        <v>1432</v>
      </c>
      <c r="D252" s="599" t="s">
        <v>1688</v>
      </c>
    </row>
    <row r="253" spans="1:4">
      <c r="A253" s="586" t="s">
        <v>1829</v>
      </c>
      <c r="B253" s="586"/>
      <c r="C253" s="619" t="s">
        <v>1432</v>
      </c>
      <c r="D253" s="599" t="s">
        <v>1687</v>
      </c>
    </row>
    <row r="254" spans="1:4">
      <c r="A254" s="586" t="s">
        <v>1829</v>
      </c>
      <c r="B254" s="586"/>
      <c r="C254" s="619" t="s">
        <v>1432</v>
      </c>
      <c r="D254" s="599" t="s">
        <v>274</v>
      </c>
    </row>
    <row r="255" spans="1:4">
      <c r="A255" s="586" t="s">
        <v>1829</v>
      </c>
      <c r="B255" s="586"/>
      <c r="C255" s="619" t="s">
        <v>1432</v>
      </c>
      <c r="D255" s="599" t="s">
        <v>1272</v>
      </c>
    </row>
    <row r="256" spans="1:4">
      <c r="A256" s="586" t="s">
        <v>1829</v>
      </c>
      <c r="B256" s="586"/>
      <c r="C256" s="619" t="s">
        <v>1720</v>
      </c>
      <c r="D256" s="599" t="s">
        <v>1832</v>
      </c>
    </row>
    <row r="257" spans="1:4">
      <c r="A257" s="586" t="s">
        <v>1829</v>
      </c>
      <c r="B257" s="586"/>
      <c r="C257" s="619" t="s">
        <v>1720</v>
      </c>
      <c r="D257" s="599" t="s">
        <v>1833</v>
      </c>
    </row>
    <row r="258" spans="1:4">
      <c r="A258" s="586" t="s">
        <v>1829</v>
      </c>
      <c r="B258" s="586"/>
      <c r="C258" s="619" t="s">
        <v>1720</v>
      </c>
      <c r="D258" s="599" t="s">
        <v>1834</v>
      </c>
    </row>
    <row r="259" spans="1:4">
      <c r="A259" s="586" t="s">
        <v>1829</v>
      </c>
      <c r="B259" s="586"/>
      <c r="C259" s="619" t="s">
        <v>1720</v>
      </c>
      <c r="D259" s="599" t="s">
        <v>1835</v>
      </c>
    </row>
    <row r="260" spans="1:4">
      <c r="A260" s="586" t="s">
        <v>1829</v>
      </c>
      <c r="B260" s="586"/>
      <c r="C260" s="619" t="s">
        <v>1720</v>
      </c>
      <c r="D260" s="599" t="s">
        <v>1740</v>
      </c>
    </row>
    <row r="261" spans="1:4">
      <c r="A261" s="586" t="s">
        <v>1829</v>
      </c>
      <c r="B261" s="586"/>
      <c r="C261" s="619" t="s">
        <v>1720</v>
      </c>
      <c r="D261" s="599" t="s">
        <v>1760</v>
      </c>
    </row>
    <row r="262" spans="1:4">
      <c r="A262" s="586" t="s">
        <v>1829</v>
      </c>
      <c r="B262" s="586"/>
      <c r="C262" s="619" t="s">
        <v>1720</v>
      </c>
      <c r="D262" s="599" t="s">
        <v>1836</v>
      </c>
    </row>
    <row r="263" spans="1:4">
      <c r="A263" s="586" t="s">
        <v>1829</v>
      </c>
      <c r="B263" s="586"/>
      <c r="C263" s="619" t="s">
        <v>1720</v>
      </c>
      <c r="D263" s="599" t="s">
        <v>1837</v>
      </c>
    </row>
    <row r="264" spans="1:4">
      <c r="A264" s="586" t="s">
        <v>1829</v>
      </c>
      <c r="B264" s="586"/>
      <c r="C264" s="619" t="s">
        <v>1720</v>
      </c>
      <c r="D264" s="599" t="s">
        <v>1738</v>
      </c>
    </row>
    <row r="265" spans="1:4">
      <c r="A265" s="586" t="s">
        <v>1829</v>
      </c>
      <c r="B265" s="586"/>
      <c r="C265" s="619" t="s">
        <v>1720</v>
      </c>
      <c r="D265" s="599" t="s">
        <v>1838</v>
      </c>
    </row>
    <row r="266" spans="1:4">
      <c r="A266" s="586" t="s">
        <v>1829</v>
      </c>
      <c r="B266" s="586"/>
      <c r="C266" s="619" t="s">
        <v>1720</v>
      </c>
      <c r="D266" s="599" t="s">
        <v>1839</v>
      </c>
    </row>
    <row r="267" spans="1:4">
      <c r="A267" s="586" t="s">
        <v>1829</v>
      </c>
      <c r="B267" s="586"/>
      <c r="C267" s="619" t="s">
        <v>1720</v>
      </c>
      <c r="D267" s="594" t="s">
        <v>1840</v>
      </c>
    </row>
    <row r="268" spans="1:4">
      <c r="A268" s="586" t="s">
        <v>1829</v>
      </c>
      <c r="B268" s="586"/>
      <c r="C268" s="619" t="s">
        <v>1730</v>
      </c>
      <c r="D268" s="587" t="s">
        <v>513</v>
      </c>
    </row>
    <row r="269" spans="1:4">
      <c r="A269" s="586" t="s">
        <v>1829</v>
      </c>
      <c r="B269" s="586"/>
      <c r="C269" s="619" t="s">
        <v>1730</v>
      </c>
      <c r="D269" s="587" t="s">
        <v>296</v>
      </c>
    </row>
    <row r="270" spans="1:4">
      <c r="A270" s="586" t="s">
        <v>1829</v>
      </c>
      <c r="B270" s="586"/>
      <c r="C270" s="619" t="s">
        <v>1730</v>
      </c>
      <c r="D270" s="587" t="s">
        <v>297</v>
      </c>
    </row>
    <row r="271" spans="1:4" ht="16.2">
      <c r="A271" s="586" t="s">
        <v>1829</v>
      </c>
      <c r="B271" s="586"/>
      <c r="C271" s="619" t="s">
        <v>1730</v>
      </c>
      <c r="D271" s="587" t="s">
        <v>1841</v>
      </c>
    </row>
    <row r="272" spans="1:4" ht="16.2">
      <c r="A272" s="586" t="s">
        <v>1829</v>
      </c>
      <c r="B272" s="586"/>
      <c r="C272" s="619" t="s">
        <v>1730</v>
      </c>
      <c r="D272" s="587" t="s">
        <v>1842</v>
      </c>
    </row>
    <row r="273" spans="1:4" ht="16.2">
      <c r="A273" s="586" t="s">
        <v>1829</v>
      </c>
      <c r="B273" s="586"/>
      <c r="C273" s="619" t="s">
        <v>1730</v>
      </c>
      <c r="D273" s="587" t="s">
        <v>1843</v>
      </c>
    </row>
    <row r="274" spans="1:4" ht="16.2">
      <c r="A274" s="586" t="s">
        <v>1829</v>
      </c>
      <c r="B274" s="586"/>
      <c r="C274" s="619" t="s">
        <v>1730</v>
      </c>
      <c r="D274" s="587" t="s">
        <v>1844</v>
      </c>
    </row>
    <row r="275" spans="1:4" ht="16.2">
      <c r="A275" s="586" t="s">
        <v>1829</v>
      </c>
      <c r="B275" s="586"/>
      <c r="C275" s="619" t="s">
        <v>1730</v>
      </c>
      <c r="D275" s="587" t="s">
        <v>1845</v>
      </c>
    </row>
    <row r="276" spans="1:4" ht="16.2">
      <c r="A276" s="586" t="s">
        <v>1829</v>
      </c>
      <c r="B276" s="586"/>
      <c r="C276" s="619" t="s">
        <v>1730</v>
      </c>
      <c r="D276" s="595" t="s">
        <v>1846</v>
      </c>
    </row>
    <row r="277" spans="1:4" ht="16.2">
      <c r="A277" s="586" t="s">
        <v>1829</v>
      </c>
      <c r="B277" s="586"/>
      <c r="C277" s="619" t="s">
        <v>1730</v>
      </c>
      <c r="D277" s="595" t="s">
        <v>1847</v>
      </c>
    </row>
    <row r="278" spans="1:4">
      <c r="A278" s="586" t="s">
        <v>1829</v>
      </c>
      <c r="B278" s="586"/>
      <c r="C278" s="619" t="s">
        <v>1730</v>
      </c>
      <c r="D278" s="587" t="s">
        <v>8</v>
      </c>
    </row>
    <row r="279" spans="1:4">
      <c r="A279" s="586" t="s">
        <v>1829</v>
      </c>
      <c r="B279" s="586"/>
      <c r="C279" s="619" t="s">
        <v>1730</v>
      </c>
      <c r="D279" s="600" t="s">
        <v>1640</v>
      </c>
    </row>
    <row r="280" spans="1:4">
      <c r="A280" s="586" t="s">
        <v>1829</v>
      </c>
      <c r="B280" s="586"/>
      <c r="C280" s="619" t="s">
        <v>1730</v>
      </c>
      <c r="D280" s="600" t="s">
        <v>1641</v>
      </c>
    </row>
    <row r="281" spans="1:4">
      <c r="A281" s="586" t="s">
        <v>1829</v>
      </c>
      <c r="B281" s="586"/>
      <c r="C281" s="619" t="s">
        <v>1730</v>
      </c>
      <c r="D281" s="599" t="s">
        <v>2121</v>
      </c>
    </row>
    <row r="282" spans="1:4">
      <c r="A282" s="586" t="s">
        <v>1829</v>
      </c>
      <c r="B282" s="586"/>
      <c r="C282" s="619" t="s">
        <v>1730</v>
      </c>
      <c r="D282" s="599" t="s">
        <v>2122</v>
      </c>
    </row>
    <row r="283" spans="1:4">
      <c r="A283" s="586" t="s">
        <v>1829</v>
      </c>
      <c r="B283" s="586"/>
      <c r="C283" s="619" t="s">
        <v>1730</v>
      </c>
      <c r="D283" s="599" t="s">
        <v>1673</v>
      </c>
    </row>
    <row r="284" spans="1:4">
      <c r="A284" s="586" t="s">
        <v>1904</v>
      </c>
      <c r="B284" s="586"/>
      <c r="C284" s="619" t="s">
        <v>1432</v>
      </c>
      <c r="D284" s="359" t="s">
        <v>1848</v>
      </c>
    </row>
    <row r="285" spans="1:4">
      <c r="A285" s="586" t="s">
        <v>1904</v>
      </c>
      <c r="B285" s="586"/>
      <c r="C285" s="619" t="s">
        <v>1432</v>
      </c>
      <c r="D285" s="359" t="s">
        <v>903</v>
      </c>
    </row>
    <row r="286" spans="1:4">
      <c r="A286" s="586" t="s">
        <v>1904</v>
      </c>
      <c r="B286" s="586"/>
      <c r="C286" s="619" t="s">
        <v>1432</v>
      </c>
      <c r="D286" s="359" t="s">
        <v>1272</v>
      </c>
    </row>
    <row r="287" spans="1:4">
      <c r="A287" s="586" t="s">
        <v>1904</v>
      </c>
      <c r="B287" s="586"/>
      <c r="C287" s="619" t="s">
        <v>1432</v>
      </c>
      <c r="D287" s="359" t="s">
        <v>904</v>
      </c>
    </row>
    <row r="288" spans="1:4">
      <c r="A288" s="586" t="s">
        <v>1904</v>
      </c>
      <c r="B288" s="586"/>
      <c r="C288" s="619" t="s">
        <v>1432</v>
      </c>
      <c r="D288" s="359" t="s">
        <v>1849</v>
      </c>
    </row>
    <row r="289" spans="1:4">
      <c r="A289" s="586" t="s">
        <v>1904</v>
      </c>
      <c r="B289" s="586"/>
      <c r="C289" s="619" t="s">
        <v>1432</v>
      </c>
      <c r="D289" s="359" t="s">
        <v>1905</v>
      </c>
    </row>
    <row r="290" spans="1:4">
      <c r="A290" s="586" t="s">
        <v>1904</v>
      </c>
      <c r="B290" s="586"/>
      <c r="C290" s="619" t="s">
        <v>1720</v>
      </c>
      <c r="D290" s="359" t="s">
        <v>1850</v>
      </c>
    </row>
    <row r="291" spans="1:4">
      <c r="A291" s="586" t="s">
        <v>1904</v>
      </c>
      <c r="B291" s="586"/>
      <c r="C291" s="619" t="s">
        <v>1720</v>
      </c>
      <c r="D291" s="581" t="s">
        <v>1851</v>
      </c>
    </row>
    <row r="292" spans="1:4">
      <c r="A292" s="586" t="s">
        <v>1904</v>
      </c>
      <c r="B292" s="586"/>
      <c r="C292" s="619" t="s">
        <v>1720</v>
      </c>
      <c r="D292" s="581" t="s">
        <v>1852</v>
      </c>
    </row>
    <row r="293" spans="1:4">
      <c r="A293" s="586" t="s">
        <v>1904</v>
      </c>
      <c r="B293" s="586"/>
      <c r="C293" s="619" t="s">
        <v>1720</v>
      </c>
      <c r="D293" s="588" t="s">
        <v>1853</v>
      </c>
    </row>
    <row r="294" spans="1:4">
      <c r="A294" s="586" t="s">
        <v>1904</v>
      </c>
      <c r="B294" s="586"/>
      <c r="C294" s="619" t="s">
        <v>1720</v>
      </c>
      <c r="D294" s="588" t="s">
        <v>1906</v>
      </c>
    </row>
    <row r="295" spans="1:4">
      <c r="A295" s="586" t="s">
        <v>1904</v>
      </c>
      <c r="B295" s="586"/>
      <c r="C295" s="619" t="s">
        <v>1720</v>
      </c>
      <c r="D295" s="359" t="s">
        <v>1854</v>
      </c>
    </row>
    <row r="296" spans="1:4">
      <c r="A296" s="586" t="s">
        <v>1904</v>
      </c>
      <c r="B296" s="586"/>
      <c r="C296" s="619" t="s">
        <v>1720</v>
      </c>
      <c r="D296" s="581" t="s">
        <v>1855</v>
      </c>
    </row>
    <row r="297" spans="1:4">
      <c r="A297" s="586" t="s">
        <v>1904</v>
      </c>
      <c r="B297" s="586"/>
      <c r="C297" s="619" t="s">
        <v>1720</v>
      </c>
      <c r="D297" s="581" t="s">
        <v>1856</v>
      </c>
    </row>
    <row r="298" spans="1:4">
      <c r="A298" s="586" t="s">
        <v>1904</v>
      </c>
      <c r="B298" s="586"/>
      <c r="C298" s="619" t="s">
        <v>1720</v>
      </c>
      <c r="D298" s="359" t="s">
        <v>1857</v>
      </c>
    </row>
    <row r="299" spans="1:4">
      <c r="A299" s="586" t="s">
        <v>1904</v>
      </c>
      <c r="B299" s="586"/>
      <c r="C299" s="619" t="s">
        <v>1720</v>
      </c>
      <c r="D299" s="359" t="s">
        <v>1858</v>
      </c>
    </row>
    <row r="300" spans="1:4">
      <c r="A300" s="586" t="s">
        <v>1904</v>
      </c>
      <c r="B300" s="586"/>
      <c r="C300" s="619" t="s">
        <v>1720</v>
      </c>
      <c r="D300" s="359" t="s">
        <v>1859</v>
      </c>
    </row>
    <row r="301" spans="1:4">
      <c r="A301" s="586" t="s">
        <v>1904</v>
      </c>
      <c r="B301" s="586"/>
      <c r="C301" s="619" t="s">
        <v>1720</v>
      </c>
      <c r="D301" s="359" t="s">
        <v>1860</v>
      </c>
    </row>
    <row r="302" spans="1:4">
      <c r="A302" s="586" t="s">
        <v>1904</v>
      </c>
      <c r="B302" s="586"/>
      <c r="C302" s="619" t="s">
        <v>1720</v>
      </c>
      <c r="D302" s="359" t="s">
        <v>1861</v>
      </c>
    </row>
    <row r="303" spans="1:4">
      <c r="A303" s="586" t="s">
        <v>1904</v>
      </c>
      <c r="B303" s="586"/>
      <c r="C303" s="619" t="s">
        <v>1720</v>
      </c>
      <c r="D303" s="359" t="s">
        <v>1761</v>
      </c>
    </row>
    <row r="304" spans="1:4">
      <c r="A304" s="586" t="s">
        <v>1904</v>
      </c>
      <c r="B304" s="586"/>
      <c r="C304" s="619" t="s">
        <v>1720</v>
      </c>
      <c r="D304" s="359" t="s">
        <v>1740</v>
      </c>
    </row>
    <row r="305" spans="1:4">
      <c r="A305" s="586" t="s">
        <v>1904</v>
      </c>
      <c r="B305" s="586"/>
      <c r="C305" s="619" t="s">
        <v>1720</v>
      </c>
      <c r="D305" s="359" t="s">
        <v>1823</v>
      </c>
    </row>
    <row r="306" spans="1:4">
      <c r="A306" s="586" t="s">
        <v>1904</v>
      </c>
      <c r="B306" s="586"/>
      <c r="C306" s="619" t="s">
        <v>1720</v>
      </c>
      <c r="D306" s="359" t="s">
        <v>1862</v>
      </c>
    </row>
    <row r="307" spans="1:4">
      <c r="A307" s="586" t="s">
        <v>1904</v>
      </c>
      <c r="B307" s="586"/>
      <c r="C307" s="619" t="s">
        <v>1730</v>
      </c>
      <c r="D307" s="359" t="s">
        <v>0</v>
      </c>
    </row>
    <row r="308" spans="1:4">
      <c r="A308" s="586" t="s">
        <v>1904</v>
      </c>
      <c r="B308" s="586"/>
      <c r="C308" s="619" t="s">
        <v>1730</v>
      </c>
      <c r="D308" s="359" t="s">
        <v>1863</v>
      </c>
    </row>
    <row r="309" spans="1:4">
      <c r="A309" s="586" t="s">
        <v>1904</v>
      </c>
      <c r="B309" s="586"/>
      <c r="C309" s="619" t="s">
        <v>1730</v>
      </c>
      <c r="D309" s="359" t="s">
        <v>1864</v>
      </c>
    </row>
    <row r="310" spans="1:4">
      <c r="A310" s="586" t="s">
        <v>1904</v>
      </c>
      <c r="B310" s="586"/>
      <c r="C310" s="619" t="s">
        <v>1730</v>
      </c>
      <c r="D310" s="359" t="s">
        <v>1865</v>
      </c>
    </row>
    <row r="311" spans="1:4">
      <c r="A311" s="586" t="s">
        <v>1904</v>
      </c>
      <c r="B311" s="586"/>
      <c r="C311" s="619" t="s">
        <v>1730</v>
      </c>
      <c r="D311" s="359" t="s">
        <v>1639</v>
      </c>
    </row>
    <row r="312" spans="1:4">
      <c r="A312" s="586" t="s">
        <v>1904</v>
      </c>
      <c r="B312" s="586"/>
      <c r="C312" s="619" t="s">
        <v>1730</v>
      </c>
      <c r="D312" s="359" t="s">
        <v>1866</v>
      </c>
    </row>
    <row r="313" spans="1:4">
      <c r="A313" s="586" t="s">
        <v>1904</v>
      </c>
      <c r="B313" s="586"/>
      <c r="C313" s="619" t="s">
        <v>1730</v>
      </c>
      <c r="D313" s="604" t="s">
        <v>1691</v>
      </c>
    </row>
    <row r="314" spans="1:4">
      <c r="A314" s="586" t="s">
        <v>1904</v>
      </c>
      <c r="B314" s="586"/>
      <c r="C314" s="619" t="s">
        <v>1730</v>
      </c>
      <c r="D314" s="604" t="s">
        <v>1692</v>
      </c>
    </row>
    <row r="315" spans="1:4">
      <c r="A315" s="586" t="s">
        <v>1904</v>
      </c>
      <c r="B315" s="586"/>
      <c r="C315" s="619" t="s">
        <v>1730</v>
      </c>
      <c r="D315" s="604" t="s">
        <v>1693</v>
      </c>
    </row>
    <row r="316" spans="1:4">
      <c r="A316" s="586" t="s">
        <v>1904</v>
      </c>
      <c r="B316" s="586"/>
      <c r="C316" s="619" t="s">
        <v>1730</v>
      </c>
      <c r="D316" s="359" t="s">
        <v>1867</v>
      </c>
    </row>
    <row r="317" spans="1:4">
      <c r="A317" s="586" t="s">
        <v>1904</v>
      </c>
      <c r="B317" s="586"/>
      <c r="C317" s="619" t="s">
        <v>1730</v>
      </c>
      <c r="D317" s="359" t="s">
        <v>1868</v>
      </c>
    </row>
    <row r="318" spans="1:4">
      <c r="A318" s="586" t="s">
        <v>944</v>
      </c>
      <c r="B318" s="598" t="s">
        <v>1790</v>
      </c>
      <c r="C318" s="619" t="s">
        <v>1432</v>
      </c>
      <c r="D318" s="359" t="s">
        <v>54</v>
      </c>
    </row>
    <row r="319" spans="1:4">
      <c r="A319" s="586" t="s">
        <v>944</v>
      </c>
      <c r="B319" s="598" t="s">
        <v>1790</v>
      </c>
      <c r="C319" s="619" t="s">
        <v>1432</v>
      </c>
      <c r="D319" s="359" t="s">
        <v>1869</v>
      </c>
    </row>
    <row r="320" spans="1:4">
      <c r="A320" s="586" t="s">
        <v>944</v>
      </c>
      <c r="B320" s="598" t="s">
        <v>1790</v>
      </c>
      <c r="C320" s="619" t="s">
        <v>1432</v>
      </c>
      <c r="D320" s="359" t="s">
        <v>1870</v>
      </c>
    </row>
    <row r="321" spans="1:4">
      <c r="A321" s="586" t="s">
        <v>944</v>
      </c>
      <c r="B321" s="598" t="s">
        <v>1790</v>
      </c>
      <c r="C321" s="619" t="s">
        <v>1432</v>
      </c>
      <c r="D321" s="359" t="s">
        <v>1871</v>
      </c>
    </row>
    <row r="322" spans="1:4">
      <c r="A322" s="586" t="s">
        <v>944</v>
      </c>
      <c r="B322" s="598" t="s">
        <v>1790</v>
      </c>
      <c r="C322" s="619" t="s">
        <v>1432</v>
      </c>
      <c r="D322" s="359" t="s">
        <v>1872</v>
      </c>
    </row>
    <row r="323" spans="1:4">
      <c r="A323" s="586" t="s">
        <v>944</v>
      </c>
      <c r="B323" s="359" t="s">
        <v>1737</v>
      </c>
      <c r="C323" s="619" t="s">
        <v>1432</v>
      </c>
      <c r="D323" s="359" t="s">
        <v>49</v>
      </c>
    </row>
    <row r="324" spans="1:4">
      <c r="A324" s="586" t="s">
        <v>944</v>
      </c>
      <c r="B324" s="599" t="s">
        <v>1770</v>
      </c>
      <c r="C324" s="619" t="s">
        <v>1432</v>
      </c>
      <c r="D324" s="359" t="s">
        <v>1873</v>
      </c>
    </row>
    <row r="325" spans="1:4">
      <c r="A325" s="586" t="s">
        <v>944</v>
      </c>
      <c r="B325" s="599" t="s">
        <v>1770</v>
      </c>
      <c r="C325" s="619" t="s">
        <v>1432</v>
      </c>
      <c r="D325" s="359" t="s">
        <v>1773</v>
      </c>
    </row>
    <row r="326" spans="1:4">
      <c r="A326" s="586" t="s">
        <v>944</v>
      </c>
      <c r="B326" s="599" t="s">
        <v>1770</v>
      </c>
      <c r="C326" s="619" t="s">
        <v>1432</v>
      </c>
      <c r="D326" s="359" t="s">
        <v>889</v>
      </c>
    </row>
    <row r="327" spans="1:4">
      <c r="A327" s="586" t="s">
        <v>944</v>
      </c>
      <c r="B327" s="599" t="s">
        <v>1770</v>
      </c>
      <c r="C327" s="619" t="s">
        <v>1432</v>
      </c>
      <c r="D327" s="359" t="s">
        <v>1684</v>
      </c>
    </row>
    <row r="328" spans="1:4">
      <c r="A328" s="586" t="s">
        <v>944</v>
      </c>
      <c r="B328" s="586" t="s">
        <v>1904</v>
      </c>
      <c r="C328" s="619" t="s">
        <v>1432</v>
      </c>
      <c r="D328" s="359" t="s">
        <v>887</v>
      </c>
    </row>
    <row r="329" spans="1:4">
      <c r="A329" s="586" t="s">
        <v>944</v>
      </c>
      <c r="B329" s="598" t="s">
        <v>1790</v>
      </c>
      <c r="C329" s="619" t="s">
        <v>1432</v>
      </c>
      <c r="D329" s="359" t="s">
        <v>883</v>
      </c>
    </row>
    <row r="330" spans="1:4">
      <c r="A330" s="586" t="s">
        <v>944</v>
      </c>
      <c r="B330" s="591" t="s">
        <v>1828</v>
      </c>
      <c r="C330" s="619" t="s">
        <v>1720</v>
      </c>
      <c r="D330" s="359" t="s">
        <v>1874</v>
      </c>
    </row>
    <row r="331" spans="1:4">
      <c r="A331" s="586" t="s">
        <v>944</v>
      </c>
      <c r="B331" s="591" t="s">
        <v>1828</v>
      </c>
      <c r="C331" s="619" t="s">
        <v>1720</v>
      </c>
      <c r="D331" s="581" t="s">
        <v>1851</v>
      </c>
    </row>
    <row r="332" spans="1:4">
      <c r="A332" s="586" t="s">
        <v>944</v>
      </c>
      <c r="B332" s="586"/>
      <c r="C332" s="619" t="s">
        <v>1720</v>
      </c>
      <c r="D332" s="581" t="s">
        <v>1852</v>
      </c>
    </row>
    <row r="333" spans="1:4">
      <c r="A333" s="586" t="s">
        <v>944</v>
      </c>
      <c r="B333" s="359" t="s">
        <v>1737</v>
      </c>
      <c r="C333" s="619" t="s">
        <v>1720</v>
      </c>
      <c r="D333" s="359" t="s">
        <v>1740</v>
      </c>
    </row>
    <row r="334" spans="1:4">
      <c r="A334" s="586" t="s">
        <v>944</v>
      </c>
      <c r="B334" s="359" t="s">
        <v>1737</v>
      </c>
      <c r="C334" s="619" t="s">
        <v>1720</v>
      </c>
      <c r="D334" s="608" t="s">
        <v>1902</v>
      </c>
    </row>
    <row r="335" spans="1:4">
      <c r="A335" s="586" t="s">
        <v>944</v>
      </c>
      <c r="B335" s="599" t="s">
        <v>1770</v>
      </c>
      <c r="C335" s="619" t="s">
        <v>1720</v>
      </c>
      <c r="D335" s="359" t="s">
        <v>1875</v>
      </c>
    </row>
    <row r="336" spans="1:4">
      <c r="A336" s="586" t="s">
        <v>944</v>
      </c>
      <c r="B336" s="591" t="s">
        <v>1828</v>
      </c>
      <c r="C336" s="619" t="s">
        <v>1720</v>
      </c>
      <c r="D336" s="359" t="s">
        <v>1876</v>
      </c>
    </row>
    <row r="337" spans="1:4">
      <c r="A337" s="586" t="s">
        <v>944</v>
      </c>
      <c r="B337" s="591" t="s">
        <v>1828</v>
      </c>
      <c r="C337" s="619" t="s">
        <v>1720</v>
      </c>
      <c r="D337" s="359" t="s">
        <v>1823</v>
      </c>
    </row>
    <row r="338" spans="1:4">
      <c r="A338" s="586" t="s">
        <v>944</v>
      </c>
      <c r="B338" s="359"/>
      <c r="C338" s="619" t="s">
        <v>1720</v>
      </c>
      <c r="D338" s="359" t="s">
        <v>1836</v>
      </c>
    </row>
    <row r="339" spans="1:4">
      <c r="A339" s="586" t="s">
        <v>944</v>
      </c>
      <c r="B339" s="586"/>
      <c r="C339" s="619" t="s">
        <v>1720</v>
      </c>
      <c r="D339" s="359" t="s">
        <v>1877</v>
      </c>
    </row>
    <row r="340" spans="1:4">
      <c r="A340" s="586" t="s">
        <v>944</v>
      </c>
      <c r="B340" s="598" t="s">
        <v>1790</v>
      </c>
      <c r="C340" s="619" t="s">
        <v>1720</v>
      </c>
      <c r="D340" s="359" t="s">
        <v>1878</v>
      </c>
    </row>
    <row r="341" spans="1:4">
      <c r="A341" s="586" t="s">
        <v>944</v>
      </c>
      <c r="B341" s="586"/>
      <c r="C341" s="619" t="s">
        <v>1720</v>
      </c>
      <c r="D341" s="359" t="s">
        <v>1879</v>
      </c>
    </row>
    <row r="342" spans="1:4">
      <c r="A342" s="586" t="s">
        <v>944</v>
      </c>
      <c r="B342" s="586"/>
      <c r="C342" s="619" t="s">
        <v>1720</v>
      </c>
      <c r="D342" s="359" t="s">
        <v>1880</v>
      </c>
    </row>
    <row r="343" spans="1:4">
      <c r="A343" s="586" t="s">
        <v>944</v>
      </c>
      <c r="B343" s="599" t="s">
        <v>1770</v>
      </c>
      <c r="C343" s="619" t="s">
        <v>1720</v>
      </c>
      <c r="D343" s="359" t="s">
        <v>1881</v>
      </c>
    </row>
    <row r="344" spans="1:4">
      <c r="A344" s="586" t="s">
        <v>944</v>
      </c>
      <c r="B344" s="599" t="s">
        <v>1770</v>
      </c>
      <c r="C344" s="619" t="s">
        <v>1720</v>
      </c>
      <c r="D344" s="359" t="s">
        <v>1882</v>
      </c>
    </row>
    <row r="345" spans="1:4">
      <c r="A345" s="586" t="s">
        <v>944</v>
      </c>
      <c r="B345" s="599" t="s">
        <v>1770</v>
      </c>
      <c r="C345" s="619" t="s">
        <v>1720</v>
      </c>
      <c r="D345" s="359" t="s">
        <v>1883</v>
      </c>
    </row>
    <row r="346" spans="1:4">
      <c r="A346" s="586" t="s">
        <v>944</v>
      </c>
      <c r="B346" s="599" t="s">
        <v>1770</v>
      </c>
      <c r="C346" s="619" t="s">
        <v>1720</v>
      </c>
      <c r="D346" s="359" t="s">
        <v>1567</v>
      </c>
    </row>
    <row r="347" spans="1:4">
      <c r="A347" s="586" t="s">
        <v>944</v>
      </c>
      <c r="B347" s="359" t="s">
        <v>1737</v>
      </c>
      <c r="C347" s="619" t="s">
        <v>1720</v>
      </c>
      <c r="D347" s="359" t="s">
        <v>1884</v>
      </c>
    </row>
    <row r="348" spans="1:4">
      <c r="A348" s="586" t="s">
        <v>944</v>
      </c>
      <c r="B348" s="599" t="s">
        <v>1770</v>
      </c>
      <c r="C348" s="619" t="s">
        <v>1720</v>
      </c>
      <c r="D348" s="359" t="s">
        <v>1885</v>
      </c>
    </row>
    <row r="349" spans="1:4">
      <c r="A349" s="586" t="s">
        <v>944</v>
      </c>
      <c r="B349" s="599" t="s">
        <v>1770</v>
      </c>
      <c r="C349" s="619" t="s">
        <v>1720</v>
      </c>
      <c r="D349" s="359" t="s">
        <v>1777</v>
      </c>
    </row>
    <row r="350" spans="1:4">
      <c r="A350" s="586" t="s">
        <v>944</v>
      </c>
      <c r="B350" s="586" t="s">
        <v>1904</v>
      </c>
      <c r="C350" s="619" t="s">
        <v>1720</v>
      </c>
      <c r="D350" s="359" t="s">
        <v>1886</v>
      </c>
    </row>
    <row r="351" spans="1:4">
      <c r="A351" s="586" t="s">
        <v>944</v>
      </c>
      <c r="B351" s="598" t="s">
        <v>1790</v>
      </c>
      <c r="C351" s="619" t="s">
        <v>1720</v>
      </c>
      <c r="D351" s="359" t="s">
        <v>1887</v>
      </c>
    </row>
    <row r="352" spans="1:4">
      <c r="A352" s="586" t="s">
        <v>944</v>
      </c>
      <c r="B352" s="598" t="s">
        <v>1790</v>
      </c>
      <c r="C352" s="619" t="s">
        <v>1720</v>
      </c>
      <c r="D352" s="359" t="s">
        <v>1888</v>
      </c>
    </row>
    <row r="353" spans="1:4">
      <c r="A353" s="586" t="s">
        <v>944</v>
      </c>
      <c r="B353" s="599" t="s">
        <v>1770</v>
      </c>
      <c r="C353" s="619" t="s">
        <v>1720</v>
      </c>
      <c r="D353" s="359" t="s">
        <v>1889</v>
      </c>
    </row>
    <row r="354" spans="1:4">
      <c r="A354" s="586" t="s">
        <v>944</v>
      </c>
      <c r="B354" s="598" t="s">
        <v>1790</v>
      </c>
      <c r="C354" s="619" t="s">
        <v>1720</v>
      </c>
      <c r="D354" s="359" t="s">
        <v>1890</v>
      </c>
    </row>
    <row r="355" spans="1:4">
      <c r="A355" s="586" t="s">
        <v>944</v>
      </c>
      <c r="B355" s="359" t="s">
        <v>1737</v>
      </c>
      <c r="C355" s="619" t="s">
        <v>1720</v>
      </c>
      <c r="D355" s="359" t="s">
        <v>1891</v>
      </c>
    </row>
    <row r="356" spans="1:4">
      <c r="A356" s="586" t="s">
        <v>944</v>
      </c>
      <c r="B356" s="598" t="s">
        <v>1790</v>
      </c>
      <c r="C356" s="619" t="s">
        <v>1720</v>
      </c>
      <c r="D356" s="359" t="s">
        <v>1892</v>
      </c>
    </row>
    <row r="357" spans="1:4">
      <c r="A357" s="586" t="s">
        <v>944</v>
      </c>
      <c r="B357" s="598" t="s">
        <v>1790</v>
      </c>
      <c r="C357" s="619" t="s">
        <v>1720</v>
      </c>
      <c r="D357" s="359" t="s">
        <v>1910</v>
      </c>
    </row>
    <row r="358" spans="1:4">
      <c r="A358" s="586" t="s">
        <v>944</v>
      </c>
      <c r="B358" s="598" t="s">
        <v>1790</v>
      </c>
      <c r="C358" s="619" t="s">
        <v>1720</v>
      </c>
      <c r="D358" s="589" t="s">
        <v>1900</v>
      </c>
    </row>
    <row r="359" spans="1:4">
      <c r="A359" s="586" t="s">
        <v>944</v>
      </c>
      <c r="B359" s="598" t="s">
        <v>1790</v>
      </c>
      <c r="C359" s="619" t="s">
        <v>1730</v>
      </c>
      <c r="D359" s="359" t="s">
        <v>1893</v>
      </c>
    </row>
    <row r="360" spans="1:4">
      <c r="A360" s="586" t="s">
        <v>944</v>
      </c>
      <c r="B360" s="598" t="s">
        <v>1790</v>
      </c>
      <c r="C360" s="619" t="s">
        <v>1730</v>
      </c>
      <c r="D360" s="359" t="s">
        <v>58</v>
      </c>
    </row>
    <row r="361" spans="1:4">
      <c r="A361" s="586" t="s">
        <v>944</v>
      </c>
      <c r="B361" s="598" t="s">
        <v>1790</v>
      </c>
      <c r="C361" s="619" t="s">
        <v>1730</v>
      </c>
      <c r="D361" s="359" t="s">
        <v>1894</v>
      </c>
    </row>
    <row r="362" spans="1:4">
      <c r="A362" s="586" t="s">
        <v>944</v>
      </c>
      <c r="B362" s="598" t="s">
        <v>1790</v>
      </c>
      <c r="C362" s="619" t="s">
        <v>1730</v>
      </c>
      <c r="D362" s="359" t="s">
        <v>1656</v>
      </c>
    </row>
    <row r="363" spans="1:4">
      <c r="A363" s="586" t="s">
        <v>944</v>
      </c>
      <c r="B363" s="599" t="s">
        <v>1770</v>
      </c>
      <c r="C363" s="619" t="s">
        <v>1730</v>
      </c>
      <c r="D363" s="359" t="s">
        <v>1671</v>
      </c>
    </row>
    <row r="364" spans="1:4">
      <c r="A364" s="586" t="s">
        <v>944</v>
      </c>
      <c r="B364" s="599" t="s">
        <v>1770</v>
      </c>
      <c r="C364" s="619" t="s">
        <v>1730</v>
      </c>
      <c r="D364" s="359" t="s">
        <v>1895</v>
      </c>
    </row>
    <row r="365" spans="1:4">
      <c r="A365" s="586" t="s">
        <v>944</v>
      </c>
      <c r="B365" s="586" t="s">
        <v>1829</v>
      </c>
      <c r="C365" s="619" t="s">
        <v>1730</v>
      </c>
      <c r="D365" s="359" t="s">
        <v>1896</v>
      </c>
    </row>
    <row r="366" spans="1:4">
      <c r="A366" s="586" t="s">
        <v>944</v>
      </c>
      <c r="B366" s="586" t="s">
        <v>1829</v>
      </c>
      <c r="C366" s="619" t="s">
        <v>1730</v>
      </c>
      <c r="D366" s="359" t="s">
        <v>152</v>
      </c>
    </row>
    <row r="367" spans="1:4">
      <c r="A367" s="586" t="s">
        <v>944</v>
      </c>
      <c r="B367" s="586" t="s">
        <v>1829</v>
      </c>
      <c r="C367" s="619" t="s">
        <v>1730</v>
      </c>
      <c r="D367" s="359" t="s">
        <v>156</v>
      </c>
    </row>
    <row r="368" spans="1:4">
      <c r="A368" s="586" t="s">
        <v>944</v>
      </c>
      <c r="B368" s="586" t="s">
        <v>1829</v>
      </c>
      <c r="C368" s="619" t="s">
        <v>1730</v>
      </c>
      <c r="D368" s="359" t="s">
        <v>1897</v>
      </c>
    </row>
    <row r="369" spans="1:4">
      <c r="A369" s="586" t="s">
        <v>944</v>
      </c>
      <c r="B369" s="586" t="s">
        <v>1829</v>
      </c>
      <c r="C369" s="619" t="s">
        <v>1730</v>
      </c>
      <c r="D369" s="359" t="s">
        <v>1898</v>
      </c>
    </row>
    <row r="370" spans="1:4">
      <c r="A370" s="586" t="s">
        <v>944</v>
      </c>
      <c r="B370" s="586" t="s">
        <v>1829</v>
      </c>
      <c r="C370" s="619" t="s">
        <v>1730</v>
      </c>
      <c r="D370" s="359" t="s">
        <v>1899</v>
      </c>
    </row>
    <row r="371" spans="1:4">
      <c r="A371" s="586" t="s">
        <v>944</v>
      </c>
      <c r="B371" s="598" t="s">
        <v>1790</v>
      </c>
      <c r="C371" s="619" t="s">
        <v>1730</v>
      </c>
      <c r="D371" s="359" t="s">
        <v>594</v>
      </c>
    </row>
    <row r="372" spans="1:4">
      <c r="A372" s="586" t="s">
        <v>944</v>
      </c>
      <c r="B372" s="586" t="s">
        <v>1829</v>
      </c>
      <c r="C372" s="619" t="s">
        <v>1730</v>
      </c>
      <c r="D372" s="359" t="s">
        <v>1272</v>
      </c>
    </row>
    <row r="373" spans="1:4">
      <c r="A373" s="586" t="s">
        <v>944</v>
      </c>
      <c r="B373" s="591" t="s">
        <v>1828</v>
      </c>
      <c r="C373" s="619" t="s">
        <v>1730</v>
      </c>
      <c r="D373" s="359" t="s">
        <v>1406</v>
      </c>
    </row>
    <row r="374" spans="1:4">
      <c r="A374" s="586" t="s">
        <v>944</v>
      </c>
      <c r="B374" s="591" t="s">
        <v>1828</v>
      </c>
      <c r="C374" s="619" t="s">
        <v>1730</v>
      </c>
      <c r="D374" s="359" t="s">
        <v>1639</v>
      </c>
    </row>
  </sheetData>
  <conditionalFormatting sqref="A1:B1048576">
    <cfRule type="containsText" dxfId="12" priority="5" operator="containsText" text="Loco">
      <formula>NOT(ISERROR(SEARCH("Loco",A1)))</formula>
    </cfRule>
    <cfRule type="containsText" dxfId="11" priority="6" operator="containsText" text="Cancer">
      <formula>NOT(ISERROR(SEARCH("Cancer",A1)))</formula>
    </cfRule>
    <cfRule type="containsText" dxfId="10" priority="7" operator="containsText" text="immuno">
      <formula>NOT(ISERROR(SEARCH("immuno",A1)))</formula>
    </cfRule>
    <cfRule type="containsText" dxfId="9" priority="8" operator="containsText" text="Endocrinologie">
      <formula>NOT(ISERROR(SEARCH("Endocrinologie",A1)))</formula>
    </cfRule>
    <cfRule type="containsText" dxfId="8" priority="9" operator="containsText" text="urinaire">
      <formula>NOT(ISERROR(SEARCH("urinaire",A1)))</formula>
    </cfRule>
    <cfRule type="containsText" dxfId="7" priority="10" operator="containsText" text="digestif">
      <formula>NOT(ISERROR(SEARCH("digestif",A1)))</formula>
    </cfRule>
    <cfRule type="containsText" dxfId="6" priority="11" operator="containsText" text="cardio">
      <formula>NOT(ISERROR(SEARCH("cardio",A1)))</formula>
    </cfRule>
    <cfRule type="containsText" dxfId="5" priority="12" operator="containsText" text="Voies">
      <formula>NOT(ISERROR(SEARCH("Voies",A1)))</formula>
    </cfRule>
    <cfRule type="containsText" dxfId="4" priority="13" operator="containsText" text="nerveux">
      <formula>NOT(ISERROR(SEARCH("nerveux",A1)))</formula>
    </cfRule>
  </conditionalFormatting>
  <conditionalFormatting sqref="C1:C1048576">
    <cfRule type="containsText" dxfId="3" priority="14" operator="containsText" text="analyses">
      <formula>NOT(ISERROR(SEARCH("analyses",C1)))</formula>
    </cfRule>
    <cfRule type="containsText" dxfId="2" priority="15" operator="containsText" text="Autoévaluation">
      <formula>NOT(ISERROR(SEARCH("Autoévaluation",C1)))</formula>
    </cfRule>
    <cfRule type="containsText" dxfId="1" priority="16" operator="containsText" text="Axes">
      <formula>NOT(ISERROR(SEARCH("Axes",C1)))</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60D91-E4C3-4D0D-BAF8-342174EFBB94}">
  <sheetPr codeName="Feuil15"/>
  <dimension ref="A1:I61"/>
  <sheetViews>
    <sheetView topLeftCell="C1" zoomScale="66" zoomScaleNormal="66" workbookViewId="0">
      <pane xSplit="1" ySplit="1" topLeftCell="D29" activePane="bottomRight" state="frozen"/>
      <selection activeCell="C1" sqref="C1"/>
      <selection pane="topRight" activeCell="D1" sqref="D1"/>
      <selection pane="bottomLeft" activeCell="C2" sqref="C2"/>
      <selection pane="bottomRight" activeCell="D35" sqref="D35:D37"/>
    </sheetView>
  </sheetViews>
  <sheetFormatPr baseColWidth="10" defaultColWidth="97.5546875" defaultRowHeight="18"/>
  <cols>
    <col min="1" max="1" width="82.6640625" style="377" bestFit="1" customWidth="1"/>
    <col min="2" max="2" width="25.77734375" style="72" bestFit="1" customWidth="1"/>
    <col min="3" max="3" width="16.5546875" style="70" customWidth="1"/>
    <col min="4" max="4" width="95.88671875" style="116" bestFit="1" customWidth="1"/>
    <col min="5" max="5" width="70.21875" style="76" bestFit="1" customWidth="1"/>
    <col min="6" max="6" width="11" style="90" bestFit="1" customWidth="1"/>
    <col min="7" max="7" width="19.6640625" style="72" bestFit="1" customWidth="1"/>
    <col min="8" max="8" width="18.109375" style="72" bestFit="1" customWidth="1"/>
    <col min="9" max="9" width="72.21875" style="72" bestFit="1" customWidth="1"/>
    <col min="10" max="16384" width="97.5546875" style="72"/>
  </cols>
  <sheetData>
    <row r="1" spans="1:8">
      <c r="B1" s="97"/>
      <c r="D1" s="114"/>
      <c r="E1" s="98" t="s">
        <v>85</v>
      </c>
      <c r="G1" s="79" t="s">
        <v>86</v>
      </c>
      <c r="H1" s="99">
        <f ca="1">TODAY()</f>
        <v>46223</v>
      </c>
    </row>
    <row r="2" spans="1:8" ht="35.4">
      <c r="A2" s="245" t="s">
        <v>762</v>
      </c>
      <c r="B2" s="103" t="s">
        <v>1020</v>
      </c>
      <c r="D2" s="115" t="s">
        <v>1134</v>
      </c>
      <c r="E2" s="88">
        <v>180</v>
      </c>
      <c r="F2" s="388" t="s">
        <v>0</v>
      </c>
      <c r="G2" s="90">
        <f>(E3*100)/(E2*E2)</f>
        <v>0.24382716049382716</v>
      </c>
    </row>
    <row r="3" spans="1:8">
      <c r="A3" s="245" t="s">
        <v>763</v>
      </c>
      <c r="D3" s="115" t="s">
        <v>1135</v>
      </c>
      <c r="E3" s="88">
        <v>79</v>
      </c>
    </row>
    <row r="4" spans="1:8" ht="36">
      <c r="A4" s="378" t="s">
        <v>812</v>
      </c>
      <c r="B4" s="103"/>
      <c r="D4" s="115" t="s">
        <v>1152</v>
      </c>
      <c r="E4" s="88">
        <v>89</v>
      </c>
    </row>
    <row r="5" spans="1:8" ht="35.4">
      <c r="A5" s="379" t="s">
        <v>813</v>
      </c>
      <c r="D5" s="115" t="s">
        <v>1153</v>
      </c>
      <c r="E5" s="91">
        <v>120</v>
      </c>
    </row>
    <row r="6" spans="1:8" ht="35.4">
      <c r="A6" s="379" t="s">
        <v>814</v>
      </c>
      <c r="D6" s="115" t="s">
        <v>1154</v>
      </c>
      <c r="E6" s="91">
        <v>70</v>
      </c>
    </row>
    <row r="7" spans="1:8">
      <c r="A7" s="380" t="s">
        <v>818</v>
      </c>
      <c r="D7" s="386" t="s">
        <v>607</v>
      </c>
      <c r="E7" s="88">
        <v>120</v>
      </c>
    </row>
    <row r="8" spans="1:8">
      <c r="A8" s="245" t="s">
        <v>762</v>
      </c>
      <c r="D8" s="386" t="s">
        <v>608</v>
      </c>
      <c r="E8" s="88">
        <v>125</v>
      </c>
    </row>
    <row r="9" spans="1:8">
      <c r="A9" s="245" t="s">
        <v>763</v>
      </c>
      <c r="D9" s="386" t="s">
        <v>641</v>
      </c>
      <c r="E9" s="88">
        <v>75</v>
      </c>
    </row>
    <row r="10" spans="1:8">
      <c r="A10" s="245" t="s">
        <v>803</v>
      </c>
      <c r="D10" s="386" t="s">
        <v>642</v>
      </c>
      <c r="E10" s="88">
        <v>120</v>
      </c>
    </row>
    <row r="11" spans="1:8" ht="36">
      <c r="A11" s="381" t="s">
        <v>1005</v>
      </c>
      <c r="D11" s="386" t="s">
        <v>643</v>
      </c>
      <c r="E11" s="88">
        <v>120</v>
      </c>
    </row>
    <row r="12" spans="1:8">
      <c r="A12" s="245" t="s">
        <v>1006</v>
      </c>
      <c r="D12" s="386" t="s">
        <v>613</v>
      </c>
      <c r="E12" s="88">
        <v>70</v>
      </c>
    </row>
    <row r="13" spans="1:8">
      <c r="A13" s="245" t="s">
        <v>1007</v>
      </c>
      <c r="D13" s="386" t="s">
        <v>609</v>
      </c>
      <c r="E13" s="88">
        <v>80</v>
      </c>
    </row>
    <row r="14" spans="1:8">
      <c r="A14" s="245" t="s">
        <v>1002</v>
      </c>
      <c r="D14" s="386" t="s">
        <v>614</v>
      </c>
      <c r="E14" s="88">
        <v>80</v>
      </c>
    </row>
    <row r="15" spans="1:8">
      <c r="A15" s="245" t="s">
        <v>983</v>
      </c>
      <c r="D15" s="386" t="s">
        <v>644</v>
      </c>
      <c r="E15" s="88">
        <v>75</v>
      </c>
    </row>
    <row r="16" spans="1:8" ht="36">
      <c r="A16" s="381" t="s">
        <v>1008</v>
      </c>
      <c r="D16" s="386" t="s">
        <v>610</v>
      </c>
      <c r="E16" s="88">
        <v>96</v>
      </c>
    </row>
    <row r="17" spans="1:8">
      <c r="A17" s="247" t="s">
        <v>841</v>
      </c>
      <c r="D17" s="386" t="s">
        <v>611</v>
      </c>
      <c r="E17" s="88">
        <v>96</v>
      </c>
    </row>
    <row r="18" spans="1:8">
      <c r="A18" s="245" t="s">
        <v>762</v>
      </c>
      <c r="D18" s="386" t="s">
        <v>633</v>
      </c>
      <c r="E18" s="88" t="s">
        <v>635</v>
      </c>
    </row>
    <row r="19" spans="1:8">
      <c r="A19" s="245" t="s">
        <v>763</v>
      </c>
      <c r="D19" s="386" t="s">
        <v>634</v>
      </c>
      <c r="E19" s="88" t="s">
        <v>635</v>
      </c>
    </row>
    <row r="20" spans="1:8" ht="54">
      <c r="A20" s="247" t="s">
        <v>842</v>
      </c>
      <c r="D20" s="382" t="s">
        <v>740</v>
      </c>
      <c r="E20" s="208">
        <v>0</v>
      </c>
    </row>
    <row r="21" spans="1:8">
      <c r="A21" s="245" t="s">
        <v>762</v>
      </c>
      <c r="D21" s="210" t="s">
        <v>735</v>
      </c>
    </row>
    <row r="22" spans="1:8">
      <c r="A22" s="245" t="s">
        <v>763</v>
      </c>
      <c r="D22" s="210" t="s">
        <v>742</v>
      </c>
      <c r="E22" s="76">
        <v>0</v>
      </c>
      <c r="G22" s="72">
        <f>E22/20</f>
        <v>0</v>
      </c>
    </row>
    <row r="23" spans="1:8" ht="36">
      <c r="A23" s="247" t="s">
        <v>843</v>
      </c>
      <c r="D23" s="210" t="s">
        <v>743</v>
      </c>
      <c r="E23" s="76" t="s">
        <v>781</v>
      </c>
      <c r="G23" s="72">
        <f>IF(E23="Normale",1,0)</f>
        <v>0</v>
      </c>
    </row>
    <row r="24" spans="1:8">
      <c r="A24" s="245" t="s">
        <v>762</v>
      </c>
      <c r="D24" s="210" t="s">
        <v>744</v>
      </c>
      <c r="E24" s="76" t="s">
        <v>781</v>
      </c>
      <c r="G24" s="72">
        <f>IF(E24="Normale",1,0)</f>
        <v>0</v>
      </c>
      <c r="H24" s="218" t="s">
        <v>119</v>
      </c>
    </row>
    <row r="25" spans="1:8">
      <c r="A25" s="245" t="s">
        <v>763</v>
      </c>
      <c r="D25" s="383" t="s">
        <v>748</v>
      </c>
      <c r="E25" s="317" t="s">
        <v>745</v>
      </c>
      <c r="F25" s="340" t="s">
        <v>749</v>
      </c>
      <c r="G25" s="322"/>
      <c r="H25" s="322"/>
    </row>
    <row r="26" spans="1:8">
      <c r="A26" s="245" t="s">
        <v>816</v>
      </c>
      <c r="D26" s="387" t="s">
        <v>746</v>
      </c>
      <c r="E26" s="317"/>
      <c r="F26" s="340"/>
      <c r="G26" s="322"/>
      <c r="H26" s="219" t="s">
        <v>119</v>
      </c>
    </row>
    <row r="27" spans="1:8">
      <c r="A27" s="384" t="s">
        <v>1009</v>
      </c>
      <c r="D27" s="358" t="s">
        <v>745</v>
      </c>
      <c r="E27" s="317"/>
      <c r="F27" s="340"/>
      <c r="G27" s="322"/>
      <c r="H27" s="322"/>
    </row>
    <row r="28" spans="1:8">
      <c r="A28" s="385" t="s">
        <v>844</v>
      </c>
      <c r="D28" s="387" t="s">
        <v>747</v>
      </c>
      <c r="E28" s="317"/>
      <c r="F28" s="340"/>
      <c r="G28" s="322"/>
      <c r="H28" s="322"/>
    </row>
    <row r="29" spans="1:8">
      <c r="A29" s="377" t="s">
        <v>845</v>
      </c>
      <c r="D29" s="116" t="s">
        <v>1418</v>
      </c>
    </row>
    <row r="33" spans="1:9" ht="34.799999999999997">
      <c r="A33" s="72"/>
      <c r="B33" s="70"/>
      <c r="D33" s="116" t="s">
        <v>693</v>
      </c>
      <c r="E33" s="124">
        <v>0</v>
      </c>
    </row>
    <row r="35" spans="1:9">
      <c r="D35" s="116" t="s">
        <v>1092</v>
      </c>
    </row>
    <row r="36" spans="1:9">
      <c r="D36" s="116" t="s">
        <v>1093</v>
      </c>
    </row>
    <row r="37" spans="1:9">
      <c r="D37" s="116" t="s">
        <v>1094</v>
      </c>
    </row>
    <row r="38" spans="1:9">
      <c r="D38" s="116" t="s">
        <v>1095</v>
      </c>
    </row>
    <row r="39" spans="1:9" ht="36">
      <c r="D39" s="391" t="s">
        <v>1261</v>
      </c>
      <c r="E39" s="391"/>
      <c r="F39" s="390"/>
      <c r="G39" s="391" t="s">
        <v>1183</v>
      </c>
      <c r="H39" s="391" t="s">
        <v>1184</v>
      </c>
      <c r="I39" s="391" t="s">
        <v>1185</v>
      </c>
    </row>
    <row r="40" spans="1:9" ht="198">
      <c r="D40" s="391" t="s">
        <v>1253</v>
      </c>
      <c r="E40" s="391"/>
      <c r="F40" s="390" t="s">
        <v>1173</v>
      </c>
      <c r="G40" s="392" t="s">
        <v>1186</v>
      </c>
      <c r="H40" s="392" t="s">
        <v>1201</v>
      </c>
      <c r="I40" s="392" t="s">
        <v>1202</v>
      </c>
    </row>
    <row r="41" spans="1:9" ht="90">
      <c r="D41" s="391" t="s">
        <v>1254</v>
      </c>
      <c r="E41" s="391"/>
      <c r="F41" s="390"/>
      <c r="G41" s="392" t="s">
        <v>1187</v>
      </c>
      <c r="H41" s="392" t="s">
        <v>1203</v>
      </c>
      <c r="I41" s="392" t="s">
        <v>1188</v>
      </c>
    </row>
    <row r="42" spans="1:9" ht="234">
      <c r="D42" s="391" t="s">
        <v>1255</v>
      </c>
      <c r="E42" s="391"/>
      <c r="F42" s="390"/>
      <c r="G42" s="392" t="s">
        <v>1189</v>
      </c>
      <c r="H42" s="392" t="s">
        <v>1204</v>
      </c>
      <c r="I42" s="392" t="s">
        <v>1190</v>
      </c>
    </row>
    <row r="43" spans="1:9" ht="180">
      <c r="D43" s="391" t="s">
        <v>1256</v>
      </c>
      <c r="E43" s="391"/>
      <c r="F43" s="390"/>
      <c r="G43" s="392" t="s">
        <v>1191</v>
      </c>
      <c r="H43" s="392" t="s">
        <v>1192</v>
      </c>
      <c r="I43" s="392" t="s">
        <v>1205</v>
      </c>
    </row>
    <row r="44" spans="1:9" ht="144">
      <c r="D44" s="391" t="s">
        <v>1257</v>
      </c>
      <c r="E44" s="391"/>
      <c r="F44" s="390"/>
      <c r="G44" s="392" t="s">
        <v>1193</v>
      </c>
      <c r="H44" s="392" t="s">
        <v>1194</v>
      </c>
      <c r="I44" s="392" t="s">
        <v>1195</v>
      </c>
    </row>
    <row r="45" spans="1:9" ht="144">
      <c r="D45" s="391" t="s">
        <v>1258</v>
      </c>
      <c r="E45" s="391"/>
      <c r="F45" s="390"/>
      <c r="G45" s="392" t="s">
        <v>1196</v>
      </c>
      <c r="H45" s="392" t="s">
        <v>1197</v>
      </c>
      <c r="I45" s="392" t="s">
        <v>1206</v>
      </c>
    </row>
    <row r="46" spans="1:9" ht="180">
      <c r="D46" s="391" t="s">
        <v>1259</v>
      </c>
      <c r="E46" s="391"/>
      <c r="F46" s="390"/>
      <c r="G46" s="392" t="s">
        <v>1207</v>
      </c>
      <c r="H46" s="392" t="s">
        <v>1208</v>
      </c>
      <c r="I46" s="392" t="s">
        <v>1209</v>
      </c>
    </row>
    <row r="47" spans="1:9" ht="90">
      <c r="D47" s="391" t="s">
        <v>1260</v>
      </c>
      <c r="E47" s="391"/>
      <c r="F47" s="390"/>
      <c r="G47" s="392" t="s">
        <v>1198</v>
      </c>
      <c r="H47" s="392" t="s">
        <v>1199</v>
      </c>
      <c r="I47" s="392" t="s">
        <v>1200</v>
      </c>
    </row>
    <row r="48" spans="1:9">
      <c r="E48" s="116"/>
      <c r="F48" s="389"/>
    </row>
    <row r="49" spans="5:6">
      <c r="E49" s="116"/>
      <c r="F49" s="389"/>
    </row>
    <row r="50" spans="5:6">
      <c r="E50" s="116"/>
      <c r="F50" s="389"/>
    </row>
    <row r="51" spans="5:6">
      <c r="E51" s="116"/>
      <c r="F51" s="389"/>
    </row>
    <row r="52" spans="5:6">
      <c r="E52" s="116"/>
      <c r="F52" s="389"/>
    </row>
    <row r="53" spans="5:6">
      <c r="E53" s="116"/>
      <c r="F53" s="389"/>
    </row>
    <row r="54" spans="5:6">
      <c r="E54" s="116"/>
      <c r="F54" s="389"/>
    </row>
    <row r="55" spans="5:6">
      <c r="E55" s="116"/>
      <c r="F55" s="389"/>
    </row>
    <row r="56" spans="5:6">
      <c r="E56" s="116"/>
      <c r="F56" s="389"/>
    </row>
    <row r="57" spans="5:6">
      <c r="E57" s="116"/>
      <c r="F57" s="389"/>
    </row>
    <row r="58" spans="5:6">
      <c r="E58" s="116"/>
      <c r="F58" s="389"/>
    </row>
    <row r="59" spans="5:6">
      <c r="E59" s="116"/>
      <c r="F59" s="389"/>
    </row>
    <row r="60" spans="5:6">
      <c r="E60" s="116"/>
      <c r="F60" s="389"/>
    </row>
    <row r="61" spans="5:6">
      <c r="E61" s="116"/>
      <c r="F61" s="389"/>
    </row>
  </sheetData>
  <dataValidations count="2">
    <dataValidation type="list" allowBlank="1" showInputMessage="1" showErrorMessage="1" sqref="E25" xr:uid="{52F40673-28B9-4745-9315-B378427E0C61}">
      <formula1>$D$26:$D$28</formula1>
    </dataValidation>
    <dataValidation type="list" allowBlank="1" showInputMessage="1" showErrorMessage="1" sqref="F40" xr:uid="{D29EBC73-DF55-4B50-A5F8-D89D4A62C106}">
      <formula1>"A,B,C"</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E33E5-CFE2-4A24-9F58-06FE13044415}">
  <sheetPr codeName="Feuil16"/>
  <dimension ref="A1:R107"/>
  <sheetViews>
    <sheetView topLeftCell="I1" workbookViewId="0">
      <selection activeCell="K98" sqref="K98"/>
    </sheetView>
  </sheetViews>
  <sheetFormatPr baseColWidth="10" defaultColWidth="10.88671875" defaultRowHeight="15.6"/>
  <cols>
    <col min="1" max="1" width="40.44140625" style="154" bestFit="1" customWidth="1"/>
    <col min="2" max="2" width="17.21875" style="185" customWidth="1"/>
    <col min="3" max="3" width="13.109375" style="69" customWidth="1"/>
    <col min="4" max="4" width="10.88671875" style="155"/>
    <col min="5" max="6" width="10.88671875" style="156"/>
    <col min="7" max="7" width="22.88671875" style="26" customWidth="1"/>
    <col min="8" max="8" width="8.109375" style="26" customWidth="1"/>
    <col min="9" max="11" width="10.88671875" style="157"/>
    <col min="12" max="12" width="30.21875" style="157" customWidth="1"/>
    <col min="13" max="13" width="10.88671875" style="157"/>
    <col min="14" max="14" width="14.88671875" style="156" customWidth="1"/>
    <col min="15" max="15" width="16.88671875" style="156" customWidth="1"/>
    <col min="16" max="16384" width="10.88671875" style="156"/>
  </cols>
  <sheetData>
    <row r="1" spans="1:18">
      <c r="A1" s="68" t="s">
        <v>129</v>
      </c>
      <c r="B1" s="258" t="s">
        <v>130</v>
      </c>
      <c r="C1" s="154" t="s">
        <v>131</v>
      </c>
    </row>
    <row r="2" spans="1:18">
      <c r="A2" s="123" t="s">
        <v>132</v>
      </c>
      <c r="B2" s="259" t="s">
        <v>133</v>
      </c>
      <c r="C2" s="49">
        <v>1.19</v>
      </c>
      <c r="I2" s="26">
        <v>0</v>
      </c>
      <c r="J2" s="26">
        <v>1</v>
      </c>
      <c r="K2" s="26">
        <v>2</v>
      </c>
    </row>
    <row r="3" spans="1:18" ht="19.2">
      <c r="A3" s="104" t="s">
        <v>134</v>
      </c>
      <c r="B3" s="259" t="s">
        <v>135</v>
      </c>
      <c r="C3" s="50">
        <v>1</v>
      </c>
      <c r="D3" s="158">
        <f>C3*2.59</f>
        <v>2.59</v>
      </c>
      <c r="E3" s="156" t="s">
        <v>225</v>
      </c>
      <c r="F3" s="156" t="s">
        <v>337</v>
      </c>
      <c r="G3" s="51" t="s">
        <v>1</v>
      </c>
      <c r="H3" s="52">
        <f>C11</f>
        <v>5</v>
      </c>
      <c r="J3" s="157">
        <f>C3*2.58</f>
        <v>2.58</v>
      </c>
      <c r="K3" s="157" t="s">
        <v>311</v>
      </c>
      <c r="N3" s="159" t="s">
        <v>203</v>
      </c>
      <c r="O3" s="160">
        <f>C56</f>
        <v>65</v>
      </c>
    </row>
    <row r="4" spans="1:18" ht="19.2">
      <c r="A4" s="104" t="s">
        <v>136</v>
      </c>
      <c r="B4" s="259" t="s">
        <v>135</v>
      </c>
      <c r="C4" s="50">
        <v>0.56000000000000005</v>
      </c>
      <c r="D4" s="158">
        <f t="shared" ref="D4:D5" si="0">C4*2.59</f>
        <v>1.4504000000000001</v>
      </c>
      <c r="E4" s="156" t="s">
        <v>225</v>
      </c>
      <c r="F4" s="156" t="s">
        <v>336</v>
      </c>
      <c r="G4" s="51" t="s">
        <v>2</v>
      </c>
      <c r="H4" s="52">
        <f>C33</f>
        <v>510</v>
      </c>
      <c r="J4" s="157">
        <f>C4*2.58</f>
        <v>1.4448000000000001</v>
      </c>
      <c r="K4" s="157" t="s">
        <v>311</v>
      </c>
      <c r="N4" s="159" t="s">
        <v>307</v>
      </c>
      <c r="O4" s="156">
        <f>IF(ImportQuestion!F82="N",0,1)</f>
        <v>0</v>
      </c>
    </row>
    <row r="5" spans="1:18" ht="19.2">
      <c r="A5" s="104" t="s">
        <v>137</v>
      </c>
      <c r="B5" s="259" t="s">
        <v>135</v>
      </c>
      <c r="C5" s="50">
        <v>1.89</v>
      </c>
      <c r="D5" s="158">
        <f t="shared" si="0"/>
        <v>4.8950999999999993</v>
      </c>
      <c r="E5" s="156" t="s">
        <v>225</v>
      </c>
      <c r="F5" s="156" t="s">
        <v>335</v>
      </c>
      <c r="G5" s="126" t="s">
        <v>3</v>
      </c>
      <c r="H5" s="134">
        <f>C8</f>
        <v>2.2000000000000002</v>
      </c>
      <c r="N5" s="156" t="s">
        <v>308</v>
      </c>
      <c r="O5" s="156">
        <f>ImportQuestion!F80</f>
        <v>0</v>
      </c>
      <c r="P5" s="159"/>
    </row>
    <row r="6" spans="1:18" ht="19.2">
      <c r="A6" s="104" t="s">
        <v>138</v>
      </c>
      <c r="B6" s="259" t="s">
        <v>135</v>
      </c>
      <c r="C6" s="50">
        <v>0.64</v>
      </c>
      <c r="D6" s="51">
        <f>C6*1.13</f>
        <v>0.72319999999999995</v>
      </c>
      <c r="E6" s="156" t="s">
        <v>225</v>
      </c>
      <c r="G6" s="51" t="s">
        <v>4</v>
      </c>
      <c r="H6" s="54">
        <f>D3</f>
        <v>2.59</v>
      </c>
      <c r="N6" s="156" t="s">
        <v>309</v>
      </c>
      <c r="O6" s="156">
        <f>H6</f>
        <v>2.59</v>
      </c>
      <c r="P6" s="159"/>
    </row>
    <row r="7" spans="1:18" ht="19.2">
      <c r="A7" s="104" t="s">
        <v>139</v>
      </c>
      <c r="B7" s="259" t="s">
        <v>140</v>
      </c>
      <c r="C7" s="49">
        <v>1.1000000000000001</v>
      </c>
      <c r="G7" s="51" t="s">
        <v>84</v>
      </c>
      <c r="H7" s="106">
        <f>C7</f>
        <v>1.1000000000000001</v>
      </c>
      <c r="N7" s="156" t="s">
        <v>310</v>
      </c>
      <c r="O7" s="156">
        <f>H8</f>
        <v>1.4504000000000001</v>
      </c>
      <c r="P7" s="159"/>
    </row>
    <row r="8" spans="1:18" ht="19.2">
      <c r="A8" s="161" t="s">
        <v>339</v>
      </c>
      <c r="B8" s="260" t="s">
        <v>341</v>
      </c>
      <c r="C8" s="113">
        <v>2.2000000000000002</v>
      </c>
      <c r="D8" s="162">
        <f>C8*4</f>
        <v>8.8000000000000007</v>
      </c>
      <c r="E8" s="163" t="s">
        <v>342</v>
      </c>
      <c r="F8" s="156" t="s">
        <v>340</v>
      </c>
      <c r="G8" s="51" t="s">
        <v>5</v>
      </c>
      <c r="H8" s="54">
        <f>D4</f>
        <v>1.4504000000000001</v>
      </c>
      <c r="N8" s="156" t="s">
        <v>219</v>
      </c>
      <c r="O8" s="156">
        <f>ImportQuestion!H3</f>
        <v>1</v>
      </c>
      <c r="P8" s="159"/>
    </row>
    <row r="9" spans="1:18">
      <c r="A9" s="104" t="s">
        <v>141</v>
      </c>
      <c r="B9" s="259" t="s">
        <v>133</v>
      </c>
      <c r="C9" s="49">
        <v>0.95</v>
      </c>
      <c r="D9" s="164">
        <f>C9*5.5</f>
        <v>5.2249999999999996</v>
      </c>
      <c r="E9" s="156" t="s">
        <v>225</v>
      </c>
      <c r="G9" s="51" t="s">
        <v>6</v>
      </c>
      <c r="H9" s="52">
        <f>C10</f>
        <v>6.4</v>
      </c>
      <c r="K9" s="157" t="s">
        <v>106</v>
      </c>
      <c r="O9" s="160"/>
    </row>
    <row r="10" spans="1:18">
      <c r="A10" s="104" t="s">
        <v>142</v>
      </c>
      <c r="B10" s="259" t="s">
        <v>143</v>
      </c>
      <c r="C10" s="50">
        <v>6.4</v>
      </c>
      <c r="G10" s="51" t="s">
        <v>79</v>
      </c>
      <c r="H10" s="107">
        <f>C2</f>
        <v>1.19</v>
      </c>
      <c r="I10" s="157">
        <v>0.3</v>
      </c>
      <c r="K10" s="157" t="s">
        <v>100</v>
      </c>
      <c r="L10" s="165">
        <f>(ImportQuestion!F6*H25)/((H22*(SQRT(H24))))</f>
        <v>2.2335251842817749</v>
      </c>
    </row>
    <row r="11" spans="1:18">
      <c r="A11" s="104" t="s">
        <v>144</v>
      </c>
      <c r="B11" s="259" t="s">
        <v>145</v>
      </c>
      <c r="C11" s="50">
        <v>5</v>
      </c>
      <c r="G11" s="51" t="s">
        <v>7</v>
      </c>
      <c r="H11" s="56">
        <f>D6</f>
        <v>0.72319999999999995</v>
      </c>
      <c r="L11" s="157" t="s">
        <v>101</v>
      </c>
    </row>
    <row r="12" spans="1:18">
      <c r="A12" s="104" t="s">
        <v>146</v>
      </c>
      <c r="B12" s="259" t="s">
        <v>147</v>
      </c>
      <c r="C12" s="50">
        <v>14</v>
      </c>
      <c r="G12" s="51" t="s">
        <v>128</v>
      </c>
      <c r="H12" s="52">
        <f>C5</f>
        <v>1.89</v>
      </c>
    </row>
    <row r="13" spans="1:18">
      <c r="A13" s="104" t="s">
        <v>148</v>
      </c>
      <c r="B13" s="259" t="s">
        <v>149</v>
      </c>
      <c r="C13" s="50">
        <v>92</v>
      </c>
      <c r="G13" s="51" t="s">
        <v>8</v>
      </c>
      <c r="H13" s="52">
        <f>C21</f>
        <v>250</v>
      </c>
      <c r="K13" s="157" t="s">
        <v>236</v>
      </c>
      <c r="L13" s="51">
        <f>(-0.38+L16*1.37)/100</f>
        <v>0.15032500000000001</v>
      </c>
      <c r="M13" s="51">
        <f xml:space="preserve"> (-0.148+0.89*M16)/100</f>
        <v>7.8620000000000023E-2</v>
      </c>
    </row>
    <row r="14" spans="1:18">
      <c r="A14" s="104" t="s">
        <v>150</v>
      </c>
      <c r="B14" s="259" t="s">
        <v>151</v>
      </c>
      <c r="C14" s="50">
        <v>5</v>
      </c>
      <c r="D14" s="155" t="s">
        <v>257</v>
      </c>
      <c r="G14" s="51" t="s">
        <v>9</v>
      </c>
      <c r="H14" s="56">
        <f>C35</f>
        <v>52</v>
      </c>
      <c r="N14" s="156" t="s">
        <v>306</v>
      </c>
    </row>
    <row r="15" spans="1:18" ht="16.8">
      <c r="A15" s="104" t="s">
        <v>152</v>
      </c>
      <c r="B15" s="57" t="s">
        <v>153</v>
      </c>
      <c r="C15" s="166">
        <v>6.3</v>
      </c>
      <c r="D15" s="155" t="s">
        <v>256</v>
      </c>
      <c r="G15" s="126" t="s">
        <v>10</v>
      </c>
      <c r="H15" s="127">
        <f>C30</f>
        <v>150</v>
      </c>
      <c r="K15" s="26" t="s">
        <v>102</v>
      </c>
      <c r="L15" s="26" t="s">
        <v>61</v>
      </c>
      <c r="M15" s="26" t="s">
        <v>62</v>
      </c>
      <c r="N15" s="156" t="s">
        <v>61</v>
      </c>
      <c r="O15" s="156" t="s">
        <v>62</v>
      </c>
      <c r="P15" s="167"/>
      <c r="R15" s="168"/>
    </row>
    <row r="16" spans="1:18" ht="19.2">
      <c r="A16" s="104" t="s">
        <v>154</v>
      </c>
      <c r="B16" s="57" t="s">
        <v>153</v>
      </c>
      <c r="C16" s="50">
        <v>3.7</v>
      </c>
      <c r="D16" s="155" t="s">
        <v>259</v>
      </c>
      <c r="G16" s="51" t="s">
        <v>104</v>
      </c>
      <c r="H16" s="53">
        <f>D36</f>
        <v>88.4</v>
      </c>
      <c r="K16" s="26" t="s">
        <v>27</v>
      </c>
      <c r="L16" s="26">
        <f>-10.2+0.33*ImportQuestion!F6</f>
        <v>11.25</v>
      </c>
      <c r="M16" s="51">
        <f xml:space="preserve"> -7.9+0.26*ImportQuestion!F6</f>
        <v>9.0000000000000018</v>
      </c>
      <c r="P16" s="159"/>
    </row>
    <row r="17" spans="1:16" ht="19.2">
      <c r="A17" s="104" t="s">
        <v>155</v>
      </c>
      <c r="B17" s="57" t="s">
        <v>153</v>
      </c>
      <c r="C17" s="50">
        <v>0.06</v>
      </c>
      <c r="D17" s="155">
        <v>0.1</v>
      </c>
      <c r="G17" s="51" t="s">
        <v>11</v>
      </c>
      <c r="H17" s="52">
        <f>C25</f>
        <v>60</v>
      </c>
      <c r="K17" s="26" t="s">
        <v>63</v>
      </c>
      <c r="L17" s="26">
        <f>-12.3+0.09*ImportQuestion!F80</f>
        <v>-12.3</v>
      </c>
      <c r="M17" s="51">
        <f>-20.4+0.15*ImportQuestion!F80</f>
        <v>-20.399999999999999</v>
      </c>
      <c r="P17" s="159"/>
    </row>
    <row r="18" spans="1:16" ht="19.2">
      <c r="A18" s="104" t="s">
        <v>156</v>
      </c>
      <c r="B18" s="57" t="s">
        <v>153</v>
      </c>
      <c r="C18" s="50">
        <v>2</v>
      </c>
      <c r="D18" s="155" t="s">
        <v>260</v>
      </c>
      <c r="G18" s="51" t="s">
        <v>12</v>
      </c>
      <c r="H18" s="52">
        <f>C12</f>
        <v>14</v>
      </c>
      <c r="K18" s="26" t="s">
        <v>64</v>
      </c>
      <c r="L18" s="26">
        <f>IF(ImportQuestion!F104="Y",1,0)</f>
        <v>1</v>
      </c>
      <c r="M18" s="51">
        <f>IF(ImportQuestion!F104="Y",1,0)</f>
        <v>1</v>
      </c>
      <c r="P18" s="159"/>
    </row>
    <row r="19" spans="1:16" ht="19.2">
      <c r="A19" s="104" t="s">
        <v>157</v>
      </c>
      <c r="B19" s="57" t="s">
        <v>153</v>
      </c>
      <c r="C19" s="50">
        <v>267</v>
      </c>
      <c r="D19" s="155" t="s">
        <v>258</v>
      </c>
      <c r="G19" s="51" t="s">
        <v>13</v>
      </c>
      <c r="H19" s="58">
        <f>C15</f>
        <v>6.3</v>
      </c>
      <c r="K19" s="26" t="s">
        <v>65</v>
      </c>
      <c r="L19" s="26">
        <f>-4+2.5*(H6*0.386)</f>
        <v>-1.5006500000000003</v>
      </c>
      <c r="M19" s="51">
        <f xml:space="preserve"> -5.27+3.29*(H6*0.386)</f>
        <v>-1.9808553999999998</v>
      </c>
      <c r="P19" s="159"/>
    </row>
    <row r="20" spans="1:16" ht="19.2">
      <c r="A20" s="104" t="s">
        <v>158</v>
      </c>
      <c r="B20" s="57" t="s">
        <v>159</v>
      </c>
      <c r="C20" s="49"/>
      <c r="G20" s="51" t="s">
        <v>552</v>
      </c>
      <c r="H20" s="52">
        <f>C16</f>
        <v>3.7</v>
      </c>
      <c r="K20" s="26" t="s">
        <v>66</v>
      </c>
      <c r="L20" s="26">
        <f>IF(ImportQuestion!F95="Y",1,0)</f>
        <v>0</v>
      </c>
      <c r="M20" s="51">
        <f>IF(ImportQuestion!F95="Y",1,0)</f>
        <v>0</v>
      </c>
      <c r="P20" s="159"/>
    </row>
    <row r="21" spans="1:16" ht="19.2">
      <c r="A21" s="104" t="s">
        <v>160</v>
      </c>
      <c r="B21" s="57" t="s">
        <v>161</v>
      </c>
      <c r="C21" s="50">
        <v>250</v>
      </c>
      <c r="G21" s="51" t="s">
        <v>14</v>
      </c>
      <c r="H21" s="52">
        <f>C18</f>
        <v>2</v>
      </c>
      <c r="K21" s="26" t="s">
        <v>67</v>
      </c>
      <c r="L21" s="26">
        <f>IF(ImportQuestion!F82="Y",1,0)</f>
        <v>0</v>
      </c>
      <c r="M21" s="51">
        <f>IF(ImportQuestion!F82="Y",1,0)</f>
        <v>0</v>
      </c>
      <c r="P21" s="159"/>
    </row>
    <row r="22" spans="1:16" ht="19.2">
      <c r="A22" s="104" t="s">
        <v>162</v>
      </c>
      <c r="B22" s="57" t="s">
        <v>143</v>
      </c>
      <c r="C22" s="49"/>
      <c r="G22" s="51" t="s">
        <v>15</v>
      </c>
      <c r="H22" s="52">
        <f>C19</f>
        <v>267</v>
      </c>
      <c r="K22" s="26" t="s">
        <v>68</v>
      </c>
      <c r="L22" s="51">
        <f>SUM(L16:L21)</f>
        <v>-1.550650000000001</v>
      </c>
      <c r="M22" s="51">
        <f>SUM(M16:M21)</f>
        <v>-12.380855399999996</v>
      </c>
      <c r="P22" s="159"/>
    </row>
    <row r="23" spans="1:16">
      <c r="A23" s="104" t="s">
        <v>163</v>
      </c>
      <c r="B23" s="57" t="s">
        <v>164</v>
      </c>
      <c r="C23" s="50">
        <v>23</v>
      </c>
      <c r="G23" s="133" t="s">
        <v>16</v>
      </c>
      <c r="H23" s="55"/>
      <c r="K23" s="26" t="s">
        <v>116</v>
      </c>
      <c r="L23" s="51">
        <f>(-0.38+L22*1.37)/100</f>
        <v>-2.5043905000000012E-2</v>
      </c>
      <c r="M23" s="51">
        <f xml:space="preserve"> (-0.148+0.89*M22)/100</f>
        <v>-0.11166961305999995</v>
      </c>
    </row>
    <row r="24" spans="1:16">
      <c r="A24" s="104" t="s">
        <v>165</v>
      </c>
      <c r="B24" s="57" t="s">
        <v>164</v>
      </c>
      <c r="C24" s="50">
        <v>44</v>
      </c>
      <c r="G24" s="51" t="s">
        <v>17</v>
      </c>
      <c r="H24" s="52">
        <f>C23</f>
        <v>23</v>
      </c>
      <c r="K24" s="26"/>
      <c r="L24" s="51"/>
      <c r="M24" s="51"/>
    </row>
    <row r="25" spans="1:16">
      <c r="A25" s="104" t="s">
        <v>166</v>
      </c>
      <c r="B25" s="57" t="s">
        <v>167</v>
      </c>
      <c r="C25" s="50">
        <v>60</v>
      </c>
      <c r="G25" s="51" t="s">
        <v>18</v>
      </c>
      <c r="H25" s="52">
        <f>C24</f>
        <v>44</v>
      </c>
      <c r="K25" s="26" t="s">
        <v>118</v>
      </c>
      <c r="L25" s="26">
        <f>-10.2+0.33*((ImportQuestion!F6)+5)</f>
        <v>12.900000000000002</v>
      </c>
      <c r="M25" s="51">
        <f>-7.9+0.26*((ImportQuestion!F6)+5)</f>
        <v>10.299999999999999</v>
      </c>
    </row>
    <row r="26" spans="1:16">
      <c r="A26" s="57" t="s">
        <v>528</v>
      </c>
      <c r="B26" s="57" t="s">
        <v>168</v>
      </c>
      <c r="C26" s="49"/>
      <c r="G26" s="51" t="s">
        <v>273</v>
      </c>
      <c r="H26" s="59">
        <f>(C53+C54)/12</f>
        <v>0.7583333333333333</v>
      </c>
      <c r="K26" s="26" t="s">
        <v>119</v>
      </c>
      <c r="L26" s="51">
        <f>(L17+L18+L19+L20+L21+L25)</f>
        <v>9.935000000000116E-2</v>
      </c>
      <c r="M26" s="51">
        <f>(M17+M18+M19+M20+M21+M25)</f>
        <v>-11.080855399999999</v>
      </c>
    </row>
    <row r="27" spans="1:16">
      <c r="A27" s="57" t="s">
        <v>526</v>
      </c>
      <c r="B27" s="57" t="s">
        <v>169</v>
      </c>
      <c r="C27" s="49"/>
      <c r="G27" s="51" t="s">
        <v>274</v>
      </c>
      <c r="H27" s="60" t="str">
        <f>IF(C55&lt;8,"L",(IF(C55&gt;14,"H","N")))</f>
        <v>N</v>
      </c>
      <c r="K27" s="26" t="s">
        <v>117</v>
      </c>
      <c r="L27" s="51">
        <f>(-0.38+L26*1.37)/100</f>
        <v>-2.4389049999999838E-3</v>
      </c>
      <c r="M27" s="51">
        <f xml:space="preserve"> (-0.148+0.89*M26)/100</f>
        <v>-0.10009961306</v>
      </c>
    </row>
    <row r="28" spans="1:16">
      <c r="A28" s="57" t="s">
        <v>170</v>
      </c>
      <c r="B28" s="57" t="s">
        <v>171</v>
      </c>
      <c r="C28" s="49"/>
      <c r="G28" s="51" t="s">
        <v>19</v>
      </c>
      <c r="H28" s="52">
        <f>C31</f>
        <v>0.65</v>
      </c>
    </row>
    <row r="29" spans="1:16">
      <c r="A29" s="57" t="s">
        <v>172</v>
      </c>
      <c r="B29" s="57" t="s">
        <v>145</v>
      </c>
      <c r="C29" s="49"/>
      <c r="G29" s="169" t="s">
        <v>330</v>
      </c>
      <c r="H29" s="169">
        <f>ImportQuestion!F229</f>
        <v>25</v>
      </c>
      <c r="I29" s="170" t="s">
        <v>331</v>
      </c>
      <c r="J29" s="171">
        <f>H3/H29</f>
        <v>0.2</v>
      </c>
      <c r="K29" s="172" t="s">
        <v>120</v>
      </c>
      <c r="L29" s="26">
        <f>IF(ImportQuestion!F3="H",1.23,1.04)</f>
        <v>1.23</v>
      </c>
    </row>
    <row r="30" spans="1:16">
      <c r="A30" s="125" t="s">
        <v>490</v>
      </c>
      <c r="B30" s="57" t="s">
        <v>164</v>
      </c>
      <c r="C30" s="128">
        <v>150</v>
      </c>
      <c r="G30" s="61" t="s">
        <v>114</v>
      </c>
      <c r="H30" s="62">
        <f>(ImportQuestion!F6*H25)/((H22*(SQRT(H24))))</f>
        <v>2.2335251842817749</v>
      </c>
      <c r="I30" s="173">
        <f>IF(H30&lt;2,0,1.5)</f>
        <v>1.5</v>
      </c>
    </row>
    <row r="31" spans="1:16">
      <c r="A31" s="104" t="s">
        <v>173</v>
      </c>
      <c r="B31" s="57" t="s">
        <v>174</v>
      </c>
      <c r="C31" s="50">
        <v>0.65</v>
      </c>
      <c r="G31" s="61" t="s">
        <v>103</v>
      </c>
      <c r="H31" s="62">
        <f>MAX(0.01,IF(ImportQuestion!F3="H",ImportBiologie!L23,ImportBiologie!M23))</f>
        <v>0.14616156999999996</v>
      </c>
      <c r="I31" s="157" t="s">
        <v>115</v>
      </c>
      <c r="J31" s="48">
        <f>IF(ImportQuestion!F3="H",ImportBiologie!L27,ImportBiologie!M27)</f>
        <v>0.16876657</v>
      </c>
      <c r="K31" s="157">
        <v>8.5</v>
      </c>
    </row>
    <row r="32" spans="1:16">
      <c r="A32" s="57" t="s">
        <v>175</v>
      </c>
      <c r="B32" s="57" t="s">
        <v>176</v>
      </c>
      <c r="C32" s="50"/>
      <c r="D32" s="174">
        <f>C32*0.03624502</f>
        <v>0</v>
      </c>
      <c r="E32" s="156" t="s">
        <v>229</v>
      </c>
      <c r="G32" s="108" t="s">
        <v>58</v>
      </c>
      <c r="H32" s="108">
        <f>IF(H3=0,0,(IF(ImportQuestion!F110="Y",(H3*1.5),H3))*G40)</f>
        <v>7.5</v>
      </c>
      <c r="K32" s="157">
        <f>2/8.5</f>
        <v>0.23529411764705882</v>
      </c>
    </row>
    <row r="33" spans="1:14">
      <c r="A33" s="104" t="s">
        <v>178</v>
      </c>
      <c r="B33" s="57" t="s">
        <v>159</v>
      </c>
      <c r="C33" s="50">
        <v>510</v>
      </c>
      <c r="D33" s="51">
        <f>C33*0.168</f>
        <v>85.68</v>
      </c>
      <c r="E33" s="156" t="s">
        <v>135</v>
      </c>
      <c r="F33" s="163" t="s">
        <v>338</v>
      </c>
      <c r="G33" s="108" t="s">
        <v>69</v>
      </c>
      <c r="H33" s="108">
        <f>MAX(IF(H6&gt;5.2,1.2,0),(IF(H11&gt;1.8,1.2,0)),(IF(H6=0,1,0)),(IF(H11&gt;5,2,0)))</f>
        <v>0</v>
      </c>
      <c r="I33" s="161"/>
    </row>
    <row r="34" spans="1:14">
      <c r="A34" s="57" t="s">
        <v>179</v>
      </c>
      <c r="B34" s="57" t="s">
        <v>180</v>
      </c>
      <c r="C34" s="49">
        <v>65</v>
      </c>
      <c r="G34" s="108" t="s">
        <v>70</v>
      </c>
      <c r="H34" s="108">
        <f>MAX(IF(H9&gt;6,2,0),IF(H9=0,1,0))</f>
        <v>2</v>
      </c>
      <c r="I34" s="161"/>
    </row>
    <row r="35" spans="1:14">
      <c r="A35" s="104" t="s">
        <v>327</v>
      </c>
      <c r="B35" s="57" t="s">
        <v>161</v>
      </c>
      <c r="C35" s="50">
        <v>52</v>
      </c>
      <c r="G35" s="61" t="s">
        <v>60</v>
      </c>
      <c r="H35" s="61">
        <f>MAX(IF(H5&gt;2.6,2,1),IF(H4&gt;420,2,1),IF(C44&gt;850,2,1),IF(C42&gt;7.5,2,1))</f>
        <v>2</v>
      </c>
      <c r="I35" s="26"/>
      <c r="K35" s="157" t="s">
        <v>573</v>
      </c>
      <c r="L35" s="26"/>
      <c r="N35" s="160"/>
    </row>
    <row r="36" spans="1:14">
      <c r="A36" s="57" t="s">
        <v>181</v>
      </c>
      <c r="B36" s="57" t="s">
        <v>140</v>
      </c>
      <c r="C36" s="50">
        <v>10</v>
      </c>
      <c r="D36" s="155">
        <f>C36*8.84</f>
        <v>88.4</v>
      </c>
      <c r="E36" s="156" t="s">
        <v>169</v>
      </c>
      <c r="G36" s="61" t="s">
        <v>59</v>
      </c>
      <c r="H36" s="64">
        <f>(0.0393+(0.042*H32)-(0.00055*H32^2))/3</f>
        <v>0.10778749999999999</v>
      </c>
      <c r="I36" s="157" t="s">
        <v>243</v>
      </c>
      <c r="J36" s="64">
        <f>(0.0393+(0.042*(H32+1))-(0.00055*(H32+1)^2))/3</f>
        <v>0.11885416666666669</v>
      </c>
    </row>
    <row r="37" spans="1:14" ht="18">
      <c r="A37" s="104" t="s">
        <v>182</v>
      </c>
      <c r="B37" s="57" t="s">
        <v>183</v>
      </c>
      <c r="C37" s="50">
        <v>81</v>
      </c>
      <c r="D37" s="155" t="s">
        <v>177</v>
      </c>
      <c r="E37" s="175" t="s">
        <v>334</v>
      </c>
      <c r="F37" s="175">
        <f>IF(C37&lt;30,2,IF(C37&gt;60,1,1.5))+IF(C37=0,-1,0)</f>
        <v>1</v>
      </c>
      <c r="G37" s="63" t="s">
        <v>120</v>
      </c>
      <c r="H37" s="65">
        <f>((140-ImportQuestion!F6)*(ImportQuestion!F78)*L29/(ImportBiologie!H16))</f>
        <v>27.828054298642535</v>
      </c>
      <c r="J37" s="176"/>
    </row>
    <row r="38" spans="1:14">
      <c r="A38" s="129" t="s">
        <v>348</v>
      </c>
      <c r="B38" s="261" t="s">
        <v>185</v>
      </c>
      <c r="C38" s="113"/>
      <c r="D38" s="155" t="s">
        <v>346</v>
      </c>
      <c r="E38" s="156" t="s">
        <v>347</v>
      </c>
      <c r="G38" s="61" t="s">
        <v>121</v>
      </c>
      <c r="H38" s="61">
        <f>SUM(J38:J42)</f>
        <v>3</v>
      </c>
      <c r="I38" s="157" t="s">
        <v>0</v>
      </c>
      <c r="J38" s="161">
        <f>IF(ImportQuestion!H77&gt;0.3,2,0)</f>
        <v>2</v>
      </c>
      <c r="L38" s="157">
        <v>2</v>
      </c>
    </row>
    <row r="39" spans="1:14">
      <c r="A39" s="130" t="s">
        <v>349</v>
      </c>
      <c r="B39" s="261" t="s">
        <v>185</v>
      </c>
      <c r="C39" s="113" t="s">
        <v>346</v>
      </c>
      <c r="I39" s="157" t="s">
        <v>71</v>
      </c>
      <c r="J39" s="157">
        <f>IF(ImportQuestion!F79&gt;ImportBiologie!K39,1.5,0)</f>
        <v>0</v>
      </c>
      <c r="K39" s="177">
        <v>102</v>
      </c>
      <c r="L39" s="157">
        <v>1.5</v>
      </c>
    </row>
    <row r="40" spans="1:14">
      <c r="A40" s="131" t="s">
        <v>350</v>
      </c>
      <c r="B40" s="261" t="s">
        <v>185</v>
      </c>
      <c r="C40" s="113"/>
      <c r="F40" s="178" t="s">
        <v>255</v>
      </c>
      <c r="G40" s="179">
        <f>IF(ImportQuestion!H77&gt;0.3,1.5,1)</f>
        <v>1.5</v>
      </c>
      <c r="I40" s="157" t="s">
        <v>122</v>
      </c>
      <c r="J40" s="157">
        <f>L20</f>
        <v>0</v>
      </c>
      <c r="L40" s="157">
        <v>1</v>
      </c>
    </row>
    <row r="41" spans="1:14">
      <c r="A41" s="67" t="s">
        <v>186</v>
      </c>
      <c r="B41" s="57" t="s">
        <v>187</v>
      </c>
      <c r="C41" s="50">
        <v>1900</v>
      </c>
      <c r="I41" s="157" t="s">
        <v>123</v>
      </c>
      <c r="J41" s="157">
        <f>H33</f>
        <v>0</v>
      </c>
      <c r="L41" s="157">
        <v>1</v>
      </c>
    </row>
    <row r="42" spans="1:14">
      <c r="A42" s="66" t="s">
        <v>188</v>
      </c>
      <c r="B42" s="57" t="s">
        <v>189</v>
      </c>
      <c r="C42" s="50">
        <v>2.39</v>
      </c>
      <c r="D42" s="155">
        <f>C42*40</f>
        <v>95.600000000000009</v>
      </c>
      <c r="E42" s="156" t="s">
        <v>192</v>
      </c>
      <c r="I42" s="157" t="s">
        <v>124</v>
      </c>
      <c r="J42" s="157">
        <f>MAX(IF(ImportQuestion!F104="Y",1,0),IF(ImportQuestion!F80&gt;140,1,0))</f>
        <v>1</v>
      </c>
      <c r="L42" s="157">
        <v>1</v>
      </c>
    </row>
    <row r="43" spans="1:14">
      <c r="A43" s="66" t="s">
        <v>190</v>
      </c>
      <c r="B43" s="57" t="s">
        <v>189</v>
      </c>
      <c r="C43" s="50">
        <v>309.39</v>
      </c>
      <c r="L43" s="157">
        <f>SUM(L38:L42)</f>
        <v>6.5</v>
      </c>
    </row>
    <row r="44" spans="1:14">
      <c r="A44" s="66" t="s">
        <v>191</v>
      </c>
      <c r="B44" s="57" t="s">
        <v>192</v>
      </c>
      <c r="C44" s="50">
        <v>367</v>
      </c>
      <c r="D44" s="155">
        <f>C44*0.168</f>
        <v>61.656000000000006</v>
      </c>
    </row>
    <row r="45" spans="1:14">
      <c r="A45" s="66" t="s">
        <v>193</v>
      </c>
      <c r="B45" s="57"/>
      <c r="C45" s="50"/>
      <c r="I45" s="157" t="s">
        <v>314</v>
      </c>
      <c r="K45" s="157">
        <f>IF(H37&lt;75,2,(IF(H37&gt;100,0,1)))</f>
        <v>2</v>
      </c>
    </row>
    <row r="46" spans="1:14">
      <c r="A46" s="66" t="s">
        <v>194</v>
      </c>
      <c r="B46" s="57" t="s">
        <v>481</v>
      </c>
      <c r="C46" s="49"/>
      <c r="M46" s="149"/>
    </row>
    <row r="47" spans="1:14">
      <c r="A47" s="66" t="s">
        <v>195</v>
      </c>
      <c r="B47" s="57" t="s">
        <v>225</v>
      </c>
      <c r="C47" s="50">
        <v>5.76</v>
      </c>
      <c r="D47" s="155">
        <f>(C47*1000)/8.84</f>
        <v>651.58371040723978</v>
      </c>
      <c r="E47" s="156" t="s">
        <v>230</v>
      </c>
      <c r="G47" s="180" t="s">
        <v>594</v>
      </c>
      <c r="H47" s="181">
        <f>IF(C38="Positive",3,1)</f>
        <v>1</v>
      </c>
      <c r="M47" s="156"/>
    </row>
    <row r="48" spans="1:14">
      <c r="A48" s="66" t="s">
        <v>195</v>
      </c>
      <c r="B48" s="57" t="s">
        <v>189</v>
      </c>
      <c r="C48" s="50">
        <v>10.94</v>
      </c>
      <c r="D48" s="155">
        <f>(C48*1000)/8.84</f>
        <v>1237.5565610859728</v>
      </c>
      <c r="E48" s="156" t="s">
        <v>192</v>
      </c>
      <c r="K48" s="150" t="s">
        <v>203</v>
      </c>
      <c r="L48" s="151">
        <f>C56</f>
        <v>65</v>
      </c>
      <c r="M48" s="156"/>
      <c r="N48" s="182" t="str">
        <f>IF(L59&lt;2.5,"Faible",IF(L59&gt;7.5,"Elevé","intermédiare"))</f>
        <v>Faible</v>
      </c>
    </row>
    <row r="49" spans="1:14">
      <c r="A49" s="66" t="s">
        <v>196</v>
      </c>
      <c r="B49" s="57" t="s">
        <v>189</v>
      </c>
      <c r="C49" s="50">
        <v>92</v>
      </c>
      <c r="E49" s="156" t="s">
        <v>231</v>
      </c>
      <c r="K49" s="150" t="s">
        <v>602</v>
      </c>
      <c r="L49" s="152">
        <f>ImportQuestion!H3</f>
        <v>1</v>
      </c>
      <c r="M49" s="156"/>
      <c r="N49" s="182" t="str">
        <f>IF(L59&lt;5,"Faible",IF(L59&gt;10,"Elevé","intermédiare"))</f>
        <v>Faible</v>
      </c>
    </row>
    <row r="50" spans="1:14">
      <c r="A50" s="132" t="s">
        <v>197</v>
      </c>
      <c r="B50" s="261" t="s">
        <v>198</v>
      </c>
      <c r="C50" s="113"/>
      <c r="K50" s="150" t="s">
        <v>603</v>
      </c>
      <c r="L50" s="152">
        <f>IF(ImportQuestion!F82="Y",1,0)</f>
        <v>0</v>
      </c>
      <c r="M50" s="156"/>
      <c r="N50" s="182" t="str">
        <f>IF(L59&lt;7.5,"Faible",IF(L59&gt;15,"Elevé","intermédiare"))</f>
        <v>Faible</v>
      </c>
    </row>
    <row r="51" spans="1:14">
      <c r="A51" s="132" t="s">
        <v>199</v>
      </c>
      <c r="B51" s="261" t="s">
        <v>198</v>
      </c>
      <c r="C51" s="113"/>
      <c r="K51" s="153" t="s">
        <v>604</v>
      </c>
      <c r="L51" s="152">
        <f>ImportQuestion!F80</f>
        <v>0</v>
      </c>
      <c r="M51" s="156"/>
      <c r="N51" s="183"/>
    </row>
    <row r="52" spans="1:14">
      <c r="A52" s="132" t="s">
        <v>200</v>
      </c>
      <c r="B52" s="261" t="s">
        <v>198</v>
      </c>
      <c r="C52" s="113"/>
      <c r="K52" s="150" t="s">
        <v>605</v>
      </c>
      <c r="L52" s="152">
        <f>H6-H8</f>
        <v>1.1395999999999997</v>
      </c>
      <c r="M52" s="156"/>
      <c r="N52" s="184" t="str">
        <f>IF(L48&lt;50,N48,(IF(L48&gt;70,N50,N49)))</f>
        <v>Faible</v>
      </c>
    </row>
    <row r="53" spans="1:14">
      <c r="A53" s="105" t="s">
        <v>268</v>
      </c>
      <c r="B53" s="68" t="s">
        <v>135</v>
      </c>
      <c r="C53" s="69">
        <v>2.8</v>
      </c>
      <c r="D53" s="155" t="s">
        <v>271</v>
      </c>
      <c r="M53" s="156"/>
    </row>
    <row r="54" spans="1:14">
      <c r="A54" s="105" t="s">
        <v>269</v>
      </c>
      <c r="B54" s="68" t="s">
        <v>135</v>
      </c>
      <c r="C54" s="69">
        <v>6.3</v>
      </c>
      <c r="D54" s="155" t="s">
        <v>272</v>
      </c>
    </row>
    <row r="55" spans="1:14">
      <c r="A55" s="104" t="s">
        <v>270</v>
      </c>
      <c r="B55" s="68" t="s">
        <v>135</v>
      </c>
      <c r="C55" s="69">
        <v>8.1</v>
      </c>
    </row>
    <row r="56" spans="1:14">
      <c r="A56" s="157" t="s">
        <v>203</v>
      </c>
      <c r="C56" s="186">
        <f>ImportQuestion!F6</f>
        <v>65</v>
      </c>
    </row>
    <row r="57" spans="1:14">
      <c r="A57" s="157" t="s">
        <v>204</v>
      </c>
      <c r="C57" s="187">
        <f>ImportQuestion!F78</f>
        <v>120</v>
      </c>
      <c r="D57" s="155" t="s">
        <v>261</v>
      </c>
      <c r="E57" s="188">
        <f>C58-100-((C58-150)/4)</f>
        <v>72.5</v>
      </c>
      <c r="F57" s="176" t="s">
        <v>265</v>
      </c>
      <c r="G57" s="176" t="s">
        <v>264</v>
      </c>
      <c r="H57" s="189">
        <f>((10*C57)+(6.25*C58)-(5*C56)+5)/1000</f>
        <v>2.0049999999999999</v>
      </c>
    </row>
    <row r="58" spans="1:14">
      <c r="A58" s="157" t="s">
        <v>205</v>
      </c>
      <c r="C58" s="187">
        <f>ImportQuestion!F77</f>
        <v>180</v>
      </c>
      <c r="F58" s="156" t="s">
        <v>267</v>
      </c>
      <c r="G58" s="176" t="s">
        <v>266</v>
      </c>
      <c r="H58" s="189">
        <f>((10*C57)+(C58*6.25)-(5*C56)-161)/1000</f>
        <v>1.839</v>
      </c>
      <c r="L58" s="190" t="s">
        <v>606</v>
      </c>
    </row>
    <row r="59" spans="1:14">
      <c r="A59" s="157" t="s">
        <v>206</v>
      </c>
      <c r="C59" s="191">
        <f>100*C57/C58^2</f>
        <v>0.37037037037037035</v>
      </c>
      <c r="D59" s="155" t="s">
        <v>201</v>
      </c>
      <c r="K59" s="157" t="s">
        <v>601</v>
      </c>
      <c r="L59" s="192">
        <f xml:space="preserve"> -25.7140130071773+0.267011088709677*L48+2.55729166666666*L49+2.97395833333333*L50+0.0753386699507389*L51+0.576041666666669*L52</f>
        <v>-5.1445434910483012</v>
      </c>
    </row>
    <row r="60" spans="1:14">
      <c r="A60" s="157" t="s">
        <v>207</v>
      </c>
      <c r="B60" s="193"/>
      <c r="C60" s="194">
        <f>C16/C18</f>
        <v>1.85</v>
      </c>
      <c r="D60" s="155" t="s">
        <v>202</v>
      </c>
    </row>
    <row r="61" spans="1:14">
      <c r="A61" s="157" t="s">
        <v>208</v>
      </c>
      <c r="B61" s="193"/>
      <c r="C61" s="194">
        <f>IF(C29&lt;0.8,1.1,1)</f>
        <v>1.1000000000000001</v>
      </c>
    </row>
    <row r="62" spans="1:14">
      <c r="A62" s="157" t="s">
        <v>209</v>
      </c>
      <c r="B62" s="193"/>
      <c r="C62" s="195" t="e">
        <f>C27/C28</f>
        <v>#DIV/0!</v>
      </c>
    </row>
    <row r="63" spans="1:14">
      <c r="A63" s="157" t="s">
        <v>210</v>
      </c>
      <c r="B63" s="193"/>
      <c r="C63" s="195" t="e">
        <f>C32/C26</f>
        <v>#DIV/0!</v>
      </c>
    </row>
    <row r="64" spans="1:14">
      <c r="A64" s="157" t="s">
        <v>211</v>
      </c>
      <c r="B64" s="193"/>
      <c r="C64" s="194">
        <f>IF(C35&lt;30,1.2,1)</f>
        <v>1</v>
      </c>
    </row>
    <row r="65" spans="1:6">
      <c r="A65" s="157" t="s">
        <v>212</v>
      </c>
      <c r="B65" s="193">
        <f>C42/C57</f>
        <v>1.9916666666666669E-2</v>
      </c>
      <c r="C65" s="194">
        <f>IF(B65&gt;0.1,1,0)</f>
        <v>0</v>
      </c>
    </row>
    <row r="66" spans="1:6">
      <c r="A66" s="157" t="s">
        <v>213</v>
      </c>
      <c r="B66" s="193"/>
      <c r="C66" s="194">
        <f>IF(C44&gt;1000,1,0)</f>
        <v>0</v>
      </c>
    </row>
    <row r="67" spans="1:6">
      <c r="A67" s="157" t="s">
        <v>214</v>
      </c>
      <c r="B67" s="193"/>
      <c r="C67" s="194">
        <f>IF(C49&gt;150,1,0)</f>
        <v>0</v>
      </c>
    </row>
    <row r="68" spans="1:6">
      <c r="A68" s="157" t="s">
        <v>215</v>
      </c>
      <c r="B68" s="193"/>
      <c r="C68" s="194">
        <f>IF(C41&lt;2,1,0)</f>
        <v>0</v>
      </c>
      <c r="D68" s="196" t="e">
        <f>IF(C63&lt;0.1,1.2,1)</f>
        <v>#DIV/0!</v>
      </c>
    </row>
    <row r="69" spans="1:6">
      <c r="A69" s="157" t="s">
        <v>216</v>
      </c>
      <c r="B69" s="193"/>
      <c r="C69" s="195">
        <f>C49/17</f>
        <v>5.4117647058823533</v>
      </c>
    </row>
    <row r="70" spans="1:6">
      <c r="A70" s="157" t="s">
        <v>218</v>
      </c>
      <c r="B70" s="193"/>
      <c r="C70" s="195">
        <f>C43/5</f>
        <v>61.878</v>
      </c>
      <c r="D70" s="155" t="s">
        <v>262</v>
      </c>
      <c r="E70" s="188">
        <f>E57*0.8</f>
        <v>58</v>
      </c>
    </row>
    <row r="71" spans="1:6">
      <c r="A71" s="157" t="s">
        <v>219</v>
      </c>
      <c r="B71" s="193"/>
      <c r="C71" s="197">
        <v>1</v>
      </c>
    </row>
    <row r="72" spans="1:6">
      <c r="A72" s="198" t="s">
        <v>235</v>
      </c>
      <c r="B72" s="193"/>
      <c r="C72" s="194">
        <f>23*(C48/8.84)</f>
        <v>28.463800904977376</v>
      </c>
      <c r="D72" s="155" t="s">
        <v>263</v>
      </c>
    </row>
    <row r="73" spans="1:6">
      <c r="A73" s="198" t="s">
        <v>233</v>
      </c>
      <c r="B73" s="193"/>
      <c r="C73" s="194">
        <f xml:space="preserve"> (30+0.275*C56-0.00375*C56^2)</f>
        <v>32.03125</v>
      </c>
      <c r="D73" s="158" t="s">
        <v>301</v>
      </c>
      <c r="E73" s="199">
        <f>(0.407*C57)+(0.267*C58)-9.2</f>
        <v>87.7</v>
      </c>
      <c r="F73" s="200" t="s">
        <v>304</v>
      </c>
    </row>
    <row r="74" spans="1:6">
      <c r="A74" s="198" t="s">
        <v>234</v>
      </c>
      <c r="B74" s="193"/>
      <c r="C74" s="194">
        <f>( (42-0.5*C56+0.0025*C56^2))</f>
        <v>20.0625</v>
      </c>
      <c r="D74" s="155" t="s">
        <v>217</v>
      </c>
    </row>
    <row r="75" spans="1:6">
      <c r="A75" s="198" t="s">
        <v>220</v>
      </c>
      <c r="B75" s="193"/>
      <c r="C75" s="201">
        <f>(C72/C73)*(IF(ImportQuestion!H3=1,1,0))</f>
        <v>0.88862597947246447</v>
      </c>
      <c r="D75" s="158" t="s">
        <v>302</v>
      </c>
    </row>
    <row r="76" spans="1:6">
      <c r="A76" s="198" t="s">
        <v>221</v>
      </c>
      <c r="B76" s="193"/>
      <c r="C76" s="195">
        <f>(C72/C74)*(IF(ImportQuestion!H3=0,1,0))</f>
        <v>0</v>
      </c>
    </row>
    <row r="77" spans="1:6">
      <c r="A77" s="68" t="s">
        <v>222</v>
      </c>
      <c r="C77" s="202">
        <f>IF(C7&gt;3,1.2,1)</f>
        <v>1</v>
      </c>
    </row>
    <row r="78" spans="1:6">
      <c r="A78" s="157" t="s">
        <v>186</v>
      </c>
      <c r="B78" s="193"/>
      <c r="C78" s="194">
        <f>IF(C41&lt;1800,1,0)</f>
        <v>0</v>
      </c>
    </row>
    <row r="79" spans="1:6">
      <c r="A79" s="157" t="s">
        <v>223</v>
      </c>
      <c r="B79" s="193"/>
      <c r="C79" s="194">
        <f>IF(C12&lt;10,1,0) + IF(C16&lt;4,1,0) + IF(C18&lt;1,1,0) + IF(C19&lt;50,1,0)</f>
        <v>1</v>
      </c>
    </row>
    <row r="80" spans="1:6">
      <c r="A80" s="157" t="s">
        <v>146</v>
      </c>
      <c r="B80" s="193"/>
      <c r="C80" s="194">
        <f>IF(C12&gt;17,1,0)</f>
        <v>0</v>
      </c>
    </row>
    <row r="81" spans="1:7">
      <c r="A81" s="157" t="s">
        <v>152</v>
      </c>
      <c r="B81" s="193"/>
      <c r="C81" s="194">
        <f>IF(C16&gt;70,1,0)</f>
        <v>0</v>
      </c>
    </row>
    <row r="82" spans="1:7">
      <c r="A82" s="157" t="s">
        <v>156</v>
      </c>
      <c r="B82" s="193"/>
      <c r="C82" s="194">
        <f>IF(C18&gt;5,1,0)</f>
        <v>0</v>
      </c>
    </row>
    <row r="83" spans="1:7">
      <c r="A83" s="157" t="s">
        <v>157</v>
      </c>
      <c r="B83" s="193"/>
      <c r="C83" s="194">
        <f>IF(C19&gt;600,1,0)</f>
        <v>0</v>
      </c>
    </row>
    <row r="84" spans="1:7">
      <c r="A84" s="157"/>
      <c r="B84" s="193"/>
      <c r="C84" s="194"/>
    </row>
    <row r="85" spans="1:7">
      <c r="A85" s="157" t="s">
        <v>184</v>
      </c>
      <c r="B85" s="193"/>
      <c r="C85" s="194">
        <f>IF(C38="positive",1.5,1)</f>
        <v>1</v>
      </c>
    </row>
    <row r="86" spans="1:7">
      <c r="A86" s="203" t="s">
        <v>224</v>
      </c>
      <c r="B86" s="193"/>
      <c r="C86" s="204">
        <f>(((C67+C68+C66+C65+C78)*2)/10)+1</f>
        <v>1</v>
      </c>
    </row>
    <row r="87" spans="1:7">
      <c r="A87" s="69"/>
      <c r="C87" s="185"/>
    </row>
    <row r="88" spans="1:7">
      <c r="A88" s="69" t="s">
        <v>226</v>
      </c>
      <c r="C88" s="193">
        <f>C3/C4</f>
        <v>1.7857142857142856</v>
      </c>
      <c r="D88" s="155" t="s">
        <v>227</v>
      </c>
      <c r="E88" s="156" t="s">
        <v>228</v>
      </c>
    </row>
    <row r="89" spans="1:7">
      <c r="A89" s="69"/>
      <c r="C89" s="185"/>
    </row>
    <row r="90" spans="1:7">
      <c r="A90" s="69" t="s">
        <v>1130</v>
      </c>
      <c r="B90" s="193"/>
      <c r="C90" s="193"/>
    </row>
    <row r="91" spans="1:7">
      <c r="A91" s="69" t="s">
        <v>1131</v>
      </c>
      <c r="B91" s="193"/>
      <c r="C91" s="185"/>
    </row>
    <row r="92" spans="1:7">
      <c r="A92" s="69" t="s">
        <v>1132</v>
      </c>
      <c r="B92" s="193"/>
      <c r="C92" s="185"/>
    </row>
    <row r="93" spans="1:7">
      <c r="A93" s="69"/>
      <c r="B93" s="193"/>
      <c r="C93" s="185"/>
    </row>
    <row r="94" spans="1:7">
      <c r="A94" s="69" t="s">
        <v>1210</v>
      </c>
      <c r="B94" s="193"/>
      <c r="C94" s="370" t="s">
        <v>1214</v>
      </c>
      <c r="D94" s="370" t="s">
        <v>1215</v>
      </c>
      <c r="E94" s="370" t="s">
        <v>1216</v>
      </c>
      <c r="F94" s="370" t="s">
        <v>1217</v>
      </c>
      <c r="G94" s="369"/>
    </row>
    <row r="95" spans="1:7">
      <c r="A95" s="69" t="s">
        <v>1211</v>
      </c>
      <c r="B95" s="193"/>
      <c r="C95" s="370" t="s">
        <v>1218</v>
      </c>
      <c r="D95" s="370" t="s">
        <v>1219</v>
      </c>
      <c r="E95" s="370" t="s">
        <v>1220</v>
      </c>
      <c r="F95" s="370" t="s">
        <v>1221</v>
      </c>
      <c r="G95" s="370" t="s">
        <v>1222</v>
      </c>
    </row>
    <row r="96" spans="1:7">
      <c r="A96" s="69" t="s">
        <v>1212</v>
      </c>
      <c r="B96" s="193"/>
      <c r="C96" s="370" t="s">
        <v>1223</v>
      </c>
      <c r="D96" s="370" t="s">
        <v>1224</v>
      </c>
      <c r="E96" s="370" t="s">
        <v>1225</v>
      </c>
      <c r="F96" s="370" t="s">
        <v>1226</v>
      </c>
      <c r="G96" s="370" t="s">
        <v>1227</v>
      </c>
    </row>
    <row r="97" spans="1:7">
      <c r="A97" s="69" t="s">
        <v>1213</v>
      </c>
      <c r="B97" s="193"/>
      <c r="C97" s="370" t="s">
        <v>1228</v>
      </c>
      <c r="D97" s="370" t="s">
        <v>1229</v>
      </c>
      <c r="E97" s="370" t="s">
        <v>1230</v>
      </c>
      <c r="F97" s="370" t="s">
        <v>1231</v>
      </c>
      <c r="G97" s="370" t="s">
        <v>1232</v>
      </c>
    </row>
    <row r="98" spans="1:7">
      <c r="A98" s="371" t="s">
        <v>1238</v>
      </c>
      <c r="B98" s="193"/>
      <c r="C98" s="370" t="s">
        <v>1233</v>
      </c>
      <c r="D98" s="370" t="s">
        <v>1234</v>
      </c>
      <c r="E98" s="370" t="s">
        <v>1235</v>
      </c>
      <c r="F98" s="370" t="s">
        <v>1236</v>
      </c>
      <c r="G98" s="370" t="s">
        <v>1237</v>
      </c>
    </row>
    <row r="99" spans="1:7">
      <c r="A99" s="69"/>
      <c r="C99" s="185" t="s">
        <v>1239</v>
      </c>
    </row>
    <row r="100" spans="1:7">
      <c r="A100" t="s">
        <v>1240</v>
      </c>
      <c r="B100" t="s">
        <v>1241</v>
      </c>
      <c r="C100" s="185"/>
    </row>
    <row r="101" spans="1:7" ht="26.4">
      <c r="A101" s="372" t="s">
        <v>1242</v>
      </c>
      <c r="B101" s="374" t="s">
        <v>1243</v>
      </c>
      <c r="C101" s="374" t="s">
        <v>1244</v>
      </c>
      <c r="D101" s="369"/>
    </row>
    <row r="102" spans="1:7" ht="26.4">
      <c r="A102" s="69"/>
      <c r="B102" s="374" t="s">
        <v>1245</v>
      </c>
      <c r="C102" s="375" t="s">
        <v>1246</v>
      </c>
      <c r="D102" s="375" t="s">
        <v>1247</v>
      </c>
    </row>
    <row r="103" spans="1:7" ht="26.4">
      <c r="B103" s="1031" t="s">
        <v>1248</v>
      </c>
      <c r="C103" s="1033" t="s">
        <v>1249</v>
      </c>
      <c r="D103" s="376" t="s">
        <v>1250</v>
      </c>
    </row>
    <row r="104" spans="1:7">
      <c r="B104" s="1031"/>
      <c r="C104" s="1033"/>
      <c r="D104" s="373"/>
    </row>
    <row r="105" spans="1:7" ht="26.4">
      <c r="B105" s="1031"/>
      <c r="C105" s="1033"/>
      <c r="D105" s="376" t="s">
        <v>1251</v>
      </c>
    </row>
    <row r="106" spans="1:7">
      <c r="B106" s="1031"/>
      <c r="C106" s="1033"/>
      <c r="D106" s="373"/>
    </row>
    <row r="107" spans="1:7" ht="26.4">
      <c r="B107" s="1032"/>
      <c r="C107" s="1034"/>
      <c r="D107" s="376" t="s">
        <v>1252</v>
      </c>
    </row>
  </sheetData>
  <mergeCells count="2">
    <mergeCell ref="B103:B107"/>
    <mergeCell ref="C103:C107"/>
  </mergeCells>
  <conditionalFormatting sqref="G33:G34">
    <cfRule type="colorScale" priority="1">
      <colorScale>
        <cfvo type="min"/>
        <cfvo type="percentile" val="50"/>
        <cfvo type="max"/>
        <color rgb="FF5A8AC6"/>
        <color rgb="FFFCFCFF"/>
        <color rgb="FFF8696B"/>
      </colorScale>
    </cfRule>
  </conditionalFormatting>
  <conditionalFormatting sqref="I2:K2">
    <cfRule type="colorScale" priority="2">
      <colorScale>
        <cfvo type="min"/>
        <cfvo type="percentile" val="50"/>
        <cfvo type="max"/>
        <color rgb="FF63BE7B"/>
        <color rgb="FFFFEB84"/>
        <color rgb="FFF8696B"/>
      </colorScale>
    </cfRule>
  </conditionalFormatting>
  <dataValidations count="1">
    <dataValidation type="list" allowBlank="1" showInputMessage="1" showErrorMessage="1" sqref="C38:C40 C50:C52" xr:uid="{7384C5DC-7D22-46FC-BBB0-200584B49A46}">
      <formula1>$D$38:$F$38</formula1>
    </dataValidation>
  </dataValidation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42FA8-EB59-42E7-82F5-60954EF37609}">
  <sheetPr codeName="Feuil17">
    <pageSetUpPr fitToPage="1"/>
  </sheetPr>
  <dimension ref="B1:O37"/>
  <sheetViews>
    <sheetView workbookViewId="0">
      <pane xSplit="1" ySplit="1" topLeftCell="B2" activePane="bottomRight" state="frozen"/>
      <selection pane="topRight" activeCell="B1" sqref="B1"/>
      <selection pane="bottomLeft" activeCell="A3" sqref="A3"/>
      <selection pane="bottomRight" activeCell="B30" sqref="B30"/>
    </sheetView>
  </sheetViews>
  <sheetFormatPr baseColWidth="10" defaultColWidth="10.6640625" defaultRowHeight="14.4"/>
  <cols>
    <col min="1" max="1" width="10.6640625" style="149"/>
    <col min="2" max="2" width="25.6640625" style="149" bestFit="1" customWidth="1"/>
    <col min="3" max="3" width="32.88671875" style="149" bestFit="1" customWidth="1"/>
    <col min="4" max="4" width="34.77734375" style="149" bestFit="1" customWidth="1"/>
    <col min="5" max="5" width="41.5546875" style="149" bestFit="1" customWidth="1"/>
    <col min="6" max="6" width="46.21875" style="149" bestFit="1" customWidth="1"/>
    <col min="7" max="7" width="22" style="149" bestFit="1" customWidth="1"/>
    <col min="8" max="8" width="7.44140625" style="149" bestFit="1" customWidth="1"/>
    <col min="9" max="9" width="11.44140625" style="149" bestFit="1" customWidth="1"/>
    <col min="10" max="10" width="26.77734375" style="149" bestFit="1" customWidth="1"/>
    <col min="11" max="11" width="13.109375" style="149" bestFit="1" customWidth="1"/>
    <col min="12" max="12" width="9.5546875" style="149" bestFit="1" customWidth="1"/>
    <col min="13" max="13" width="8.88671875" style="149" bestFit="1" customWidth="1"/>
    <col min="14" max="14" width="12.77734375" style="149" bestFit="1" customWidth="1"/>
    <col min="15" max="15" width="15.5546875" style="149" bestFit="1" customWidth="1"/>
    <col min="16" max="16384" width="10.6640625" style="149"/>
  </cols>
  <sheetData>
    <row r="1" spans="2:15">
      <c r="B1" s="399" t="s">
        <v>1025</v>
      </c>
    </row>
    <row r="2" spans="2:15">
      <c r="B2" s="25" t="s">
        <v>1027</v>
      </c>
      <c r="C2" s="149" t="s">
        <v>1028</v>
      </c>
      <c r="G2" s="398"/>
    </row>
    <row r="3" spans="2:15">
      <c r="B3" s="25" t="s">
        <v>1029</v>
      </c>
      <c r="C3" s="398" t="s">
        <v>134</v>
      </c>
      <c r="D3" s="398" t="s">
        <v>136</v>
      </c>
      <c r="E3" s="398" t="s">
        <v>137</v>
      </c>
      <c r="F3" s="398" t="s">
        <v>138</v>
      </c>
      <c r="G3" s="398" t="s">
        <v>333</v>
      </c>
      <c r="H3" s="398" t="s">
        <v>142</v>
      </c>
      <c r="I3" s="398" t="s">
        <v>1030</v>
      </c>
      <c r="J3" s="400" t="s">
        <v>1031</v>
      </c>
      <c r="K3" s="149" t="s">
        <v>1279</v>
      </c>
    </row>
    <row r="4" spans="2:15">
      <c r="B4" s="25" t="s">
        <v>1032</v>
      </c>
      <c r="C4" s="398" t="s">
        <v>139</v>
      </c>
      <c r="D4" s="149" t="s">
        <v>1033</v>
      </c>
      <c r="E4" s="149" t="s">
        <v>1273</v>
      </c>
      <c r="F4" s="398" t="s">
        <v>1034</v>
      </c>
      <c r="G4" s="149" t="s">
        <v>1035</v>
      </c>
    </row>
    <row r="5" spans="2:15">
      <c r="B5" s="25" t="s">
        <v>1036</v>
      </c>
      <c r="C5" s="398" t="s">
        <v>1037</v>
      </c>
      <c r="D5" s="398" t="s">
        <v>1038</v>
      </c>
      <c r="E5" s="398" t="s">
        <v>1039</v>
      </c>
      <c r="K5" s="398"/>
    </row>
    <row r="6" spans="2:15">
      <c r="B6" s="25" t="s">
        <v>1040</v>
      </c>
      <c r="C6" s="398" t="s">
        <v>1041</v>
      </c>
      <c r="D6" s="398" t="s">
        <v>1042</v>
      </c>
      <c r="E6" s="398" t="s">
        <v>1043</v>
      </c>
      <c r="F6" s="398" t="s">
        <v>1044</v>
      </c>
      <c r="G6" s="398" t="s">
        <v>1045</v>
      </c>
      <c r="H6" s="149" t="s">
        <v>1046</v>
      </c>
      <c r="I6" s="149" t="s">
        <v>1047</v>
      </c>
      <c r="K6" s="398"/>
    </row>
    <row r="7" spans="2:15">
      <c r="B7" s="25" t="s">
        <v>1048</v>
      </c>
      <c r="C7" s="398" t="s">
        <v>1049</v>
      </c>
      <c r="D7" s="398" t="s">
        <v>1050</v>
      </c>
      <c r="E7" s="398" t="s">
        <v>1051</v>
      </c>
      <c r="F7" s="149" t="s">
        <v>1052</v>
      </c>
      <c r="K7" s="398"/>
    </row>
    <row r="8" spans="2:15">
      <c r="B8" s="25" t="s">
        <v>1053</v>
      </c>
      <c r="C8" s="149" t="s">
        <v>144</v>
      </c>
      <c r="D8" s="149" t="s">
        <v>1054</v>
      </c>
      <c r="E8" s="149" t="s">
        <v>1055</v>
      </c>
      <c r="G8" s="398" t="s">
        <v>339</v>
      </c>
    </row>
    <row r="9" spans="2:15">
      <c r="B9" s="25" t="s">
        <v>1056</v>
      </c>
      <c r="C9" s="398" t="s">
        <v>1057</v>
      </c>
      <c r="D9" s="398" t="s">
        <v>1034</v>
      </c>
      <c r="E9" s="398" t="s">
        <v>162</v>
      </c>
    </row>
    <row r="10" spans="2:15">
      <c r="B10" s="25" t="s">
        <v>1058</v>
      </c>
      <c r="C10" s="398" t="s">
        <v>490</v>
      </c>
      <c r="G10" s="398"/>
      <c r="K10" s="398"/>
    </row>
    <row r="11" spans="2:15">
      <c r="B11" s="25" t="s">
        <v>1026</v>
      </c>
      <c r="C11" s="149" t="s">
        <v>1059</v>
      </c>
      <c r="D11" s="398" t="s">
        <v>1060</v>
      </c>
      <c r="E11" s="398" t="s">
        <v>1061</v>
      </c>
      <c r="F11" s="149" t="s">
        <v>1062</v>
      </c>
      <c r="G11" s="401" t="s">
        <v>1063</v>
      </c>
      <c r="L11" s="398"/>
    </row>
    <row r="12" spans="2:15">
      <c r="B12" s="25" t="s">
        <v>1064</v>
      </c>
      <c r="C12" s="398" t="s">
        <v>1065</v>
      </c>
      <c r="D12" s="149" t="s">
        <v>1066</v>
      </c>
      <c r="E12" s="149" t="s">
        <v>1278</v>
      </c>
      <c r="K12" s="398"/>
    </row>
    <row r="13" spans="2:15">
      <c r="B13" s="25" t="s">
        <v>1067</v>
      </c>
      <c r="C13" s="398" t="s">
        <v>1068</v>
      </c>
      <c r="D13" s="149" t="s">
        <v>1069</v>
      </c>
      <c r="E13" s="402" t="s">
        <v>1070</v>
      </c>
      <c r="F13" s="149" t="s">
        <v>1277</v>
      </c>
      <c r="K13" s="398"/>
    </row>
    <row r="14" spans="2:15">
      <c r="B14" s="25" t="s">
        <v>1071</v>
      </c>
      <c r="C14" s="398" t="s">
        <v>1072</v>
      </c>
      <c r="D14" s="398" t="s">
        <v>1073</v>
      </c>
      <c r="E14" s="398" t="s">
        <v>188</v>
      </c>
      <c r="F14" s="398" t="s">
        <v>1074</v>
      </c>
      <c r="G14" s="398" t="s">
        <v>1075</v>
      </c>
      <c r="H14" s="398" t="s">
        <v>193</v>
      </c>
      <c r="I14" s="398" t="s">
        <v>1076</v>
      </c>
      <c r="J14" s="398" t="s">
        <v>1077</v>
      </c>
      <c r="K14" s="398" t="s">
        <v>1078</v>
      </c>
      <c r="L14" s="398" t="s">
        <v>358</v>
      </c>
      <c r="M14" s="398" t="s">
        <v>1079</v>
      </c>
      <c r="N14" s="398" t="s">
        <v>1080</v>
      </c>
      <c r="O14" s="149" t="s">
        <v>1081</v>
      </c>
    </row>
    <row r="15" spans="2:15">
      <c r="B15" s="25" t="s">
        <v>1082</v>
      </c>
      <c r="C15" s="149" t="s">
        <v>1083</v>
      </c>
      <c r="K15" s="398"/>
    </row>
    <row r="16" spans="2:15">
      <c r="B16" s="25" t="s">
        <v>1087</v>
      </c>
      <c r="C16" s="149" t="s">
        <v>1088</v>
      </c>
      <c r="K16" s="398"/>
    </row>
    <row r="17" spans="2:11">
      <c r="B17" s="25" t="s">
        <v>1084</v>
      </c>
      <c r="C17" s="149" t="s">
        <v>1085</v>
      </c>
      <c r="K17" s="398"/>
    </row>
    <row r="18" spans="2:11">
      <c r="B18" s="25" t="s">
        <v>1089</v>
      </c>
      <c r="C18" s="149" t="s">
        <v>1275</v>
      </c>
      <c r="D18" s="149" t="s">
        <v>1274</v>
      </c>
      <c r="E18" s="149" t="s">
        <v>1276</v>
      </c>
      <c r="K18" s="398"/>
    </row>
    <row r="19" spans="2:11">
      <c r="B19" s="25" t="s">
        <v>1086</v>
      </c>
      <c r="K19" s="398"/>
    </row>
    <row r="20" spans="2:11">
      <c r="B20" s="25"/>
    </row>
    <row r="21" spans="2:11">
      <c r="B21" s="309" t="s">
        <v>1090</v>
      </c>
    </row>
    <row r="22" spans="2:11">
      <c r="B22" s="309" t="s">
        <v>902</v>
      </c>
    </row>
    <row r="23" spans="2:11">
      <c r="B23" s="25" t="s">
        <v>1091</v>
      </c>
    </row>
    <row r="24" spans="2:11">
      <c r="B24" s="25" t="s">
        <v>42</v>
      </c>
    </row>
    <row r="25" spans="2:11">
      <c r="B25" s="25" t="s">
        <v>1175</v>
      </c>
    </row>
    <row r="26" spans="2:11">
      <c r="B26" s="25" t="s">
        <v>901</v>
      </c>
    </row>
    <row r="27" spans="2:11">
      <c r="B27" s="25" t="s">
        <v>907</v>
      </c>
    </row>
    <row r="28" spans="2:11">
      <c r="B28" s="25" t="s">
        <v>908</v>
      </c>
    </row>
    <row r="29" spans="2:11">
      <c r="B29" s="25" t="s">
        <v>1381</v>
      </c>
    </row>
    <row r="30" spans="2:11">
      <c r="B30" s="25" t="s">
        <v>1176</v>
      </c>
    </row>
    <row r="31" spans="2:11">
      <c r="B31" s="25" t="s">
        <v>1177</v>
      </c>
    </row>
    <row r="32" spans="2:11">
      <c r="B32" s="25" t="s">
        <v>910</v>
      </c>
    </row>
    <row r="33" spans="2:2">
      <c r="B33" s="25" t="s">
        <v>909</v>
      </c>
    </row>
    <row r="34" spans="2:2">
      <c r="B34" s="25" t="s">
        <v>1271</v>
      </c>
    </row>
    <row r="35" spans="2:2">
      <c r="B35" s="25" t="s">
        <v>1178</v>
      </c>
    </row>
    <row r="36" spans="2:2">
      <c r="B36" s="25" t="s">
        <v>1179</v>
      </c>
    </row>
    <row r="37" spans="2:2">
      <c r="B37" s="25" t="s">
        <v>1272</v>
      </c>
    </row>
  </sheetData>
  <pageMargins left="0.7" right="0.7" top="0.75" bottom="0.75" header="0.3" footer="0.3"/>
  <pageSetup scale="3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FACE2-1022-43DA-830A-4A6B9B95D1BC}">
  <sheetPr codeName="Feuil9">
    <pageSetUpPr fitToPage="1"/>
  </sheetPr>
  <dimension ref="A1:C40"/>
  <sheetViews>
    <sheetView showFormulas="1" view="pageBreakPreview" zoomScale="75" zoomScaleNormal="75" zoomScaleSheetLayoutView="75" workbookViewId="0">
      <selection activeCell="C37" sqref="C37"/>
    </sheetView>
  </sheetViews>
  <sheetFormatPr baseColWidth="10" defaultColWidth="10.88671875" defaultRowHeight="25.8"/>
  <cols>
    <col min="1" max="1" width="72.77734375" style="231" customWidth="1"/>
    <col min="2" max="2" width="54" style="232" customWidth="1"/>
    <col min="3" max="3" width="255.77734375" style="42" bestFit="1" customWidth="1"/>
    <col min="4" max="16384" width="10.88671875" style="220"/>
  </cols>
  <sheetData>
    <row r="1" spans="1:3">
      <c r="A1" s="43" t="s">
        <v>238</v>
      </c>
      <c r="B1" s="37" t="s">
        <v>244</v>
      </c>
      <c r="C1" s="40" t="s">
        <v>542</v>
      </c>
    </row>
    <row r="2" spans="1:3" ht="93.6">
      <c r="A2" s="822" t="s">
        <v>54</v>
      </c>
      <c r="B2" s="262">
        <f>calculRISKS!V2</f>
        <v>8.7418079999999995E-2</v>
      </c>
      <c r="C2" s="41" t="s">
        <v>575</v>
      </c>
    </row>
    <row r="3" spans="1:3" ht="117">
      <c r="A3" s="822" t="s">
        <v>35</v>
      </c>
      <c r="B3" s="39">
        <f>calculRISKS!V3</f>
        <v>0.15230769230768829</v>
      </c>
      <c r="C3" s="41" t="s">
        <v>563</v>
      </c>
    </row>
    <row r="4" spans="1:3" ht="46.8">
      <c r="A4" s="44" t="s">
        <v>36</v>
      </c>
      <c r="B4" s="39">
        <f>calculRISKS!V4</f>
        <v>6.9822857142856937E-2</v>
      </c>
      <c r="C4" s="41" t="s">
        <v>576</v>
      </c>
    </row>
    <row r="5" spans="1:3" ht="93.6">
      <c r="A5" s="44" t="s">
        <v>37</v>
      </c>
      <c r="B5" s="39">
        <f>calculRISKS!V5</f>
        <v>0.19116000000000402</v>
      </c>
      <c r="C5" s="41" t="s">
        <v>574</v>
      </c>
    </row>
    <row r="6" spans="1:3" ht="93.6">
      <c r="A6" s="44" t="s">
        <v>38</v>
      </c>
      <c r="B6" s="39">
        <f>calculRISKS!V6</f>
        <v>2.1701485714285696E-2</v>
      </c>
      <c r="C6" s="41" t="s">
        <v>564</v>
      </c>
    </row>
    <row r="7" spans="1:3" ht="93.6">
      <c r="A7" s="44" t="s">
        <v>248</v>
      </c>
      <c r="B7" s="39">
        <f>calculRISKS!V7</f>
        <v>2.3119641610264294E-2</v>
      </c>
      <c r="C7" s="41" t="s">
        <v>577</v>
      </c>
    </row>
    <row r="8" spans="1:3" ht="93.6">
      <c r="A8" s="44" t="s">
        <v>250</v>
      </c>
      <c r="B8" s="39">
        <f>calculRISKS!V8</f>
        <v>0.20127264851439713</v>
      </c>
      <c r="C8" s="41" t="s">
        <v>565</v>
      </c>
    </row>
    <row r="9" spans="1:3" ht="93.6">
      <c r="A9" s="44" t="s">
        <v>41</v>
      </c>
      <c r="B9" s="39">
        <f>calculRISKS!V9</f>
        <v>8.0000000000000016E-2</v>
      </c>
      <c r="C9" s="42" t="s">
        <v>566</v>
      </c>
    </row>
    <row r="10" spans="1:3" ht="93.6">
      <c r="A10" s="44" t="s">
        <v>42</v>
      </c>
      <c r="B10" s="39">
        <f>calculRISKS!V10</f>
        <v>1</v>
      </c>
      <c r="C10" s="42" t="s">
        <v>569</v>
      </c>
    </row>
    <row r="11" spans="1:3" ht="93.6">
      <c r="A11" s="44" t="s">
        <v>246</v>
      </c>
      <c r="B11" s="39">
        <f>calculRISKS!V11</f>
        <v>3.1165714285714321E-2</v>
      </c>
      <c r="C11" s="42" t="s">
        <v>568</v>
      </c>
    </row>
    <row r="12" spans="1:3" ht="93.6">
      <c r="A12" s="44" t="s">
        <v>44</v>
      </c>
      <c r="B12" s="39">
        <f>calculRISKS!V12</f>
        <v>0.36857142857142866</v>
      </c>
      <c r="C12" s="221" t="s">
        <v>567</v>
      </c>
    </row>
    <row r="13" spans="1:3" ht="140.4">
      <c r="A13" s="44" t="s">
        <v>45</v>
      </c>
      <c r="B13" s="39">
        <f>calculRISKS!V13</f>
        <v>1.8000000000000002E-2</v>
      </c>
      <c r="C13" s="222" t="s">
        <v>578</v>
      </c>
    </row>
    <row r="14" spans="1:3" ht="117">
      <c r="A14" s="44" t="s">
        <v>46</v>
      </c>
      <c r="B14" s="39">
        <f>calculRISKS!V14</f>
        <v>4.3200000000000002E-2</v>
      </c>
      <c r="C14" s="223" t="s">
        <v>579</v>
      </c>
    </row>
    <row r="15" spans="1:3" ht="140.4">
      <c r="A15" s="44" t="s">
        <v>47</v>
      </c>
      <c r="B15" s="39">
        <f>calculRISKS!V15</f>
        <v>5.6255523333333335E-2</v>
      </c>
      <c r="C15" s="221" t="s">
        <v>580</v>
      </c>
    </row>
    <row r="16" spans="1:3" ht="140.4">
      <c r="A16" s="44" t="s">
        <v>48</v>
      </c>
      <c r="B16" s="39">
        <f>calculRISKS!V16</f>
        <v>0.16876657</v>
      </c>
      <c r="C16" s="222" t="s">
        <v>570</v>
      </c>
    </row>
    <row r="17" spans="1:3" ht="70.2">
      <c r="A17" s="44" t="s">
        <v>49</v>
      </c>
      <c r="B17" s="39">
        <f>calculRISKS!V17</f>
        <v>1.3226190598443794E-4</v>
      </c>
      <c r="C17" s="222" t="s">
        <v>581</v>
      </c>
    </row>
    <row r="18" spans="1:3" ht="70.2">
      <c r="A18" s="224" t="s">
        <v>247</v>
      </c>
      <c r="B18" s="39">
        <f>calculRISKS!V18</f>
        <v>1.0553472312298117E-3</v>
      </c>
      <c r="C18" s="222" t="s">
        <v>571</v>
      </c>
    </row>
    <row r="19" spans="1:3" ht="117">
      <c r="A19" s="44" t="s">
        <v>51</v>
      </c>
      <c r="B19" s="39">
        <f>calculRISKS!V19</f>
        <v>5.3999999999999999E-2</v>
      </c>
      <c r="C19" s="222" t="s">
        <v>582</v>
      </c>
    </row>
    <row r="20" spans="1:3" ht="93.6">
      <c r="A20" s="44" t="s">
        <v>52</v>
      </c>
      <c r="B20" s="39">
        <f>calculRISKS!V20</f>
        <v>2.7037635371791112E-3</v>
      </c>
      <c r="C20" s="222" t="s">
        <v>572</v>
      </c>
    </row>
    <row r="21" spans="1:3" ht="163.80000000000001">
      <c r="A21" s="44" t="s">
        <v>96</v>
      </c>
      <c r="B21" s="38">
        <f>calculRISKS!V21</f>
        <v>6.0154316883117035E-4</v>
      </c>
      <c r="C21" s="221" t="s">
        <v>583</v>
      </c>
    </row>
    <row r="22" spans="1:3" ht="70.2">
      <c r="A22" s="44" t="s">
        <v>599</v>
      </c>
      <c r="B22" s="39">
        <f>calculRISKS!V22</f>
        <v>7.9034947183198264E-4</v>
      </c>
      <c r="C22" s="148" t="s">
        <v>598</v>
      </c>
    </row>
    <row r="23" spans="1:3" s="227" customFormat="1">
      <c r="A23" s="225" t="s">
        <v>240</v>
      </c>
      <c r="B23" s="45" t="s">
        <v>245</v>
      </c>
      <c r="C23" s="226"/>
    </row>
    <row r="24" spans="1:3">
      <c r="A24" s="44" t="s">
        <v>251</v>
      </c>
      <c r="B24" s="228">
        <f>1-(ImportQuestion!H125/9)</f>
        <v>0.88888888888888884</v>
      </c>
      <c r="C24" s="229" t="s">
        <v>750</v>
      </c>
    </row>
    <row r="25" spans="1:3">
      <c r="A25" s="250" t="s">
        <v>766</v>
      </c>
      <c r="B25" s="228">
        <f>1-((ImportQuestion!F209+ImportQuestion!G267)/4)</f>
        <v>1</v>
      </c>
      <c r="C25" s="229" t="s">
        <v>751</v>
      </c>
    </row>
    <row r="26" spans="1:3">
      <c r="A26" s="44" t="s">
        <v>252</v>
      </c>
      <c r="B26" s="228">
        <f>1-(ImportQuestion!F214/3)</f>
        <v>0.66666666666666674</v>
      </c>
      <c r="C26" s="229" t="s">
        <v>752</v>
      </c>
    </row>
    <row r="27" spans="1:3">
      <c r="A27" s="44" t="s">
        <v>253</v>
      </c>
      <c r="B27" s="228">
        <f>1-(ImportQuestion!F219/3)</f>
        <v>1</v>
      </c>
      <c r="C27" s="229" t="s">
        <v>753</v>
      </c>
    </row>
    <row r="28" spans="1:3">
      <c r="A28" s="44" t="s">
        <v>254</v>
      </c>
      <c r="B28" s="228">
        <f>1-(ImportQuestion!F224+ImportQuestion!G270)/4</f>
        <v>1</v>
      </c>
      <c r="C28" s="229" t="s">
        <v>754</v>
      </c>
    </row>
    <row r="29" spans="1:3">
      <c r="A29" s="250" t="s">
        <v>773</v>
      </c>
      <c r="B29" s="228">
        <f>1-(ImportQuestion!H140/6)</f>
        <v>0.5</v>
      </c>
      <c r="C29" s="229" t="s">
        <v>755</v>
      </c>
    </row>
    <row r="30" spans="1:3" ht="46.8">
      <c r="A30" s="230" t="s">
        <v>735</v>
      </c>
      <c r="B30" s="228">
        <f>1-ImportQuestion!G261</f>
        <v>1</v>
      </c>
      <c r="C30" s="252" t="s">
        <v>775</v>
      </c>
    </row>
    <row r="31" spans="1:3">
      <c r="A31" s="230" t="s">
        <v>736</v>
      </c>
      <c r="B31" s="228">
        <f>1-ImportQuestion!G264</f>
        <v>1</v>
      </c>
      <c r="C31" s="253" t="s">
        <v>774</v>
      </c>
    </row>
    <row r="32" spans="1:3">
      <c r="A32" s="251" t="s">
        <v>765</v>
      </c>
      <c r="B32" s="228">
        <f>1-((ImportQuestion!G122+ImportQuestion!G258)/2)</f>
        <v>1</v>
      </c>
    </row>
    <row r="33" spans="1:2">
      <c r="A33" s="251" t="s">
        <v>767</v>
      </c>
      <c r="B33" s="228">
        <f>1-(ImportQuestion!G273+ImportQuestion!G122)/2</f>
        <v>1</v>
      </c>
    </row>
    <row r="34" spans="1:2">
      <c r="A34" s="44"/>
      <c r="B34" s="38"/>
    </row>
    <row r="35" spans="1:2">
      <c r="A35" s="44"/>
      <c r="B35" s="38"/>
    </row>
    <row r="36" spans="1:2">
      <c r="A36" s="44"/>
      <c r="B36" s="38"/>
    </row>
    <row r="37" spans="1:2">
      <c r="A37" s="44"/>
      <c r="B37" s="38"/>
    </row>
    <row r="38" spans="1:2">
      <c r="A38" s="44"/>
      <c r="B38" s="38"/>
    </row>
    <row r="39" spans="1:2">
      <c r="A39" s="44"/>
      <c r="B39" s="38"/>
    </row>
    <row r="40" spans="1:2">
      <c r="A40" s="44"/>
      <c r="B40" s="38"/>
    </row>
  </sheetData>
  <conditionalFormatting sqref="A12">
    <cfRule type="colorScale" priority="1131">
      <colorScale>
        <cfvo type="min"/>
        <cfvo type="percentile" val="50"/>
        <cfvo type="max"/>
        <color rgb="FF5A8AC6"/>
        <color rgb="FFFCFCFF"/>
        <color rgb="FFF8696B"/>
      </colorScale>
    </cfRule>
  </conditionalFormatting>
  <conditionalFormatting sqref="A13:A17 A3:A11">
    <cfRule type="colorScale" priority="1132">
      <colorScale>
        <cfvo type="min"/>
        <cfvo type="percentile" val="50"/>
        <cfvo type="max"/>
        <color rgb="FF5A8AC6"/>
        <color rgb="FFFCFCFF"/>
        <color rgb="FFF8696B"/>
      </colorScale>
    </cfRule>
  </conditionalFormatting>
  <conditionalFormatting sqref="A19">
    <cfRule type="colorScale" priority="1134">
      <colorScale>
        <cfvo type="min"/>
        <cfvo type="percentile" val="50"/>
        <cfvo type="max"/>
        <color rgb="FF5A8AC6"/>
        <color rgb="FFFCFCFF"/>
        <color rgb="FFF8696B"/>
      </colorScale>
    </cfRule>
  </conditionalFormatting>
  <conditionalFormatting sqref="A20">
    <cfRule type="colorScale" priority="1135">
      <colorScale>
        <cfvo type="min"/>
        <cfvo type="percentile" val="50"/>
        <cfvo type="max"/>
        <color rgb="FF5A8AC6"/>
        <color rgb="FFFCFCFF"/>
        <color rgb="FFF8696B"/>
      </colorScale>
    </cfRule>
  </conditionalFormatting>
  <conditionalFormatting sqref="B1:B40">
    <cfRule type="colorScale" priority="7">
      <colorScale>
        <cfvo type="num" val="0.08"/>
        <cfvo type="num" val="0.15"/>
        <cfvo type="num" val="0.3"/>
        <color rgb="FF63BE7B"/>
        <color rgb="FFFFEB84"/>
        <color rgb="FFF8696B"/>
      </colorScale>
    </cfRule>
  </conditionalFormatting>
  <conditionalFormatting sqref="B24:B29">
    <cfRule type="colorScale" priority="1">
      <colorScale>
        <cfvo type="min"/>
        <cfvo type="percentile" val="50"/>
        <cfvo type="max"/>
        <color rgb="FFF8696B"/>
        <color rgb="FFFFEB84"/>
        <color rgb="FF63BE7B"/>
      </colorScale>
    </cfRule>
  </conditionalFormatting>
  <pageMargins left="0.7" right="0.7" top="0.75" bottom="0.75" header="0.3" footer="0.3"/>
  <pageSetup paperSize="9" scale="1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AEA31-949A-4CE5-A9D3-8099A1BC7B77}">
  <sheetPr codeName="Feuil13">
    <tabColor rgb="FF00FF00"/>
  </sheetPr>
  <dimension ref="A1:C41"/>
  <sheetViews>
    <sheetView topLeftCell="B17" zoomScale="106" zoomScaleNormal="106" workbookViewId="0">
      <selection activeCell="C21" sqref="C21"/>
    </sheetView>
  </sheetViews>
  <sheetFormatPr baseColWidth="10" defaultColWidth="10.6640625" defaultRowHeight="14.4"/>
  <cols>
    <col min="1" max="1" width="32.33203125" style="309" bestFit="1" customWidth="1"/>
    <col min="2" max="2" width="131.109375" style="428" bestFit="1" customWidth="1"/>
    <col min="3" max="3" width="60.33203125" style="367" customWidth="1"/>
    <col min="4" max="16384" width="10.6640625" style="359"/>
  </cols>
  <sheetData>
    <row r="1" spans="1:3">
      <c r="A1" s="852" t="s">
        <v>2644</v>
      </c>
      <c r="B1" s="853" t="s">
        <v>2645</v>
      </c>
      <c r="C1" s="854" t="s">
        <v>2646</v>
      </c>
    </row>
    <row r="2" spans="1:3" ht="54.6" customHeight="1">
      <c r="A2" s="309" t="s">
        <v>1322</v>
      </c>
      <c r="B2" s="872"/>
      <c r="C2" s="855" t="str">
        <f>AFaire!AF208&amp;AFaire!AG208&amp;AFaire!AH208&amp;AFaire!AE208</f>
        <v xml:space="preserve">Questionnaire AUDIT,   Questionnaire Nutritionnel, </v>
      </c>
    </row>
    <row r="3" spans="1:3" ht="115.2">
      <c r="A3" s="309" t="s">
        <v>1321</v>
      </c>
      <c r="B3" s="873"/>
      <c r="C3" s="849" t="str">
        <f>AFaire!E208&amp;AFaire!G208&amp;AFaire!H208&amp;AFaire!I208&amp;AFaire!J208&amp;AFaire!K208&amp;AFaire!L208&amp;AFaire!M208&amp;AFaire!N208&amp;AFaire!O208&amp;AFaire!P208&amp;AFaire!Q208&amp;AFaire!R208&amp;AFaire!S208&amp;AFaire!T208&amp;AFaire!U208&amp;AFaire!V208&amp;AFaire!W208&amp;AFaire!X208&amp;AFaire!Y208&amp;AFaire!Z208&amp;AFaire!AA208&amp;AFaire!AB208&amp;AFaire!AC208&amp;AFaire!BS208</f>
        <v xml:space="preserve">Glycémie, Hb1Ac, Insuline et indice HOMA-IR, Cholestérol Total et fractions HDL et LDL, Triglycérides, Electrophorèse des protéinesASAT, ALAT, GGTTestostérone Totale, FSH; Cortisol; Sulfate DHEA,  Vitamine D2-D3, Vitamine B6; Magnésium sang, PSA,  CPK, TSH,  Créatininémie, DFG, TP/TCK,  Bilan urinaire des 24 heures (diurése, pH, Densité, Urée, Créatininémie, Sodium, Calcium, Acide Urique), Cytologie urinaire avec recherche d'atypie celllaire,  test immunochimique fécal (TIF), IgE spécifique, Cotinurie, Methylation AHRR, -Lipoproteine a,  </v>
      </c>
    </row>
    <row r="4" spans="1:3" ht="55.8" customHeight="1">
      <c r="A4" s="309" t="s">
        <v>1347</v>
      </c>
      <c r="B4" s="873"/>
      <c r="C4" s="855" t="str">
        <f>AFaire!AX208&amp;AFaire!AY208&amp;AFaire!AZ208&amp;AFaire!BA208</f>
        <v xml:space="preserve">   Supplémentation Ubiquinol,</v>
      </c>
    </row>
    <row r="5" spans="1:3" ht="28.8">
      <c r="A5" s="309" t="s">
        <v>1358</v>
      </c>
      <c r="B5" s="873"/>
      <c r="C5" s="855" t="str">
        <f>AFaire!AI208&amp;AFaire!AJ208&amp;AFaire!AK208&amp;AFaire!AL208&amp;AFaire!AM208&amp;AFaire!AN208&amp;AFaire!AO208&amp;AFaire!AP208&amp;AFaire!AQ208&amp;AFaire!AR208&amp;AFaire!AS208&amp;AFaire!AV208</f>
        <v xml:space="preserve">  Cs Bucco-dentaire,  Cs Cardiologie, Cs Pneumo-allergologie,  Cs Endocrinologie,    </v>
      </c>
    </row>
    <row r="6" spans="1:3">
      <c r="A6" s="309" t="s">
        <v>1346</v>
      </c>
      <c r="B6" s="872"/>
      <c r="C6" s="855" t="str">
        <f>AFaire!BG208&amp;AFaire!BN208&amp;AFaire!BO208&amp;AFaire!BP208&amp;AFaire!BQ208&amp;AFaire!BG169&amp;AFaire!AT208</f>
        <v xml:space="preserve">  Dépistage  cancer du colon, Dépistage cancer de la prostate,   </v>
      </c>
    </row>
    <row r="7" spans="1:3" ht="28.8">
      <c r="A7" s="309" t="s">
        <v>1403</v>
      </c>
      <c r="B7" s="872"/>
      <c r="C7" s="849" t="str">
        <f>AFaire!BB208&amp;AFaire!BC208&amp;AFaire!BD208</f>
        <v xml:space="preserve"> Vaccination Tetanos (diphtérie, coqueluche, polio), ou Test IgG,  Vaccination grippe, </v>
      </c>
    </row>
    <row r="8" spans="1:3" ht="57.6">
      <c r="A8" s="309" t="s">
        <v>2200</v>
      </c>
      <c r="B8" s="873"/>
      <c r="C8" s="855" t="str">
        <f>AFaire!BU208&amp;AFaire!BV208&amp;AFaire!BW208&amp;AFaire!BX208&amp;AFaire!BY208&amp;AFaire!BZ208&amp;AFaire!CA208&amp;AFaire!CB208&amp;AFaire!CC208&amp;AFaire!CD208&amp;AFaire!CE208&amp;AFaire!CF208&amp;AFaire!CG208&amp;AFaire!CH208&amp;AFaire!CI208&amp;AFaire!CJ208&amp;AFaire!CK208&amp;AFaire!CL208</f>
        <v xml:space="preserve">   Vitesse de marcheDynamométrieSurface muscle Psoas en L3:Appui Unipodal &gt; 10secDXA (masse musculaire) Echographie rénale et vésicaleEchographie hépatique (splénique)  Echo-doppler vasculaire artérielIRM prostatique   </v>
      </c>
    </row>
    <row r="9" spans="1:3">
      <c r="A9" s="418" t="s">
        <v>496</v>
      </c>
      <c r="B9" s="427" t="s">
        <v>313</v>
      </c>
      <c r="C9" s="431">
        <f>AUTOQUESTIONNAIRE!F6-100-((AUTOQUESTIONNAIRE!F6-150)/4)</f>
        <v>72.5</v>
      </c>
    </row>
    <row r="10" spans="1:3">
      <c r="A10" s="418" t="s">
        <v>1934</v>
      </c>
      <c r="B10" s="427" t="s">
        <v>1936</v>
      </c>
      <c r="C10" s="431">
        <f>CommentairesAnalyses!B115</f>
        <v>101</v>
      </c>
    </row>
    <row r="11" spans="1:3" ht="28.8">
      <c r="A11" s="419" t="s">
        <v>587</v>
      </c>
      <c r="B11" s="427" t="s">
        <v>278</v>
      </c>
      <c r="C11" s="431">
        <f>((10*AUTOQUESTIONNAIRE!F7)+(6.25*AUTOQUESTIONNAIRE!F6)-(5*AUTOQUESTIONNAIRE!F4+5))/1000</f>
        <v>1.9950000000000001</v>
      </c>
    </row>
    <row r="12" spans="1:3" ht="28.8">
      <c r="A12" s="419" t="s">
        <v>590</v>
      </c>
      <c r="B12" s="427" t="s">
        <v>279</v>
      </c>
      <c r="C12" s="431">
        <f>C11*0.86</f>
        <v>1.7157</v>
      </c>
    </row>
    <row r="13" spans="1:3" ht="28.8">
      <c r="A13" s="419" t="s">
        <v>588</v>
      </c>
      <c r="B13" s="427" t="s">
        <v>280</v>
      </c>
      <c r="C13" s="431">
        <f>C11*1.14</f>
        <v>2.2742999999999998</v>
      </c>
    </row>
    <row r="14" spans="1:3" ht="28.8">
      <c r="A14" s="420" t="s">
        <v>1428</v>
      </c>
      <c r="B14" s="425" t="s">
        <v>531</v>
      </c>
      <c r="C14" s="431">
        <v>3.8</v>
      </c>
    </row>
    <row r="15" spans="1:3" ht="43.2">
      <c r="A15" s="420" t="s">
        <v>561</v>
      </c>
      <c r="B15" s="425" t="s">
        <v>532</v>
      </c>
      <c r="C15" s="431">
        <f>0.8*C9</f>
        <v>58</v>
      </c>
    </row>
    <row r="16" spans="1:3" ht="43.2">
      <c r="A16" s="420" t="s">
        <v>1443</v>
      </c>
      <c r="B16" s="426" t="s">
        <v>380</v>
      </c>
      <c r="C16" s="431">
        <f>IF(AUTOQUESTIONNAIRE!H3=1,2,1.8)</f>
        <v>2</v>
      </c>
    </row>
    <row r="17" spans="1:3">
      <c r="A17" s="420" t="s">
        <v>1429</v>
      </c>
      <c r="B17" s="429" t="s">
        <v>1430</v>
      </c>
      <c r="C17" s="431" t="s">
        <v>2666</v>
      </c>
    </row>
    <row r="18" spans="1:3" ht="28.8">
      <c r="A18" s="421" t="s">
        <v>1282</v>
      </c>
      <c r="B18" s="422" t="s">
        <v>1287</v>
      </c>
      <c r="C18" s="431">
        <f>207.5-(0.78*AUTOQUESTIONNAIRE!F4)</f>
        <v>156.80000000000001</v>
      </c>
    </row>
    <row r="19" spans="1:3" ht="28.8">
      <c r="A19" s="421" t="s">
        <v>1283</v>
      </c>
      <c r="B19" s="422" t="s">
        <v>1286</v>
      </c>
      <c r="C19" s="431">
        <f>208.3-(0.74*AUTOQUESTIONNAIRE!F4)</f>
        <v>160.20000000000002</v>
      </c>
    </row>
    <row r="20" spans="1:3" ht="28.8">
      <c r="A20" s="421" t="s">
        <v>1354</v>
      </c>
      <c r="B20" s="423" t="s">
        <v>1285</v>
      </c>
      <c r="C20" s="431">
        <f>70%*(C18-F183)+F183</f>
        <v>109.76</v>
      </c>
    </row>
    <row r="21" spans="1:3" ht="28.8">
      <c r="A21" s="421" t="s">
        <v>1355</v>
      </c>
      <c r="B21" s="424" t="s">
        <v>1285</v>
      </c>
      <c r="C21" s="431">
        <f>70%*(C19-F183)+F183</f>
        <v>112.14</v>
      </c>
    </row>
    <row r="22" spans="1:3" ht="28.8">
      <c r="A22" s="421" t="s">
        <v>1446</v>
      </c>
      <c r="B22" s="424" t="s">
        <v>616</v>
      </c>
      <c r="C22" s="367">
        <f>((AUTOQUESTIONNAIRE!F220-70)+2*(AUTOQUESTIONNAIRE!F221-AUTOQUESTIONNAIRE!F217))/10</f>
        <v>1.9</v>
      </c>
    </row>
    <row r="23" spans="1:3" ht="28.8">
      <c r="A23" s="432" t="s">
        <v>1937</v>
      </c>
      <c r="B23" s="423" t="s">
        <v>1938</v>
      </c>
      <c r="C23" s="431">
        <f>MAX(AUTOQUESTIONNAIRE!G215:H215)</f>
        <v>90</v>
      </c>
    </row>
    <row r="24" spans="1:3">
      <c r="A24" s="432" t="s">
        <v>1944</v>
      </c>
      <c r="B24" s="434" t="s">
        <v>1945</v>
      </c>
      <c r="C24" s="431">
        <f>MAX(AUTOQUESTIONNAIRE!G216:H216)</f>
        <v>44.1</v>
      </c>
    </row>
    <row r="25" spans="1:3">
      <c r="A25" s="433" t="s">
        <v>499</v>
      </c>
      <c r="B25" s="423" t="s">
        <v>276</v>
      </c>
      <c r="C25" s="367">
        <f>AUTOQUESTIONNAIRE!F219</f>
        <v>0</v>
      </c>
    </row>
    <row r="26" spans="1:3" ht="28.8">
      <c r="A26" s="433" t="s">
        <v>500</v>
      </c>
      <c r="B26" s="423" t="s">
        <v>277</v>
      </c>
      <c r="C26" s="367">
        <f>AUTOQUESTIONNAIRE!F218</f>
        <v>0</v>
      </c>
    </row>
    <row r="27" spans="1:3">
      <c r="A27" s="309" t="s">
        <v>2671</v>
      </c>
      <c r="B27" s="863" t="s">
        <v>2672</v>
      </c>
      <c r="C27" s="367">
        <f>AUTOQUESTIONNAIRE!H249</f>
        <v>20</v>
      </c>
    </row>
    <row r="28" spans="1:3">
      <c r="A28" s="309" t="s">
        <v>2677</v>
      </c>
      <c r="B28" s="867" t="s">
        <v>2680</v>
      </c>
      <c r="C28" s="367">
        <f>AUTOQUESTIONNAIRE!G346</f>
        <v>10</v>
      </c>
    </row>
    <row r="29" spans="1:3">
      <c r="A29" s="309" t="s">
        <v>2678</v>
      </c>
      <c r="B29" s="863" t="s">
        <v>2679</v>
      </c>
      <c r="C29" s="367">
        <f>AUTOQUESTIONNAIRE!G347</f>
        <v>-70</v>
      </c>
    </row>
    <row r="30" spans="1:3">
      <c r="A30" s="309" t="s">
        <v>2690</v>
      </c>
      <c r="B30" s="869" t="s">
        <v>2691</v>
      </c>
      <c r="C30" s="367">
        <f>AUTOQUESTIONNAIRE!F228</f>
        <v>0</v>
      </c>
    </row>
    <row r="31" spans="1:3">
      <c r="B31" s="863"/>
    </row>
    <row r="32" spans="1:3">
      <c r="B32" s="863"/>
    </row>
    <row r="33" spans="1:3">
      <c r="A33" s="631" t="s">
        <v>240</v>
      </c>
      <c r="B33" s="857"/>
    </row>
    <row r="34" spans="1:3" ht="15.6">
      <c r="A34" s="631" t="s">
        <v>251</v>
      </c>
      <c r="B34" s="857" t="s">
        <v>750</v>
      </c>
      <c r="C34" s="856">
        <f>1-AUTOQUESTIONNAIRE!K141</f>
        <v>0.88888888888888884</v>
      </c>
    </row>
    <row r="35" spans="1:3" ht="15.6">
      <c r="A35" s="631" t="s">
        <v>766</v>
      </c>
      <c r="B35" s="857" t="s">
        <v>751</v>
      </c>
      <c r="C35" s="856">
        <f>1-AUTOQUESTIONNAIRE!K142</f>
        <v>1</v>
      </c>
    </row>
    <row r="36" spans="1:3" ht="15.6">
      <c r="A36" s="631" t="s">
        <v>252</v>
      </c>
      <c r="B36" s="857" t="s">
        <v>752</v>
      </c>
      <c r="C36" s="856">
        <f>1-AUTOQUESTIONNAIRE!K143</f>
        <v>0.93333333333333335</v>
      </c>
    </row>
    <row r="37" spans="1:3" ht="15.6">
      <c r="A37" s="631" t="s">
        <v>253</v>
      </c>
      <c r="B37" s="857" t="s">
        <v>753</v>
      </c>
      <c r="C37" s="856">
        <f>1-AUTOQUESTIONNAIRE!K144</f>
        <v>1</v>
      </c>
    </row>
    <row r="38" spans="1:3" ht="15.6">
      <c r="A38" s="631" t="s">
        <v>254</v>
      </c>
      <c r="B38" s="857" t="s">
        <v>754</v>
      </c>
      <c r="C38" s="856">
        <f>1-AUTOQUESTIONNAIRE!K145</f>
        <v>0.875</v>
      </c>
    </row>
    <row r="39" spans="1:3" ht="15.6">
      <c r="A39" s="631" t="s">
        <v>773</v>
      </c>
      <c r="B39" s="857" t="s">
        <v>755</v>
      </c>
      <c r="C39" s="856">
        <f>AUTOQUESTIONNAIRE!K137</f>
        <v>0.5</v>
      </c>
    </row>
    <row r="40" spans="1:3" ht="43.2">
      <c r="A40" s="631" t="s">
        <v>735</v>
      </c>
      <c r="B40" s="857" t="s">
        <v>775</v>
      </c>
      <c r="C40" s="856">
        <f>AUTOQUESTIONNAIRE!K146</f>
        <v>1</v>
      </c>
    </row>
    <row r="41" spans="1:3" ht="28.8">
      <c r="A41" s="631" t="s">
        <v>736</v>
      </c>
      <c r="B41" s="857" t="s">
        <v>774</v>
      </c>
      <c r="C41" s="856">
        <f>AUTOQUESTIONNAIRE!K147</f>
        <v>1</v>
      </c>
    </row>
  </sheetData>
  <conditionalFormatting sqref="C34:C41">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D39F3-F689-4A68-87D1-ACE67F686A8E}">
  <sheetPr codeName="Feuil7">
    <tabColor rgb="FF00FF00"/>
    <pageSetUpPr fitToPage="1"/>
  </sheetPr>
  <dimension ref="A1:E59"/>
  <sheetViews>
    <sheetView zoomScale="70" zoomScaleNormal="70" workbookViewId="0">
      <selection activeCell="B10" sqref="B10"/>
    </sheetView>
  </sheetViews>
  <sheetFormatPr baseColWidth="10" defaultColWidth="11.5546875" defaultRowHeight="14.4"/>
  <cols>
    <col min="1" max="1" width="32.44140625" customWidth="1"/>
    <col min="2" max="2" width="10.6640625" style="28"/>
    <col min="3" max="3" width="10.6640625" style="15"/>
    <col min="4" max="4" width="4.44140625" customWidth="1"/>
    <col min="5" max="5" width="7.5546875" customWidth="1"/>
    <col min="16" max="16" width="29.109375" bestFit="1" customWidth="1"/>
  </cols>
  <sheetData>
    <row r="1" spans="1:5">
      <c r="A1" s="22" t="s">
        <v>2647</v>
      </c>
      <c r="B1" s="850"/>
      <c r="C1" s="851"/>
    </row>
    <row r="2" spans="1:5">
      <c r="A2" s="830" t="s">
        <v>1421</v>
      </c>
      <c r="B2" s="858">
        <f>(1-AUTOQUESTIONNAIRE!K149)*3</f>
        <v>0.32142857142857129</v>
      </c>
      <c r="C2" s="859">
        <v>1</v>
      </c>
      <c r="D2" s="860">
        <v>2</v>
      </c>
      <c r="E2" s="860">
        <v>3</v>
      </c>
    </row>
    <row r="3" spans="1:5">
      <c r="A3" t="s">
        <v>1420</v>
      </c>
      <c r="B3" s="858">
        <f>AUTOQUESTIONNAIRE!K134</f>
        <v>0.82352941176470584</v>
      </c>
      <c r="C3" s="859">
        <v>1</v>
      </c>
      <c r="D3" s="860">
        <v>2</v>
      </c>
      <c r="E3" s="860">
        <v>3</v>
      </c>
    </row>
    <row r="4" spans="1:5">
      <c r="A4" s="830" t="s">
        <v>1439</v>
      </c>
      <c r="B4" s="858">
        <f>AUTOQUESTIONNAIRE!K137</f>
        <v>0.5</v>
      </c>
      <c r="C4" s="859">
        <v>1</v>
      </c>
      <c r="D4" s="860">
        <v>2</v>
      </c>
      <c r="E4" s="860">
        <v>3</v>
      </c>
    </row>
    <row r="5" spans="1:5">
      <c r="A5" t="s">
        <v>2348</v>
      </c>
      <c r="B5" s="858">
        <f>AUTOQUESTIONNAIRE!K68</f>
        <v>0.9</v>
      </c>
      <c r="C5" s="859">
        <v>1</v>
      </c>
      <c r="D5" s="860">
        <v>2</v>
      </c>
      <c r="E5" s="860">
        <v>3</v>
      </c>
    </row>
    <row r="6" spans="1:5">
      <c r="A6" s="830" t="s">
        <v>1422</v>
      </c>
      <c r="B6" s="858">
        <f>AUTOQUESTIONNAIRE!K81</f>
        <v>0.42105263157894735</v>
      </c>
      <c r="C6" s="859">
        <v>1</v>
      </c>
      <c r="D6" s="860">
        <v>2</v>
      </c>
      <c r="E6" s="860">
        <v>3</v>
      </c>
    </row>
    <row r="7" spans="1:5">
      <c r="A7" t="s">
        <v>1423</v>
      </c>
      <c r="B7" s="858">
        <f>AUTOQUESTIONNAIRE!K83</f>
        <v>0</v>
      </c>
      <c r="C7" s="859">
        <v>1</v>
      </c>
      <c r="D7" s="860">
        <v>2</v>
      </c>
      <c r="E7" s="860">
        <v>3</v>
      </c>
    </row>
    <row r="8" spans="1:5">
      <c r="A8" s="830" t="s">
        <v>1426</v>
      </c>
      <c r="B8" s="858">
        <f>AUTOQUESTIONNAIRE!K93</f>
        <v>0.7</v>
      </c>
      <c r="C8" s="859">
        <v>1</v>
      </c>
      <c r="D8" s="860">
        <v>2</v>
      </c>
      <c r="E8" s="860">
        <v>3</v>
      </c>
    </row>
    <row r="9" spans="1:5">
      <c r="A9" t="s">
        <v>2347</v>
      </c>
      <c r="B9" s="858">
        <f>AUTOQUESTIONNAIRE!K19</f>
        <v>0</v>
      </c>
      <c r="C9" s="859">
        <v>1</v>
      </c>
      <c r="D9" s="860">
        <v>2</v>
      </c>
      <c r="E9" s="860">
        <v>3</v>
      </c>
    </row>
    <row r="10" spans="1:5">
      <c r="A10" s="830" t="s">
        <v>1424</v>
      </c>
      <c r="B10" s="858">
        <f>AUTOQUESTIONNAIRE!K70</f>
        <v>0.8</v>
      </c>
      <c r="C10" s="859">
        <v>1</v>
      </c>
      <c r="D10" s="860">
        <v>2</v>
      </c>
      <c r="E10" s="860">
        <v>3</v>
      </c>
    </row>
    <row r="11" spans="1:5">
      <c r="A11" t="s">
        <v>1425</v>
      </c>
      <c r="B11" s="858">
        <f>AUTOQUESTIONNAIRE!K72</f>
        <v>1</v>
      </c>
      <c r="C11" s="859">
        <v>1</v>
      </c>
      <c r="D11" s="860">
        <v>2</v>
      </c>
      <c r="E11" s="860">
        <v>3</v>
      </c>
    </row>
    <row r="12" spans="1:5">
      <c r="A12" s="830" t="s">
        <v>1677</v>
      </c>
      <c r="B12" s="858">
        <f>AUTOQUESTIONNAIRE!K79</f>
        <v>1</v>
      </c>
      <c r="C12" s="859">
        <v>1</v>
      </c>
      <c r="D12" s="860">
        <v>2</v>
      </c>
      <c r="E12" s="860">
        <v>3</v>
      </c>
    </row>
    <row r="13" spans="1:5">
      <c r="A13" t="s">
        <v>2351</v>
      </c>
      <c r="B13" s="858">
        <f>AUTOQUESTIONNAIRE!K159</f>
        <v>0.75</v>
      </c>
      <c r="C13" s="859">
        <v>1</v>
      </c>
      <c r="D13" s="860">
        <v>2</v>
      </c>
      <c r="E13" s="860">
        <v>3</v>
      </c>
    </row>
    <row r="14" spans="1:5">
      <c r="A14" s="830" t="s">
        <v>2344</v>
      </c>
      <c r="B14" s="858">
        <f>AUTOQUESTIONNAIRE!K57</f>
        <v>0.55555555555555558</v>
      </c>
      <c r="C14" s="859">
        <v>1</v>
      </c>
      <c r="D14" s="860">
        <v>2</v>
      </c>
      <c r="E14" s="860">
        <v>3</v>
      </c>
    </row>
    <row r="15" spans="1:5">
      <c r="A15" t="s">
        <v>2345</v>
      </c>
      <c r="B15" s="858">
        <f>AUTOQUESTIONNAIRE!K58</f>
        <v>0.2</v>
      </c>
      <c r="C15" s="859">
        <v>1</v>
      </c>
      <c r="D15" s="860">
        <v>2</v>
      </c>
      <c r="E15" s="860">
        <v>3</v>
      </c>
    </row>
    <row r="16" spans="1:5">
      <c r="A16" t="s">
        <v>2697</v>
      </c>
      <c r="B16" s="28">
        <f>AUTOQUESTIONNAIRE!K18</f>
        <v>0.19999999999999996</v>
      </c>
      <c r="C16" s="859">
        <v>1</v>
      </c>
      <c r="D16" s="860">
        <v>2</v>
      </c>
      <c r="E16" s="860">
        <v>3</v>
      </c>
    </row>
    <row r="19" spans="1:5">
      <c r="A19" s="430" t="s">
        <v>1432</v>
      </c>
    </row>
    <row r="20" spans="1:5">
      <c r="A20" t="s">
        <v>1431</v>
      </c>
      <c r="B20" s="28">
        <f>RRImmédiat!C70</f>
        <v>2.4</v>
      </c>
      <c r="C20" s="15">
        <v>1</v>
      </c>
      <c r="D20">
        <v>2</v>
      </c>
      <c r="E20">
        <v>3</v>
      </c>
    </row>
    <row r="21" spans="1:5">
      <c r="A21" t="s">
        <v>1437</v>
      </c>
      <c r="B21" s="28">
        <f>RRImmédiat!C71</f>
        <v>1.6</v>
      </c>
      <c r="C21" s="15">
        <v>1</v>
      </c>
      <c r="D21">
        <v>2</v>
      </c>
      <c r="E21">
        <v>3</v>
      </c>
    </row>
    <row r="22" spans="1:5">
      <c r="A22" t="s">
        <v>1438</v>
      </c>
      <c r="B22" s="28">
        <f>RRImmédiat!C72</f>
        <v>1.2</v>
      </c>
      <c r="C22" s="15">
        <v>1</v>
      </c>
      <c r="D22">
        <v>2</v>
      </c>
      <c r="E22">
        <v>3</v>
      </c>
    </row>
    <row r="23" spans="1:5">
      <c r="A23" t="s">
        <v>1433</v>
      </c>
      <c r="B23" s="28">
        <f>RRImmédiat!C73</f>
        <v>2</v>
      </c>
      <c r="C23" s="15">
        <v>1</v>
      </c>
      <c r="D23">
        <v>2</v>
      </c>
      <c r="E23">
        <v>3</v>
      </c>
    </row>
    <row r="24" spans="1:5">
      <c r="A24" t="s">
        <v>1434</v>
      </c>
      <c r="B24" s="28">
        <f>RRImmédiat!C74</f>
        <v>3</v>
      </c>
      <c r="C24" s="15">
        <v>1</v>
      </c>
      <c r="D24">
        <v>2</v>
      </c>
      <c r="E24">
        <v>3</v>
      </c>
    </row>
    <row r="25" spans="1:5">
      <c r="A25" t="s">
        <v>1435</v>
      </c>
      <c r="B25" s="28">
        <f>RRImmédiat!C75</f>
        <v>1.2</v>
      </c>
      <c r="C25" s="15">
        <v>1</v>
      </c>
      <c r="D25">
        <v>2</v>
      </c>
      <c r="E25">
        <v>3</v>
      </c>
    </row>
    <row r="26" spans="1:5">
      <c r="A26" t="s">
        <v>1436</v>
      </c>
      <c r="B26" s="28">
        <f>RRImmédiat!C76</f>
        <v>1.2</v>
      </c>
      <c r="C26" s="15">
        <v>1</v>
      </c>
      <c r="D26">
        <v>2</v>
      </c>
      <c r="E26">
        <v>3</v>
      </c>
    </row>
    <row r="27" spans="1:5">
      <c r="A27" t="s">
        <v>1444</v>
      </c>
      <c r="B27" s="28">
        <f>RRImmédiat!C77</f>
        <v>3</v>
      </c>
      <c r="C27" s="15">
        <v>1</v>
      </c>
      <c r="D27">
        <v>2</v>
      </c>
      <c r="E27">
        <v>3</v>
      </c>
    </row>
    <row r="28" spans="1:5">
      <c r="A28" t="s">
        <v>253</v>
      </c>
      <c r="B28" s="28">
        <f>RRImmédiat!C78</f>
        <v>1.44</v>
      </c>
      <c r="C28" s="15">
        <v>1</v>
      </c>
      <c r="D28">
        <v>2</v>
      </c>
      <c r="E28">
        <v>3</v>
      </c>
    </row>
    <row r="29" spans="1:5">
      <c r="A29" t="s">
        <v>2346</v>
      </c>
      <c r="B29" s="28">
        <f>RRImmédiat!C79</f>
        <v>3</v>
      </c>
      <c r="C29" s="15">
        <v>1</v>
      </c>
      <c r="D29">
        <v>2</v>
      </c>
      <c r="E29">
        <v>3</v>
      </c>
    </row>
    <row r="30" spans="1:5">
      <c r="A30" t="s">
        <v>2352</v>
      </c>
      <c r="B30" s="28">
        <f>IF(AUTOQUESTIONNAIRE!K153=0,1,AUTOQUESTIONNAIRE!K153)</f>
        <v>2</v>
      </c>
      <c r="C30" s="15">
        <v>1</v>
      </c>
      <c r="D30">
        <v>2</v>
      </c>
      <c r="E30">
        <v>3</v>
      </c>
    </row>
    <row r="31" spans="1:5">
      <c r="A31" t="s">
        <v>2670</v>
      </c>
      <c r="B31" s="28">
        <f>MAX(1,B2)</f>
        <v>1</v>
      </c>
      <c r="C31" s="15">
        <v>1</v>
      </c>
      <c r="D31">
        <v>2</v>
      </c>
      <c r="E31">
        <v>3</v>
      </c>
    </row>
    <row r="32" spans="1:5">
      <c r="B32"/>
    </row>
    <row r="33" spans="1:5">
      <c r="B33"/>
    </row>
    <row r="34" spans="1:5">
      <c r="B34"/>
    </row>
    <row r="35" spans="1:5">
      <c r="A35" s="430" t="s">
        <v>2647</v>
      </c>
    </row>
    <row r="36" spans="1:5">
      <c r="A36" s="830" t="s">
        <v>2648</v>
      </c>
      <c r="B36" s="28">
        <f>1-B4</f>
        <v>0.5</v>
      </c>
      <c r="C36" s="15">
        <v>0</v>
      </c>
      <c r="D36">
        <v>0.5</v>
      </c>
      <c r="E36">
        <v>1</v>
      </c>
    </row>
    <row r="37" spans="1:5">
      <c r="A37" t="s">
        <v>2653</v>
      </c>
      <c r="B37" s="28">
        <f>1-B5</f>
        <v>9.9999999999999978E-2</v>
      </c>
      <c r="C37" s="15">
        <v>0</v>
      </c>
      <c r="D37">
        <v>0.5</v>
      </c>
      <c r="E37">
        <v>1</v>
      </c>
    </row>
    <row r="38" spans="1:5">
      <c r="A38" s="830" t="s">
        <v>2649</v>
      </c>
      <c r="B38" s="28">
        <f>1-B6</f>
        <v>0.57894736842105265</v>
      </c>
      <c r="C38" s="15">
        <v>0</v>
      </c>
      <c r="D38">
        <v>0.5</v>
      </c>
      <c r="E38">
        <v>1</v>
      </c>
    </row>
    <row r="39" spans="1:5">
      <c r="A39" t="s">
        <v>75</v>
      </c>
      <c r="B39" s="28">
        <f>1-B7</f>
        <v>1</v>
      </c>
      <c r="C39" s="15">
        <v>0</v>
      </c>
      <c r="D39">
        <v>0.5</v>
      </c>
      <c r="E39">
        <v>1</v>
      </c>
    </row>
    <row r="40" spans="1:5">
      <c r="A40" s="830" t="s">
        <v>2654</v>
      </c>
      <c r="B40" s="28">
        <f>1-B8</f>
        <v>0.30000000000000004</v>
      </c>
      <c r="C40" s="15">
        <v>0</v>
      </c>
      <c r="D40">
        <v>0.5</v>
      </c>
      <c r="E40">
        <v>1</v>
      </c>
    </row>
    <row r="41" spans="1:5">
      <c r="A41" t="s">
        <v>2343</v>
      </c>
      <c r="B41" s="28">
        <f>1-(MIN(B9,B13))</f>
        <v>1</v>
      </c>
      <c r="C41" s="15">
        <v>0</v>
      </c>
      <c r="D41">
        <v>0.5</v>
      </c>
      <c r="E41">
        <v>1</v>
      </c>
    </row>
    <row r="42" spans="1:5">
      <c r="A42" s="830" t="s">
        <v>2650</v>
      </c>
      <c r="B42" s="28">
        <f>1-B10</f>
        <v>0.19999999999999996</v>
      </c>
      <c r="C42" s="15">
        <v>0</v>
      </c>
      <c r="D42">
        <v>0.5</v>
      </c>
      <c r="E42">
        <v>1</v>
      </c>
    </row>
    <row r="43" spans="1:5">
      <c r="A43" t="s">
        <v>2651</v>
      </c>
      <c r="B43" s="28">
        <f>1-B11</f>
        <v>0</v>
      </c>
      <c r="C43" s="15">
        <v>0</v>
      </c>
      <c r="D43">
        <v>0.5</v>
      </c>
      <c r="E43">
        <v>1</v>
      </c>
    </row>
    <row r="44" spans="1:5">
      <c r="A44" s="830" t="s">
        <v>1906</v>
      </c>
      <c r="B44" s="28">
        <f>1-B12</f>
        <v>0</v>
      </c>
      <c r="C44" s="15">
        <v>0</v>
      </c>
      <c r="D44">
        <v>0.5</v>
      </c>
      <c r="E44">
        <v>1</v>
      </c>
    </row>
    <row r="45" spans="1:5">
      <c r="A45" s="830" t="s">
        <v>2652</v>
      </c>
      <c r="B45" s="28">
        <f>1-MIN(B14,B15)</f>
        <v>0.8</v>
      </c>
      <c r="C45" s="15">
        <v>0</v>
      </c>
      <c r="D45">
        <v>0.5</v>
      </c>
      <c r="E45">
        <v>1</v>
      </c>
    </row>
    <row r="46" spans="1:5">
      <c r="A46" s="830" t="s">
        <v>2699</v>
      </c>
      <c r="B46" s="28">
        <f>1-B16</f>
        <v>0.8</v>
      </c>
      <c r="C46" s="15">
        <v>0</v>
      </c>
      <c r="D46">
        <v>0.5</v>
      </c>
      <c r="E46">
        <v>1</v>
      </c>
    </row>
    <row r="48" spans="1:5">
      <c r="A48" s="868" t="s">
        <v>206</v>
      </c>
      <c r="B48" s="367">
        <f>AUTOQUESTIONNAIRE!H6/0.25</f>
        <v>1.4814814814814814</v>
      </c>
      <c r="C48" s="149">
        <v>1</v>
      </c>
      <c r="D48" s="359">
        <v>2</v>
      </c>
      <c r="E48" s="359">
        <v>3</v>
      </c>
    </row>
    <row r="49" spans="1:5">
      <c r="A49" s="868" t="s">
        <v>2686</v>
      </c>
      <c r="B49" s="367">
        <f>AUTOQUESTIONNAIRE!F218/140</f>
        <v>0</v>
      </c>
      <c r="C49" s="149">
        <v>1</v>
      </c>
      <c r="D49" s="359">
        <v>2</v>
      </c>
      <c r="E49" s="359">
        <v>3</v>
      </c>
    </row>
    <row r="50" spans="1:5">
      <c r="A50" s="868" t="s">
        <v>2687</v>
      </c>
      <c r="B50" s="367">
        <f>AUTOQUESTIONNAIRE!F219/90</f>
        <v>0</v>
      </c>
      <c r="C50" s="149">
        <v>1</v>
      </c>
      <c r="D50" s="359">
        <v>2</v>
      </c>
      <c r="E50" s="359">
        <v>3</v>
      </c>
    </row>
    <row r="51" spans="1:5">
      <c r="A51" s="868" t="s">
        <v>2681</v>
      </c>
      <c r="B51" s="367">
        <f>AUTOQUESTIONNAIRE!F217/80</f>
        <v>0.875</v>
      </c>
      <c r="C51" s="149">
        <v>1</v>
      </c>
      <c r="D51" s="359">
        <v>2</v>
      </c>
      <c r="E51" s="359">
        <v>3</v>
      </c>
    </row>
    <row r="52" spans="1:5">
      <c r="A52" s="868" t="s">
        <v>2682</v>
      </c>
      <c r="B52" s="367">
        <f>AUTOQUESTIONNAIRE!G346/30</f>
        <v>0.33333333333333331</v>
      </c>
      <c r="C52" s="149">
        <v>1</v>
      </c>
      <c r="D52" s="359">
        <v>2</v>
      </c>
      <c r="E52" s="359">
        <v>3</v>
      </c>
    </row>
    <row r="53" spans="1:5">
      <c r="A53" s="868" t="s">
        <v>2688</v>
      </c>
      <c r="B53" s="367">
        <f>AUTOQUESTIONNAIRE!G347/20</f>
        <v>-3.5</v>
      </c>
      <c r="C53" s="149">
        <v>1</v>
      </c>
      <c r="D53" s="359">
        <v>2</v>
      </c>
      <c r="E53" s="359">
        <v>3</v>
      </c>
    </row>
    <row r="54" spans="1:5">
      <c r="A54" s="868" t="s">
        <v>2684</v>
      </c>
      <c r="B54" s="367">
        <f>AUTOQUESTIONNAIRE!F228/95</f>
        <v>0</v>
      </c>
      <c r="C54" s="149">
        <v>1</v>
      </c>
      <c r="D54" s="359">
        <v>2</v>
      </c>
      <c r="E54" s="359">
        <v>3</v>
      </c>
    </row>
    <row r="55" spans="1:5">
      <c r="A55" s="868" t="s">
        <v>2683</v>
      </c>
      <c r="B55" s="367">
        <f>AUTOQUESTIONNAIRE!F233/20</f>
        <v>0.1</v>
      </c>
      <c r="C55" s="149">
        <v>1</v>
      </c>
      <c r="D55" s="359">
        <v>2</v>
      </c>
      <c r="E55" s="359">
        <v>3</v>
      </c>
    </row>
    <row r="56" spans="1:5">
      <c r="A56" s="868" t="s">
        <v>2685</v>
      </c>
      <c r="B56" s="367">
        <f>AUTOQUESTIONNAIRE!H236</f>
        <v>1</v>
      </c>
      <c r="C56" s="149">
        <v>1</v>
      </c>
      <c r="D56" s="359">
        <v>2</v>
      </c>
      <c r="E56" s="359">
        <v>3</v>
      </c>
    </row>
    <row r="57" spans="1:5">
      <c r="A57" s="868" t="s">
        <v>748</v>
      </c>
      <c r="B57" s="367">
        <f>AUTOQUESTIONNAIRE!F237</f>
        <v>0</v>
      </c>
      <c r="C57" s="149">
        <v>1</v>
      </c>
      <c r="D57" s="359">
        <v>2</v>
      </c>
      <c r="E57" s="359">
        <v>3</v>
      </c>
    </row>
    <row r="58" spans="1:5">
      <c r="A58" s="868" t="s">
        <v>2689</v>
      </c>
      <c r="B58" s="367">
        <f>AUTOQUESTIONNAIRE!I245</f>
        <v>2.5</v>
      </c>
      <c r="C58" s="149">
        <v>1</v>
      </c>
      <c r="D58" s="359">
        <v>2</v>
      </c>
      <c r="E58" s="359">
        <v>3</v>
      </c>
    </row>
    <row r="59" spans="1:5">
      <c r="C59" s="149">
        <v>1</v>
      </c>
      <c r="D59" s="359">
        <v>2</v>
      </c>
      <c r="E59" s="359">
        <v>3</v>
      </c>
    </row>
  </sheetData>
  <conditionalFormatting sqref="B1">
    <cfRule type="colorScale" priority="16">
      <colorScale>
        <cfvo type="min"/>
        <cfvo type="percentile" val="50"/>
        <cfvo type="max"/>
        <color rgb="FF63BE7B"/>
        <color rgb="FFFFEB84"/>
        <color rgb="FFF8696B"/>
      </colorScale>
    </cfRule>
  </conditionalFormatting>
  <conditionalFormatting sqref="B20:B30">
    <cfRule type="colorScale" priority="12">
      <colorScale>
        <cfvo type="min"/>
        <cfvo type="percentile" val="50"/>
        <cfvo type="max"/>
        <color rgb="FF63BE7B"/>
        <color rgb="FFFFEB84"/>
        <color rgb="FFF8696B"/>
      </colorScale>
    </cfRule>
  </conditionalFormatting>
  <conditionalFormatting sqref="B20:B31">
    <cfRule type="colorScale" priority="2">
      <colorScale>
        <cfvo type="min"/>
        <cfvo type="percentile" val="50"/>
        <cfvo type="max"/>
        <color rgb="FF63BE7B"/>
        <color rgb="FFFFEB84"/>
        <color rgb="FFF8696B"/>
      </colorScale>
    </cfRule>
  </conditionalFormatting>
  <conditionalFormatting sqref="B35:B40">
    <cfRule type="colorScale" priority="6">
      <colorScale>
        <cfvo type="min"/>
        <cfvo type="percentile" val="50"/>
        <cfvo type="max"/>
        <color rgb="FF63BE7B"/>
        <color rgb="FFFFEB84"/>
        <color rgb="FFF8696B"/>
      </colorScale>
    </cfRule>
  </conditionalFormatting>
  <conditionalFormatting sqref="B35:B43">
    <cfRule type="colorScale" priority="5">
      <colorScale>
        <cfvo type="min"/>
        <cfvo type="percentile" val="50"/>
        <cfvo type="max"/>
        <color rgb="FFF8696B"/>
        <color rgb="FFFFEB84"/>
        <color rgb="FF63BE7B"/>
      </colorScale>
    </cfRule>
  </conditionalFormatting>
  <conditionalFormatting sqref="B35:B44">
    <cfRule type="colorScale" priority="4">
      <colorScale>
        <cfvo type="min"/>
        <cfvo type="percentile" val="50"/>
        <cfvo type="max"/>
        <color rgb="FFF8696B"/>
        <color rgb="FFFFEB84"/>
        <color rgb="FF63BE7B"/>
      </colorScale>
    </cfRule>
  </conditionalFormatting>
  <conditionalFormatting sqref="B35:B45">
    <cfRule type="colorScale" priority="3">
      <colorScale>
        <cfvo type="min"/>
        <cfvo type="percentile" val="50"/>
        <cfvo type="max"/>
        <color rgb="FF63BE7B"/>
        <color rgb="FFFFEB84"/>
        <color rgb="FFF8696B"/>
      </colorScale>
    </cfRule>
  </conditionalFormatting>
  <conditionalFormatting sqref="B36:B46">
    <cfRule type="colorScale" priority="1">
      <colorScale>
        <cfvo type="min"/>
        <cfvo type="percentile" val="50"/>
        <cfvo type="max"/>
        <color rgb="FF63BE7B"/>
        <color rgb="FFFFEB84"/>
        <color rgb="FFF8696B"/>
      </colorScale>
    </cfRule>
  </conditionalFormatting>
  <pageMargins left="0.7" right="0.7" top="0.75" bottom="0.75" header="0.3" footer="0.3"/>
  <pageSetup scale="7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BC532-A0E2-4403-993D-4ECBBCA1B3A9}">
  <sheetPr codeName="Feuil5">
    <tabColor theme="5" tint="0.39997558519241921"/>
    <pageSetUpPr fitToPage="1"/>
  </sheetPr>
  <dimension ref="A1:S152"/>
  <sheetViews>
    <sheetView zoomScale="84" zoomScaleNormal="84" zoomScaleSheetLayoutView="82" workbookViewId="0">
      <pane xSplit="3" ySplit="1" topLeftCell="F33" activePane="bottomRight" state="frozen"/>
      <selection pane="topRight" activeCell="D1" sqref="D1"/>
      <selection pane="bottomLeft" activeCell="A2" sqref="A2"/>
      <selection pane="bottomRight" activeCell="C36" sqref="C36"/>
    </sheetView>
  </sheetViews>
  <sheetFormatPr baseColWidth="10" defaultColWidth="10.88671875" defaultRowHeight="18"/>
  <cols>
    <col min="1" max="1" width="103.77734375" style="665" customWidth="1"/>
    <col min="2" max="2" width="17.21875" style="331" customWidth="1"/>
    <col min="3" max="3" width="15.5546875" style="331" customWidth="1"/>
    <col min="4" max="4" width="10" style="722"/>
    <col min="5" max="6" width="10.88671875" style="668"/>
    <col min="7" max="7" width="22.88671875" style="322" customWidth="1"/>
    <col min="8" max="8" width="10.77734375" style="322" customWidth="1"/>
    <col min="9" max="10" width="10.88671875" style="668"/>
    <col min="11" max="11" width="17.88671875" style="668" customWidth="1"/>
    <col min="12" max="12" width="30.21875" style="668" customWidth="1"/>
    <col min="13" max="13" width="10.88671875" style="668"/>
    <col min="14" max="14" width="14.88671875" style="668" customWidth="1"/>
    <col min="15" max="15" width="16.88671875" style="668" customWidth="1"/>
    <col min="16" max="18" width="10.88671875" style="668"/>
    <col min="19" max="19" width="30.5546875" style="668" customWidth="1"/>
    <col min="20" max="16384" width="10.88671875" style="668"/>
  </cols>
  <sheetData>
    <row r="1" spans="1:19">
      <c r="A1" s="662" t="s">
        <v>129</v>
      </c>
      <c r="B1" s="331" t="s">
        <v>130</v>
      </c>
      <c r="C1" s="721" t="s">
        <v>131</v>
      </c>
      <c r="S1" s="668" t="s">
        <v>2032</v>
      </c>
    </row>
    <row r="2" spans="1:19">
      <c r="A2" s="663" t="s">
        <v>132</v>
      </c>
      <c r="B2" s="721" t="s">
        <v>133</v>
      </c>
      <c r="C2" s="723"/>
      <c r="D2" s="722">
        <f>C2*215</f>
        <v>0</v>
      </c>
      <c r="E2" s="770" t="s">
        <v>180</v>
      </c>
      <c r="I2" s="322">
        <v>0</v>
      </c>
      <c r="J2" s="322">
        <v>1</v>
      </c>
      <c r="K2" s="322">
        <v>2</v>
      </c>
      <c r="S2" s="668" t="s">
        <v>1029</v>
      </c>
    </row>
    <row r="3" spans="1:19">
      <c r="A3" s="663" t="s">
        <v>134</v>
      </c>
      <c r="B3" s="721" t="s">
        <v>135</v>
      </c>
      <c r="C3" s="724">
        <v>6</v>
      </c>
      <c r="D3" s="725">
        <f>C3*2.59</f>
        <v>15.54</v>
      </c>
      <c r="E3" s="668" t="s">
        <v>225</v>
      </c>
      <c r="F3" s="668" t="s">
        <v>337</v>
      </c>
      <c r="G3" s="340" t="s">
        <v>1</v>
      </c>
      <c r="H3" s="726">
        <f>C11</f>
        <v>2.8</v>
      </c>
      <c r="J3" s="668">
        <f>C3*2.58</f>
        <v>15.48</v>
      </c>
      <c r="K3" s="668" t="s">
        <v>311</v>
      </c>
      <c r="N3" s="771" t="s">
        <v>203</v>
      </c>
      <c r="O3" s="772">
        <f>C56</f>
        <v>65</v>
      </c>
      <c r="S3" s="668" t="s">
        <v>1029</v>
      </c>
    </row>
    <row r="4" spans="1:19">
      <c r="A4" s="663" t="s">
        <v>136</v>
      </c>
      <c r="B4" s="721" t="s">
        <v>135</v>
      </c>
      <c r="C4" s="724">
        <v>1</v>
      </c>
      <c r="D4" s="725">
        <f t="shared" ref="D4:D5" si="0">C4*2.59</f>
        <v>2.59</v>
      </c>
      <c r="E4" s="668" t="s">
        <v>225</v>
      </c>
      <c r="F4" s="668" t="s">
        <v>336</v>
      </c>
      <c r="G4" s="340" t="s">
        <v>2</v>
      </c>
      <c r="H4" s="726">
        <f>C33</f>
        <v>0</v>
      </c>
      <c r="J4" s="668">
        <f>C4*2.58</f>
        <v>2.58</v>
      </c>
      <c r="K4" s="668" t="s">
        <v>311</v>
      </c>
      <c r="N4" s="771" t="s">
        <v>307</v>
      </c>
      <c r="O4" s="668">
        <f>AUTOQUESTIONNAIRE!F68</f>
        <v>0</v>
      </c>
      <c r="S4" s="668" t="s">
        <v>1029</v>
      </c>
    </row>
    <row r="5" spans="1:19">
      <c r="A5" s="663" t="s">
        <v>137</v>
      </c>
      <c r="B5" s="721" t="s">
        <v>135</v>
      </c>
      <c r="C5" s="724">
        <v>5</v>
      </c>
      <c r="D5" s="725">
        <f t="shared" si="0"/>
        <v>12.95</v>
      </c>
      <c r="E5" s="668" t="s">
        <v>225</v>
      </c>
      <c r="F5" s="668" t="s">
        <v>335</v>
      </c>
      <c r="G5" s="727" t="s">
        <v>3</v>
      </c>
      <c r="H5" s="728">
        <f>C8</f>
        <v>0</v>
      </c>
      <c r="N5" s="668" t="s">
        <v>308</v>
      </c>
      <c r="O5" s="668">
        <f>AUTOQUESTIONNAIRE!F218</f>
        <v>0</v>
      </c>
      <c r="P5" s="771"/>
      <c r="S5" s="668" t="s">
        <v>1029</v>
      </c>
    </row>
    <row r="6" spans="1:19">
      <c r="A6" s="663" t="s">
        <v>138</v>
      </c>
      <c r="B6" s="721" t="s">
        <v>135</v>
      </c>
      <c r="C6" s="724">
        <v>3</v>
      </c>
      <c r="D6" s="340">
        <f>C6*1.13</f>
        <v>3.3899999999999997</v>
      </c>
      <c r="E6" s="668" t="s">
        <v>225</v>
      </c>
      <c r="G6" s="340" t="s">
        <v>4</v>
      </c>
      <c r="H6" s="660">
        <f>D3</f>
        <v>15.54</v>
      </c>
      <c r="N6" s="668" t="s">
        <v>309</v>
      </c>
      <c r="O6" s="668">
        <f>H6</f>
        <v>15.54</v>
      </c>
      <c r="P6" s="771"/>
      <c r="S6" s="668" t="s">
        <v>1029</v>
      </c>
    </row>
    <row r="7" spans="1:19">
      <c r="A7" s="663" t="s">
        <v>139</v>
      </c>
      <c r="B7" s="721" t="s">
        <v>140</v>
      </c>
      <c r="C7" s="723">
        <v>2</v>
      </c>
      <c r="G7" s="340" t="s">
        <v>84</v>
      </c>
      <c r="H7" s="729">
        <f>C7</f>
        <v>2</v>
      </c>
      <c r="N7" s="668" t="s">
        <v>310</v>
      </c>
      <c r="O7" s="668">
        <f>H8</f>
        <v>2.59</v>
      </c>
      <c r="P7" s="771"/>
      <c r="S7" s="668" t="s">
        <v>1032</v>
      </c>
    </row>
    <row r="8" spans="1:19">
      <c r="A8" s="689" t="s">
        <v>339</v>
      </c>
      <c r="B8" s="730" t="s">
        <v>341</v>
      </c>
      <c r="C8" s="731"/>
      <c r="D8" s="664">
        <f>C8*4</f>
        <v>0</v>
      </c>
      <c r="E8" s="773" t="s">
        <v>342</v>
      </c>
      <c r="F8" s="668" t="s">
        <v>340</v>
      </c>
      <c r="G8" s="340" t="s">
        <v>5</v>
      </c>
      <c r="H8" s="660">
        <f>D4</f>
        <v>2.59</v>
      </c>
      <c r="N8" s="668" t="s">
        <v>219</v>
      </c>
      <c r="O8" s="668">
        <f>AUTOQUESTIONNAIRE!F3</f>
        <v>1</v>
      </c>
      <c r="P8" s="771"/>
      <c r="S8" s="668" t="s">
        <v>1067</v>
      </c>
    </row>
    <row r="9" spans="1:19">
      <c r="A9" s="663" t="s">
        <v>141</v>
      </c>
      <c r="B9" s="721" t="s">
        <v>133</v>
      </c>
      <c r="C9" s="723"/>
      <c r="D9" s="732">
        <f>C9*5.5</f>
        <v>0</v>
      </c>
      <c r="E9" s="668" t="s">
        <v>225</v>
      </c>
      <c r="G9" s="340" t="s">
        <v>6</v>
      </c>
      <c r="H9" s="726">
        <f>C10</f>
        <v>0</v>
      </c>
      <c r="K9" s="668" t="s">
        <v>106</v>
      </c>
      <c r="O9" s="772"/>
      <c r="S9" s="668" t="s">
        <v>1029</v>
      </c>
    </row>
    <row r="10" spans="1:19">
      <c r="A10" s="663" t="s">
        <v>142</v>
      </c>
      <c r="B10" s="721" t="s">
        <v>143</v>
      </c>
      <c r="C10" s="724"/>
      <c r="G10" s="340" t="s">
        <v>79</v>
      </c>
      <c r="H10" s="733">
        <f>C2</f>
        <v>0</v>
      </c>
      <c r="I10" s="668">
        <v>0.3</v>
      </c>
      <c r="K10" s="668" t="s">
        <v>100</v>
      </c>
      <c r="L10" s="340">
        <f>(AUTOQUESTIONNAIRE!F4*H25)/((H22*(SQRT(H24))))</f>
        <v>1.0277402395547233</v>
      </c>
      <c r="S10" s="668" t="s">
        <v>1029</v>
      </c>
    </row>
    <row r="11" spans="1:19">
      <c r="A11" s="663" t="s">
        <v>144</v>
      </c>
      <c r="B11" s="721" t="s">
        <v>145</v>
      </c>
      <c r="C11" s="724">
        <v>2.8</v>
      </c>
      <c r="G11" s="340" t="s">
        <v>7</v>
      </c>
      <c r="H11" s="734">
        <f>D6</f>
        <v>3.3899999999999997</v>
      </c>
      <c r="L11" s="668" t="s">
        <v>101</v>
      </c>
      <c r="S11" s="668" t="s">
        <v>1053</v>
      </c>
    </row>
    <row r="12" spans="1:19">
      <c r="A12" s="663" t="s">
        <v>146</v>
      </c>
      <c r="B12" s="721" t="s">
        <v>147</v>
      </c>
      <c r="C12" s="724"/>
      <c r="G12" s="340" t="s">
        <v>128</v>
      </c>
      <c r="H12" s="726">
        <f>C5</f>
        <v>5</v>
      </c>
      <c r="S12" s="668" t="s">
        <v>1027</v>
      </c>
    </row>
    <row r="13" spans="1:19">
      <c r="A13" s="663" t="s">
        <v>148</v>
      </c>
      <c r="B13" s="721" t="s">
        <v>149</v>
      </c>
      <c r="C13" s="724"/>
      <c r="G13" s="340" t="s">
        <v>8</v>
      </c>
      <c r="H13" s="726">
        <f>C21</f>
        <v>0</v>
      </c>
      <c r="K13" s="668" t="s">
        <v>236</v>
      </c>
      <c r="L13" s="340">
        <f>(-0.38+L16*1.37)/100</f>
        <v>0.15032500000000001</v>
      </c>
      <c r="M13" s="340">
        <f xml:space="preserve"> (-0.148+0.89*M16)/100</f>
        <v>7.8620000000000023E-2</v>
      </c>
      <c r="S13" s="668" t="s">
        <v>1027</v>
      </c>
    </row>
    <row r="14" spans="1:19">
      <c r="A14" s="663" t="s">
        <v>150</v>
      </c>
      <c r="B14" s="721" t="s">
        <v>151</v>
      </c>
      <c r="C14" s="724"/>
      <c r="D14" s="722" t="s">
        <v>257</v>
      </c>
      <c r="G14" s="340" t="s">
        <v>9</v>
      </c>
      <c r="H14" s="734">
        <f>C35</f>
        <v>15</v>
      </c>
      <c r="N14" s="668" t="s">
        <v>306</v>
      </c>
      <c r="S14" s="668" t="s">
        <v>1027</v>
      </c>
    </row>
    <row r="15" spans="1:19">
      <c r="A15" s="663" t="s">
        <v>152</v>
      </c>
      <c r="B15" s="721" t="s">
        <v>153</v>
      </c>
      <c r="C15" s="735"/>
      <c r="D15" s="722" t="s">
        <v>256</v>
      </c>
      <c r="G15" s="727" t="s">
        <v>10</v>
      </c>
      <c r="H15" s="736">
        <f>C30</f>
        <v>0</v>
      </c>
      <c r="K15" s="322" t="s">
        <v>102</v>
      </c>
      <c r="L15" s="322" t="s">
        <v>61</v>
      </c>
      <c r="M15" s="322" t="s">
        <v>62</v>
      </c>
      <c r="N15" s="668" t="s">
        <v>61</v>
      </c>
      <c r="O15" s="668" t="s">
        <v>62</v>
      </c>
      <c r="P15" s="774"/>
      <c r="R15" s="775"/>
      <c r="S15" s="668" t="s">
        <v>1027</v>
      </c>
    </row>
    <row r="16" spans="1:19">
      <c r="A16" s="663" t="s">
        <v>154</v>
      </c>
      <c r="B16" s="721" t="s">
        <v>153</v>
      </c>
      <c r="C16" s="724"/>
      <c r="D16" s="722" t="s">
        <v>259</v>
      </c>
      <c r="G16" s="340" t="s">
        <v>104</v>
      </c>
      <c r="H16" s="313">
        <f>D36</f>
        <v>397.8</v>
      </c>
      <c r="K16" s="322" t="s">
        <v>27</v>
      </c>
      <c r="L16" s="322">
        <f>-10.2+0.33*C56</f>
        <v>11.25</v>
      </c>
      <c r="M16" s="340">
        <f xml:space="preserve"> -7.9+0.26*C56</f>
        <v>9.0000000000000018</v>
      </c>
      <c r="P16" s="771"/>
      <c r="S16" s="668" t="s">
        <v>1027</v>
      </c>
    </row>
    <row r="17" spans="1:19">
      <c r="A17" s="663" t="s">
        <v>155</v>
      </c>
      <c r="B17" s="721" t="s">
        <v>153</v>
      </c>
      <c r="C17" s="724"/>
      <c r="D17" s="722">
        <v>0.1</v>
      </c>
      <c r="G17" s="340" t="s">
        <v>11</v>
      </c>
      <c r="H17" s="726">
        <f>C25</f>
        <v>0</v>
      </c>
      <c r="K17" s="322" t="s">
        <v>63</v>
      </c>
      <c r="L17" s="322">
        <f>-12.3+0.09*AUTOQUESTIONNAIRE!F218</f>
        <v>-12.3</v>
      </c>
      <c r="M17" s="340">
        <f>-20.4+0.15*AUTOQUESTIONNAIRE!F218</f>
        <v>-20.399999999999999</v>
      </c>
      <c r="P17" s="771"/>
      <c r="S17" s="668" t="s">
        <v>1027</v>
      </c>
    </row>
    <row r="18" spans="1:19">
      <c r="A18" s="663" t="s">
        <v>156</v>
      </c>
      <c r="B18" s="721" t="s">
        <v>153</v>
      </c>
      <c r="C18" s="724"/>
      <c r="D18" s="722" t="s">
        <v>260</v>
      </c>
      <c r="G18" s="340" t="s">
        <v>12</v>
      </c>
      <c r="H18" s="726">
        <f>C12</f>
        <v>0</v>
      </c>
      <c r="K18" s="322" t="s">
        <v>64</v>
      </c>
      <c r="L18" s="322">
        <f>AUTOQUESTIONNAIRE!F97</f>
        <v>1</v>
      </c>
      <c r="M18" s="322">
        <f>AUTOQUESTIONNAIRE!F97</f>
        <v>1</v>
      </c>
      <c r="P18" s="771"/>
      <c r="S18" s="668" t="s">
        <v>1027</v>
      </c>
    </row>
    <row r="19" spans="1:19">
      <c r="A19" s="663" t="s">
        <v>157</v>
      </c>
      <c r="B19" s="721" t="s">
        <v>153</v>
      </c>
      <c r="C19" s="724">
        <v>200</v>
      </c>
      <c r="D19" s="722" t="s">
        <v>258</v>
      </c>
      <c r="G19" s="340" t="s">
        <v>13</v>
      </c>
      <c r="H19" s="737">
        <f>C15</f>
        <v>0</v>
      </c>
      <c r="K19" s="322" t="s">
        <v>65</v>
      </c>
      <c r="L19" s="322">
        <f>-4+2.5*(H6*0.386)</f>
        <v>10.996099999999998</v>
      </c>
      <c r="M19" s="340">
        <f xml:space="preserve"> -5.27+3.29*(H6*0.386)</f>
        <v>14.464867599999998</v>
      </c>
      <c r="P19" s="771"/>
      <c r="S19" s="668" t="s">
        <v>1027</v>
      </c>
    </row>
    <row r="20" spans="1:19">
      <c r="A20" s="663" t="s">
        <v>158</v>
      </c>
      <c r="B20" s="721" t="s">
        <v>159</v>
      </c>
      <c r="C20" s="723"/>
      <c r="G20" s="340" t="s">
        <v>552</v>
      </c>
      <c r="H20" s="726">
        <f>C16</f>
        <v>0</v>
      </c>
      <c r="K20" s="322" t="s">
        <v>66</v>
      </c>
      <c r="L20" s="322">
        <f>AUTOQUESTIONNAIRE!F94</f>
        <v>0</v>
      </c>
      <c r="M20" s="322">
        <f>AUTOQUESTIONNAIRE!F94</f>
        <v>0</v>
      </c>
      <c r="P20" s="771"/>
      <c r="S20" s="668" t="s">
        <v>2033</v>
      </c>
    </row>
    <row r="21" spans="1:19">
      <c r="A21" s="663" t="s">
        <v>160</v>
      </c>
      <c r="B21" s="721" t="s">
        <v>161</v>
      </c>
      <c r="C21" s="724"/>
      <c r="G21" s="340" t="s">
        <v>14</v>
      </c>
      <c r="H21" s="726">
        <f>C18</f>
        <v>0</v>
      </c>
      <c r="K21" s="322" t="s">
        <v>67</v>
      </c>
      <c r="L21" s="322">
        <f>AUTOQUESTIONNAIRE!F68</f>
        <v>0</v>
      </c>
      <c r="M21" s="322">
        <f>AUTOQUESTIONNAIRE!F68</f>
        <v>0</v>
      </c>
      <c r="P21" s="771"/>
      <c r="S21" s="664" t="s">
        <v>1032</v>
      </c>
    </row>
    <row r="22" spans="1:19">
      <c r="A22" s="663" t="s">
        <v>162</v>
      </c>
      <c r="B22" s="721" t="s">
        <v>143</v>
      </c>
      <c r="C22" s="723"/>
      <c r="G22" s="340" t="s">
        <v>15</v>
      </c>
      <c r="H22" s="726">
        <f>C19</f>
        <v>200</v>
      </c>
      <c r="K22" s="322" t="s">
        <v>68</v>
      </c>
      <c r="L22" s="340">
        <f>SUM(L16:L21)</f>
        <v>10.946099999999998</v>
      </c>
      <c r="M22" s="340">
        <f>SUM(M16:M21)</f>
        <v>4.0648676000000012</v>
      </c>
      <c r="P22" s="771"/>
      <c r="S22" s="668" t="s">
        <v>2033</v>
      </c>
    </row>
    <row r="23" spans="1:19">
      <c r="A23" s="663" t="s">
        <v>163</v>
      </c>
      <c r="B23" s="721" t="s">
        <v>164</v>
      </c>
      <c r="C23" s="724">
        <v>10</v>
      </c>
      <c r="G23" s="738" t="s">
        <v>16</v>
      </c>
      <c r="H23" s="317"/>
      <c r="K23" s="322" t="s">
        <v>116</v>
      </c>
      <c r="L23" s="340">
        <f>(-0.38+L22*1.37)/100</f>
        <v>0.14616156999999996</v>
      </c>
      <c r="M23" s="340">
        <f xml:space="preserve"> (-0.148+0.89*M22)/100</f>
        <v>3.4697321640000015E-2</v>
      </c>
      <c r="S23" s="668" t="s">
        <v>1036</v>
      </c>
    </row>
    <row r="24" spans="1:19">
      <c r="A24" s="663" t="s">
        <v>165</v>
      </c>
      <c r="B24" s="721" t="s">
        <v>164</v>
      </c>
      <c r="C24" s="724">
        <v>10</v>
      </c>
      <c r="G24" s="340" t="s">
        <v>17</v>
      </c>
      <c r="H24" s="726">
        <f>C23</f>
        <v>10</v>
      </c>
      <c r="K24" s="322"/>
      <c r="L24" s="340"/>
      <c r="M24" s="340"/>
      <c r="S24" s="668" t="s">
        <v>1036</v>
      </c>
    </row>
    <row r="25" spans="1:19">
      <c r="A25" s="663" t="s">
        <v>166</v>
      </c>
      <c r="B25" s="721" t="s">
        <v>167</v>
      </c>
      <c r="C25" s="724"/>
      <c r="G25" s="340" t="s">
        <v>18</v>
      </c>
      <c r="H25" s="726">
        <f>C24</f>
        <v>10</v>
      </c>
      <c r="K25" s="322" t="s">
        <v>118</v>
      </c>
      <c r="L25" s="322">
        <f>-10.2+0.33*((C56)+5)</f>
        <v>12.900000000000002</v>
      </c>
      <c r="M25" s="340">
        <f>-7.9+0.26*((C56)+5)</f>
        <v>10.299999999999999</v>
      </c>
      <c r="S25" s="668" t="s">
        <v>1036</v>
      </c>
    </row>
    <row r="26" spans="1:19">
      <c r="A26" s="663" t="s">
        <v>528</v>
      </c>
      <c r="B26" s="721" t="s">
        <v>168</v>
      </c>
      <c r="C26" s="723"/>
      <c r="G26" s="340" t="s">
        <v>273</v>
      </c>
      <c r="H26" s="739">
        <f>(C53+C54)/12</f>
        <v>0</v>
      </c>
      <c r="K26" s="322" t="s">
        <v>119</v>
      </c>
      <c r="L26" s="340">
        <f>(L17+L18+L19+L20+L21+L25)</f>
        <v>12.5961</v>
      </c>
      <c r="M26" s="340">
        <f>(M17+M18+M19+M20+M21+M25)</f>
        <v>5.3648675999999984</v>
      </c>
      <c r="S26" s="668" t="s">
        <v>2035</v>
      </c>
    </row>
    <row r="27" spans="1:19">
      <c r="A27" s="663" t="s">
        <v>526</v>
      </c>
      <c r="B27" s="721" t="s">
        <v>169</v>
      </c>
      <c r="C27" s="723"/>
      <c r="G27" s="340" t="s">
        <v>274</v>
      </c>
      <c r="H27" s="740" t="str">
        <f>IF(C55&lt;8,"L",(IF(C55&gt;14,"H","N")))</f>
        <v>L</v>
      </c>
      <c r="K27" s="322" t="s">
        <v>117</v>
      </c>
      <c r="L27" s="340">
        <f>(-0.38+L26*1.37)/100</f>
        <v>0.16876657</v>
      </c>
      <c r="M27" s="340">
        <f xml:space="preserve"> (-0.148+0.89*M26)/100</f>
        <v>4.6267321639999991E-2</v>
      </c>
      <c r="S27" s="664" t="s">
        <v>2047</v>
      </c>
    </row>
    <row r="28" spans="1:19">
      <c r="A28" s="663" t="s">
        <v>170</v>
      </c>
      <c r="B28" s="721" t="s">
        <v>171</v>
      </c>
      <c r="C28" s="723"/>
      <c r="G28" s="340" t="s">
        <v>19</v>
      </c>
      <c r="H28" s="726">
        <f>C31</f>
        <v>0</v>
      </c>
      <c r="S28" s="664" t="s">
        <v>2047</v>
      </c>
    </row>
    <row r="29" spans="1:19">
      <c r="A29" s="663" t="s">
        <v>172</v>
      </c>
      <c r="B29" s="721" t="s">
        <v>145</v>
      </c>
      <c r="C29" s="723"/>
      <c r="G29" s="741" t="s">
        <v>330</v>
      </c>
      <c r="H29" s="741">
        <f>AUTOQUESTIONNAIRE!F241</f>
        <v>25</v>
      </c>
      <c r="I29" s="742" t="s">
        <v>331</v>
      </c>
      <c r="J29" s="543">
        <f>H3/H29</f>
        <v>0.11199999999999999</v>
      </c>
      <c r="K29" s="316" t="s">
        <v>120</v>
      </c>
      <c r="L29" s="322">
        <f>IF(AUTOQUESTIONNAIRE!F3=1,1.23,1.04)</f>
        <v>1.23</v>
      </c>
      <c r="S29" s="664" t="s">
        <v>2047</v>
      </c>
    </row>
    <row r="30" spans="1:19">
      <c r="A30" s="666" t="s">
        <v>490</v>
      </c>
      <c r="B30" s="721" t="s">
        <v>164</v>
      </c>
      <c r="C30" s="743"/>
      <c r="G30" s="325" t="s">
        <v>114</v>
      </c>
      <c r="H30" s="744">
        <f>(C56*H25)/((H22*(SQRT(H24))))</f>
        <v>1.0277402395547233</v>
      </c>
      <c r="I30" s="979"/>
      <c r="J30" s="678"/>
      <c r="S30" s="668" t="s">
        <v>1058</v>
      </c>
    </row>
    <row r="31" spans="1:19">
      <c r="A31" s="663" t="s">
        <v>173</v>
      </c>
      <c r="B31" s="721" t="s">
        <v>174</v>
      </c>
      <c r="C31" s="724"/>
      <c r="G31" s="325" t="s">
        <v>103</v>
      </c>
      <c r="H31" s="826">
        <f>MAX(0.01,IF(AUTOQUESTIONNAIRE!F3=1,ImportBiologie!L23,ImportBiologie!M23))</f>
        <v>0.14616156999999996</v>
      </c>
      <c r="I31" s="668" t="s">
        <v>115</v>
      </c>
      <c r="J31" s="746">
        <f>IF(AUTOQUESTIONNAIRE!F3=1,ImportBiologie!L27,ImportBiologie!M27)</f>
        <v>0.16876657</v>
      </c>
      <c r="K31" s="668">
        <v>8.5</v>
      </c>
      <c r="S31" s="668" t="s">
        <v>2035</v>
      </c>
    </row>
    <row r="32" spans="1:19">
      <c r="A32" s="663" t="s">
        <v>175</v>
      </c>
      <c r="B32" s="721" t="s">
        <v>176</v>
      </c>
      <c r="C32" s="724"/>
      <c r="D32" s="747">
        <f>C32*0.03624502</f>
        <v>0</v>
      </c>
      <c r="E32" s="668" t="s">
        <v>229</v>
      </c>
      <c r="G32" s="748" t="s">
        <v>58</v>
      </c>
      <c r="H32" s="748">
        <f>IF(H3=0,0,(IF(AUTOQUESTIONNAIRE!F101=1,(H3*1.5),H3))*G40)</f>
        <v>4.1999999999999993</v>
      </c>
      <c r="K32" s="668">
        <f>2/8.5</f>
        <v>0.23529411764705882</v>
      </c>
      <c r="S32" s="668" t="s">
        <v>2035</v>
      </c>
    </row>
    <row r="33" spans="1:19">
      <c r="A33" s="663" t="s">
        <v>178</v>
      </c>
      <c r="B33" s="721" t="s">
        <v>159</v>
      </c>
      <c r="C33" s="724"/>
      <c r="D33" s="340">
        <f>C33*0.168</f>
        <v>0</v>
      </c>
      <c r="E33" s="668" t="s">
        <v>230</v>
      </c>
      <c r="F33" s="773" t="s">
        <v>2118</v>
      </c>
      <c r="G33" s="748" t="s">
        <v>69</v>
      </c>
      <c r="H33" s="748">
        <f>MAX(IF(H6&gt;5.2,1.2,0),(IF(H11&gt;1.8,1.2,0)),(IF(H6=0,1,0)),(IF(H11&gt;5,2,0)))</f>
        <v>1.2</v>
      </c>
      <c r="I33" s="664"/>
      <c r="S33" s="668" t="s">
        <v>1067</v>
      </c>
    </row>
    <row r="34" spans="1:19">
      <c r="A34" s="663" t="s">
        <v>179</v>
      </c>
      <c r="B34" s="721" t="s">
        <v>180</v>
      </c>
      <c r="C34" s="723"/>
      <c r="G34" s="748" t="s">
        <v>70</v>
      </c>
      <c r="H34" s="748">
        <f>MAX(IF(H10&gt;6,2,0),IF(H10=0,1,0))</f>
        <v>1</v>
      </c>
      <c r="I34" s="664"/>
      <c r="S34" s="668" t="s">
        <v>1029</v>
      </c>
    </row>
    <row r="35" spans="1:19">
      <c r="A35" s="663" t="s">
        <v>327</v>
      </c>
      <c r="B35" s="721" t="s">
        <v>161</v>
      </c>
      <c r="C35" s="724">
        <v>15</v>
      </c>
      <c r="G35" s="325" t="s">
        <v>60</v>
      </c>
      <c r="H35" s="325">
        <f>MAX(IF(H5&gt;2.6,1.3,1),IF(H4&gt;420,1.3,1),IF(C44&gt;850,1.3,1),IF(C42&gt;7.5,1.3,1))</f>
        <v>1</v>
      </c>
      <c r="I35" s="322"/>
      <c r="K35" s="668" t="s">
        <v>573</v>
      </c>
      <c r="L35" s="322"/>
      <c r="N35" s="772"/>
      <c r="S35" s="668" t="s">
        <v>1029</v>
      </c>
    </row>
    <row r="36" spans="1:19">
      <c r="A36" s="663" t="s">
        <v>181</v>
      </c>
      <c r="B36" s="721" t="s">
        <v>140</v>
      </c>
      <c r="C36" s="724">
        <v>45</v>
      </c>
      <c r="D36" s="722">
        <f>C36*8.84</f>
        <v>397.8</v>
      </c>
      <c r="E36" s="668" t="s">
        <v>169</v>
      </c>
      <c r="G36" s="325" t="s">
        <v>59</v>
      </c>
      <c r="H36" s="749">
        <f>(0.0393+(0.042*H32)-(0.00055*H32^2))/3</f>
        <v>6.8665999999999991E-2</v>
      </c>
      <c r="I36" s="668" t="s">
        <v>243</v>
      </c>
      <c r="J36" s="749">
        <f>(0.0393+(0.042*(H32+1))-(0.00055*(H32+1)^2))/3</f>
        <v>8.0942666666666663E-2</v>
      </c>
      <c r="S36" s="668" t="s">
        <v>1067</v>
      </c>
    </row>
    <row r="37" spans="1:19">
      <c r="A37" s="663" t="s">
        <v>182</v>
      </c>
      <c r="B37" s="721" t="s">
        <v>183</v>
      </c>
      <c r="C37" s="724"/>
      <c r="D37" s="722" t="s">
        <v>177</v>
      </c>
      <c r="E37" s="175" t="s">
        <v>334</v>
      </c>
      <c r="F37" s="175">
        <f>IF(C37&lt;30,2,IF(C37&gt;60,1,1.5))+IF(C37=0,-1,0)</f>
        <v>1</v>
      </c>
      <c r="G37" s="750" t="s">
        <v>120</v>
      </c>
      <c r="H37" s="751">
        <f>((140-C56)*(C57)*L29/(H16))</f>
        <v>27.828054298642535</v>
      </c>
      <c r="J37" s="776"/>
      <c r="S37" s="668" t="s">
        <v>1067</v>
      </c>
    </row>
    <row r="38" spans="1:19">
      <c r="A38" s="690" t="s">
        <v>348</v>
      </c>
      <c r="B38" s="730" t="s">
        <v>185</v>
      </c>
      <c r="C38" s="731"/>
      <c r="D38" s="722" t="s">
        <v>346</v>
      </c>
      <c r="E38" s="668" t="s">
        <v>347</v>
      </c>
      <c r="G38" s="325" t="s">
        <v>121</v>
      </c>
      <c r="H38" s="325">
        <f>SUM(J38:J42)</f>
        <v>4.2</v>
      </c>
      <c r="I38" s="668" t="s">
        <v>0</v>
      </c>
      <c r="J38" s="664">
        <f>IF(ImportQuestion!H77&gt;0.3,2,0)</f>
        <v>2</v>
      </c>
      <c r="L38" s="668">
        <v>2</v>
      </c>
      <c r="S38" s="668" t="s">
        <v>2034</v>
      </c>
    </row>
    <row r="39" spans="1:19">
      <c r="A39" s="691" t="s">
        <v>349</v>
      </c>
      <c r="B39" s="730" t="s">
        <v>185</v>
      </c>
      <c r="C39" s="731"/>
      <c r="G39" s="325" t="s">
        <v>3010</v>
      </c>
      <c r="H39" s="325">
        <f>MAX(J38:J42)</f>
        <v>2</v>
      </c>
      <c r="I39" s="668" t="s">
        <v>71</v>
      </c>
      <c r="J39" s="668">
        <f>IF(ImportQuestion!F79&gt;ImportBiologie!K39,1.5,0)</f>
        <v>0</v>
      </c>
      <c r="K39" s="752">
        <v>102</v>
      </c>
      <c r="L39" s="668">
        <v>1.5</v>
      </c>
      <c r="S39" s="668" t="s">
        <v>2034</v>
      </c>
    </row>
    <row r="40" spans="1:19">
      <c r="A40" s="690" t="s">
        <v>350</v>
      </c>
      <c r="B40" s="730" t="s">
        <v>185</v>
      </c>
      <c r="C40" s="731"/>
      <c r="F40" s="777" t="s">
        <v>255</v>
      </c>
      <c r="G40" s="514">
        <f>IF(C59&gt;0.3,1.5,1)</f>
        <v>1.5</v>
      </c>
      <c r="I40" s="668" t="s">
        <v>122</v>
      </c>
      <c r="J40" s="668">
        <f>L20</f>
        <v>0</v>
      </c>
      <c r="L40" s="668">
        <v>1</v>
      </c>
      <c r="S40" s="668" t="s">
        <v>2034</v>
      </c>
    </row>
    <row r="41" spans="1:19">
      <c r="A41" s="692" t="s">
        <v>186</v>
      </c>
      <c r="B41" s="721" t="s">
        <v>187</v>
      </c>
      <c r="C41" s="724"/>
      <c r="I41" s="668" t="s">
        <v>123</v>
      </c>
      <c r="J41" s="668">
        <f>H33</f>
        <v>1.2</v>
      </c>
      <c r="L41" s="668">
        <v>1</v>
      </c>
      <c r="S41" s="668" t="s">
        <v>1067</v>
      </c>
    </row>
    <row r="42" spans="1:19">
      <c r="A42" s="693" t="s">
        <v>188</v>
      </c>
      <c r="B42" s="721" t="s">
        <v>189</v>
      </c>
      <c r="C42" s="724"/>
      <c r="D42" s="722">
        <f>C42*40</f>
        <v>0</v>
      </c>
      <c r="E42" s="668" t="s">
        <v>192</v>
      </c>
      <c r="I42" s="668" t="s">
        <v>124</v>
      </c>
      <c r="J42" s="668">
        <f>MAX(IF(ImportQuestion!F104="Y",1,0),IF(ImportQuestion!F80&gt;140,1,0))</f>
        <v>1</v>
      </c>
      <c r="L42" s="668">
        <v>1</v>
      </c>
      <c r="S42" s="668" t="s">
        <v>1067</v>
      </c>
    </row>
    <row r="43" spans="1:19">
      <c r="A43" s="693" t="s">
        <v>190</v>
      </c>
      <c r="B43" s="721" t="s">
        <v>189</v>
      </c>
      <c r="C43" s="724"/>
      <c r="L43" s="668">
        <f>SUM(L38:L42)</f>
        <v>6.5</v>
      </c>
      <c r="S43" s="668" t="s">
        <v>1067</v>
      </c>
    </row>
    <row r="44" spans="1:19">
      <c r="A44" s="693" t="s">
        <v>191</v>
      </c>
      <c r="B44" s="721" t="s">
        <v>192</v>
      </c>
      <c r="C44" s="724"/>
      <c r="D44" s="722">
        <f>C44*0.168</f>
        <v>0</v>
      </c>
      <c r="S44" s="668" t="s">
        <v>1067</v>
      </c>
    </row>
    <row r="45" spans="1:19">
      <c r="A45" s="693" t="s">
        <v>193</v>
      </c>
      <c r="B45" s="721"/>
      <c r="C45" s="724"/>
      <c r="I45" s="668" t="s">
        <v>314</v>
      </c>
      <c r="K45" s="668">
        <f>IF(H37&lt;75,2,(IF(H37&gt;100,0,1)))</f>
        <v>2</v>
      </c>
      <c r="S45" s="668" t="s">
        <v>1067</v>
      </c>
    </row>
    <row r="46" spans="1:19">
      <c r="A46" s="693" t="s">
        <v>194</v>
      </c>
      <c r="B46" s="721" t="s">
        <v>481</v>
      </c>
      <c r="C46" s="723"/>
      <c r="M46" s="322"/>
      <c r="S46" s="668" t="s">
        <v>1067</v>
      </c>
    </row>
    <row r="47" spans="1:19">
      <c r="A47" s="693" t="s">
        <v>195</v>
      </c>
      <c r="B47" s="721" t="s">
        <v>225</v>
      </c>
      <c r="C47" s="724"/>
      <c r="D47" s="722">
        <f>(C47*1000)/8.84</f>
        <v>0</v>
      </c>
      <c r="E47" s="668" t="s">
        <v>230</v>
      </c>
      <c r="G47" s="348" t="s">
        <v>594</v>
      </c>
      <c r="H47" s="344">
        <f>IF(C38="Positive",3,1)</f>
        <v>1</v>
      </c>
      <c r="S47" s="668" t="s">
        <v>1067</v>
      </c>
    </row>
    <row r="48" spans="1:19">
      <c r="A48" s="693" t="s">
        <v>195</v>
      </c>
      <c r="B48" s="721" t="s">
        <v>189</v>
      </c>
      <c r="C48" s="724"/>
      <c r="D48" s="722">
        <f>(C48*1000)/8.84</f>
        <v>0</v>
      </c>
      <c r="E48" s="668" t="s">
        <v>192</v>
      </c>
      <c r="K48" s="324" t="s">
        <v>203</v>
      </c>
      <c r="L48" s="753">
        <f>C56</f>
        <v>65</v>
      </c>
      <c r="N48" s="754" t="str">
        <f>IF(L59&lt;2.5,"Faible",IF(L59&gt;7.5,"Elevé","intermédiare"))</f>
        <v>Faible</v>
      </c>
      <c r="S48" s="668" t="s">
        <v>1067</v>
      </c>
    </row>
    <row r="49" spans="1:19">
      <c r="A49" s="693" t="s">
        <v>196</v>
      </c>
      <c r="B49" s="721" t="s">
        <v>189</v>
      </c>
      <c r="C49" s="724"/>
      <c r="E49" s="668" t="s">
        <v>231</v>
      </c>
      <c r="K49" s="324" t="s">
        <v>602</v>
      </c>
      <c r="L49" s="324">
        <f>AUTOQUESTIONNAIRE!F3</f>
        <v>1</v>
      </c>
      <c r="N49" s="754" t="str">
        <f>IF(L59&lt;5,"Faible",IF(L59&gt;10,"Elevé","intermédiare"))</f>
        <v>Faible</v>
      </c>
      <c r="S49" s="668" t="s">
        <v>1067</v>
      </c>
    </row>
    <row r="50" spans="1:19">
      <c r="A50" s="691" t="s">
        <v>197</v>
      </c>
      <c r="B50" s="730" t="s">
        <v>198</v>
      </c>
      <c r="C50" s="731"/>
      <c r="K50" s="324" t="s">
        <v>603</v>
      </c>
      <c r="L50" s="324">
        <f>AUTOQUESTIONNAIRE!F68</f>
        <v>0</v>
      </c>
      <c r="N50" s="754" t="str">
        <f>IF(L59&lt;7.5,"Faible",IF(L59&gt;15,"Elevé","intermédiare"))</f>
        <v>Faible</v>
      </c>
      <c r="S50" s="668" t="s">
        <v>1067</v>
      </c>
    </row>
    <row r="51" spans="1:19">
      <c r="A51" s="691" t="s">
        <v>199</v>
      </c>
      <c r="B51" s="730" t="s">
        <v>198</v>
      </c>
      <c r="C51" s="731"/>
      <c r="K51" s="755" t="s">
        <v>604</v>
      </c>
      <c r="L51" s="324">
        <f>AUTOQUESTIONNAIRE!F218</f>
        <v>0</v>
      </c>
      <c r="N51" s="326"/>
      <c r="S51" s="668" t="s">
        <v>1029</v>
      </c>
    </row>
    <row r="52" spans="1:19">
      <c r="A52" s="691" t="s">
        <v>200</v>
      </c>
      <c r="B52" s="730" t="s">
        <v>198</v>
      </c>
      <c r="C52" s="731"/>
      <c r="K52" s="324" t="s">
        <v>605</v>
      </c>
      <c r="L52" s="324">
        <f>H6-H8</f>
        <v>12.95</v>
      </c>
      <c r="N52" s="644" t="str">
        <f>IF(L48&lt;50,N48,(IF(L48&gt;70,N50,N49)))</f>
        <v>Faible</v>
      </c>
      <c r="S52" s="668" t="s">
        <v>1036</v>
      </c>
    </row>
    <row r="53" spans="1:19">
      <c r="A53" s="667" t="s">
        <v>268</v>
      </c>
      <c r="B53" s="331" t="s">
        <v>135</v>
      </c>
      <c r="D53" s="722" t="s">
        <v>271</v>
      </c>
      <c r="S53" s="668" t="s">
        <v>1032</v>
      </c>
    </row>
    <row r="54" spans="1:19">
      <c r="A54" s="667" t="s">
        <v>269</v>
      </c>
      <c r="B54" s="331" t="s">
        <v>135</v>
      </c>
      <c r="D54" s="722" t="s">
        <v>272</v>
      </c>
      <c r="S54" s="668" t="s">
        <v>1032</v>
      </c>
    </row>
    <row r="55" spans="1:19">
      <c r="A55" s="663" t="s">
        <v>270</v>
      </c>
      <c r="B55" s="331" t="s">
        <v>135</v>
      </c>
      <c r="S55" s="668" t="s">
        <v>1032</v>
      </c>
    </row>
    <row r="56" spans="1:19">
      <c r="A56" s="684" t="s">
        <v>203</v>
      </c>
      <c r="C56" s="778">
        <f>AUTOQUESTIONNAIRE!F4</f>
        <v>65</v>
      </c>
      <c r="S56" s="779" t="s">
        <v>2048</v>
      </c>
    </row>
    <row r="57" spans="1:19">
      <c r="A57" s="684" t="s">
        <v>204</v>
      </c>
      <c r="C57" s="780">
        <f>AUTOQUESTIONNAIRE!F7</f>
        <v>120</v>
      </c>
      <c r="D57" s="722" t="s">
        <v>261</v>
      </c>
      <c r="E57" s="669">
        <f>C58-100-((C58-150)/4)</f>
        <v>72.5</v>
      </c>
      <c r="F57" s="776" t="s">
        <v>265</v>
      </c>
      <c r="G57" s="776" t="s">
        <v>264</v>
      </c>
      <c r="H57" s="756">
        <f>((10*C57)+(6.25*C58)-(5*C56)+5)/1000</f>
        <v>2.0049999999999999</v>
      </c>
      <c r="S57" s="779" t="s">
        <v>2048</v>
      </c>
    </row>
    <row r="58" spans="1:19">
      <c r="A58" s="684" t="s">
        <v>205</v>
      </c>
      <c r="C58" s="780">
        <f>AUTOQUESTIONNAIRE!F6</f>
        <v>180</v>
      </c>
      <c r="F58" s="668" t="s">
        <v>267</v>
      </c>
      <c r="G58" s="776" t="s">
        <v>266</v>
      </c>
      <c r="H58" s="756">
        <f>((10*C57)+(C58*6.25)-(5*C56)-161)/1000</f>
        <v>1.839</v>
      </c>
      <c r="L58" s="755" t="s">
        <v>606</v>
      </c>
      <c r="S58" s="779" t="s">
        <v>2048</v>
      </c>
    </row>
    <row r="59" spans="1:19">
      <c r="A59" s="684" t="s">
        <v>206</v>
      </c>
      <c r="C59" s="781">
        <f>100*C57/C58^2</f>
        <v>0.37037037037037035</v>
      </c>
      <c r="D59" s="722" t="s">
        <v>201</v>
      </c>
      <c r="K59" s="668" t="s">
        <v>601</v>
      </c>
      <c r="L59" s="757">
        <f xml:space="preserve"> -25.7140130071773+0.267011088709677*L48+2.55729166666666*L49+2.97395833333333*L50+0.0753386699507389*L51+0.576041666666669*L52</f>
        <v>1.6587390089517262</v>
      </c>
      <c r="S59" s="779" t="s">
        <v>2048</v>
      </c>
    </row>
    <row r="60" spans="1:19">
      <c r="A60" s="684" t="s">
        <v>207</v>
      </c>
      <c r="B60" s="722"/>
      <c r="C60" s="782" t="e">
        <f>C16/C18</f>
        <v>#DIV/0!</v>
      </c>
      <c r="D60" s="722" t="s">
        <v>202</v>
      </c>
      <c r="S60" s="779" t="s">
        <v>2048</v>
      </c>
    </row>
    <row r="61" spans="1:19">
      <c r="A61" s="684" t="s">
        <v>208</v>
      </c>
      <c r="B61" s="722"/>
      <c r="C61" s="782">
        <f>IF(C29&lt;0.8,1.1,1)</f>
        <v>1.1000000000000001</v>
      </c>
      <c r="S61" s="779" t="s">
        <v>2048</v>
      </c>
    </row>
    <row r="62" spans="1:19">
      <c r="A62" s="684" t="s">
        <v>209</v>
      </c>
      <c r="B62" s="722"/>
      <c r="C62" s="758" t="e">
        <f>C27/C28</f>
        <v>#DIV/0!</v>
      </c>
      <c r="S62" s="779" t="s">
        <v>2048</v>
      </c>
    </row>
    <row r="63" spans="1:19">
      <c r="A63" s="684" t="s">
        <v>210</v>
      </c>
      <c r="B63" s="722"/>
      <c r="C63" s="758" t="e">
        <f>C32/C26</f>
        <v>#DIV/0!</v>
      </c>
      <c r="S63" s="779" t="s">
        <v>2048</v>
      </c>
    </row>
    <row r="64" spans="1:19">
      <c r="A64" s="684" t="s">
        <v>211</v>
      </c>
      <c r="B64" s="722"/>
      <c r="C64" s="782">
        <f>IF(C35&lt;30,1.2,1)</f>
        <v>1.2</v>
      </c>
      <c r="S64" s="779" t="s">
        <v>2048</v>
      </c>
    </row>
    <row r="65" spans="1:19">
      <c r="A65" s="684" t="s">
        <v>212</v>
      </c>
      <c r="B65" s="823">
        <f>C42/C57</f>
        <v>0</v>
      </c>
      <c r="C65" s="782">
        <f>IF(B65&gt;0.1,1,0)</f>
        <v>0</v>
      </c>
      <c r="S65" s="779" t="s">
        <v>2048</v>
      </c>
    </row>
    <row r="66" spans="1:19">
      <c r="A66" s="684" t="s">
        <v>213</v>
      </c>
      <c r="B66" s="722"/>
      <c r="C66" s="782">
        <f>IF(C44&gt;1000,1,0)</f>
        <v>0</v>
      </c>
      <c r="S66" s="779" t="s">
        <v>2048</v>
      </c>
    </row>
    <row r="67" spans="1:19">
      <c r="A67" s="684" t="s">
        <v>214</v>
      </c>
      <c r="B67" s="722"/>
      <c r="C67" s="782">
        <f>IF(C49&gt;150,1,0)</f>
        <v>0</v>
      </c>
      <c r="S67" s="779" t="s">
        <v>2048</v>
      </c>
    </row>
    <row r="68" spans="1:19">
      <c r="A68" s="684" t="s">
        <v>215</v>
      </c>
      <c r="B68" s="722"/>
      <c r="C68" s="782">
        <f>IF(C41&lt;2,1,0)</f>
        <v>1</v>
      </c>
      <c r="D68" s="758" t="e">
        <f>IF(C63&lt;0.1,1.2,1)</f>
        <v>#DIV/0!</v>
      </c>
      <c r="S68" s="779" t="s">
        <v>2048</v>
      </c>
    </row>
    <row r="69" spans="1:19">
      <c r="A69" s="684" t="s">
        <v>216</v>
      </c>
      <c r="B69" s="722"/>
      <c r="C69" s="758">
        <f>C49/17</f>
        <v>0</v>
      </c>
      <c r="S69" s="779" t="s">
        <v>2048</v>
      </c>
    </row>
    <row r="70" spans="1:19">
      <c r="A70" s="684" t="s">
        <v>218</v>
      </c>
      <c r="B70" s="722"/>
      <c r="C70" s="758">
        <f>C43/5</f>
        <v>0</v>
      </c>
      <c r="D70" s="722" t="s">
        <v>262</v>
      </c>
      <c r="E70" s="669">
        <f>E57*0.8</f>
        <v>58</v>
      </c>
      <c r="S70" s="779" t="s">
        <v>2048</v>
      </c>
    </row>
    <row r="71" spans="1:19">
      <c r="A71" s="684" t="s">
        <v>219</v>
      </c>
      <c r="B71" s="722"/>
      <c r="C71" s="783">
        <f>AUTOQUESTIONNAIRE!H3</f>
        <v>1</v>
      </c>
      <c r="S71" s="779" t="s">
        <v>2048</v>
      </c>
    </row>
    <row r="72" spans="1:19">
      <c r="A72" s="684" t="s">
        <v>235</v>
      </c>
      <c r="B72" s="722"/>
      <c r="C72" s="782">
        <f>23*(C48/8.84)</f>
        <v>0</v>
      </c>
      <c r="D72" s="722" t="s">
        <v>263</v>
      </c>
      <c r="S72" s="779" t="s">
        <v>2048</v>
      </c>
    </row>
    <row r="73" spans="1:19">
      <c r="A73" s="684" t="s">
        <v>233</v>
      </c>
      <c r="B73" s="722"/>
      <c r="C73" s="782">
        <f xml:space="preserve"> (30+0.275*C56-0.00375*C56^2)</f>
        <v>32.03125</v>
      </c>
      <c r="D73" s="725" t="s">
        <v>301</v>
      </c>
      <c r="E73" s="784">
        <f>(0.407*C57)+(0.267*C58)-9.2</f>
        <v>87.7</v>
      </c>
      <c r="F73" s="785" t="s">
        <v>2119</v>
      </c>
      <c r="S73" s="779" t="s">
        <v>2048</v>
      </c>
    </row>
    <row r="74" spans="1:19">
      <c r="A74" s="684" t="s">
        <v>234</v>
      </c>
      <c r="B74" s="722"/>
      <c r="C74" s="782">
        <f>( (42-0.5*C56+0.0025*C56^2))</f>
        <v>20.0625</v>
      </c>
      <c r="D74" s="722" t="s">
        <v>217</v>
      </c>
      <c r="S74" s="779" t="s">
        <v>2048</v>
      </c>
    </row>
    <row r="75" spans="1:19">
      <c r="A75" s="684" t="s">
        <v>220</v>
      </c>
      <c r="B75" s="722"/>
      <c r="C75" s="786">
        <f>(C72/C73)*(IF(AUTOQUESTIONNAIRE!F3=1,1,0))</f>
        <v>0</v>
      </c>
      <c r="D75" s="725" t="s">
        <v>302</v>
      </c>
      <c r="S75" s="779" t="s">
        <v>2048</v>
      </c>
    </row>
    <row r="76" spans="1:19">
      <c r="A76" s="684" t="s">
        <v>221</v>
      </c>
      <c r="B76" s="722"/>
      <c r="C76" s="758">
        <f>(C72/C74)*(IF(AUTOQUESTIONNAIRE!F3=0,1,0))</f>
        <v>0</v>
      </c>
      <c r="S76" s="779" t="s">
        <v>2048</v>
      </c>
    </row>
    <row r="77" spans="1:19">
      <c r="A77" s="685" t="s">
        <v>222</v>
      </c>
      <c r="C77" s="787">
        <f>IF(C7&gt;3,1.2,1)</f>
        <v>1</v>
      </c>
      <c r="S77" s="779" t="s">
        <v>2048</v>
      </c>
    </row>
    <row r="78" spans="1:19">
      <c r="A78" s="684" t="s">
        <v>186</v>
      </c>
      <c r="B78" s="722"/>
      <c r="C78" s="782">
        <f>IF(C41&lt;1800,1,0)</f>
        <v>1</v>
      </c>
      <c r="S78" s="779" t="s">
        <v>2048</v>
      </c>
    </row>
    <row r="79" spans="1:19">
      <c r="A79" s="684" t="s">
        <v>223</v>
      </c>
      <c r="B79" s="722"/>
      <c r="C79" s="782">
        <f>IF(C12&lt;10,1,0) + IF(C16&lt;4,1,0) + IF(C18&lt;1,1,0) + IF(C19&lt;50,1,0)</f>
        <v>3</v>
      </c>
      <c r="S79" s="779" t="s">
        <v>2048</v>
      </c>
    </row>
    <row r="80" spans="1:19">
      <c r="A80" s="684" t="s">
        <v>146</v>
      </c>
      <c r="B80" s="722"/>
      <c r="C80" s="782">
        <f>IF(C12&gt;17,1,0)</f>
        <v>0</v>
      </c>
      <c r="S80" s="779" t="s">
        <v>2048</v>
      </c>
    </row>
    <row r="81" spans="1:19">
      <c r="A81" s="684" t="s">
        <v>152</v>
      </c>
      <c r="B81" s="722"/>
      <c r="C81" s="782">
        <f>IF(C16&gt;70,1,0)</f>
        <v>0</v>
      </c>
      <c r="S81" s="779" t="s">
        <v>2048</v>
      </c>
    </row>
    <row r="82" spans="1:19">
      <c r="A82" s="684" t="s">
        <v>156</v>
      </c>
      <c r="B82" s="722"/>
      <c r="C82" s="782">
        <f>IF(C18&gt;5,1,0)</f>
        <v>0</v>
      </c>
      <c r="S82" s="779" t="s">
        <v>2048</v>
      </c>
    </row>
    <row r="83" spans="1:19">
      <c r="A83" s="684" t="s">
        <v>157</v>
      </c>
      <c r="B83" s="722"/>
      <c r="C83" s="782">
        <f>IF(C19&gt;600,1,0)</f>
        <v>0</v>
      </c>
      <c r="S83" s="779" t="s">
        <v>2048</v>
      </c>
    </row>
    <row r="84" spans="1:19">
      <c r="A84" s="675" t="s">
        <v>1673</v>
      </c>
      <c r="B84" s="722" t="s">
        <v>135</v>
      </c>
      <c r="C84" s="782">
        <v>2</v>
      </c>
      <c r="S84" s="664" t="s">
        <v>1027</v>
      </c>
    </row>
    <row r="85" spans="1:19">
      <c r="A85" s="684" t="s">
        <v>184</v>
      </c>
      <c r="B85" s="722"/>
      <c r="C85" s="782">
        <f>IF(C38="positive",1.5,1)</f>
        <v>1</v>
      </c>
      <c r="S85" s="779" t="s">
        <v>2048</v>
      </c>
    </row>
    <row r="86" spans="1:19">
      <c r="A86" s="686" t="s">
        <v>224</v>
      </c>
      <c r="B86" s="722"/>
      <c r="C86" s="788">
        <f>(((C67+C68+C66+C65+C78)*2)/10)+1</f>
        <v>1.4</v>
      </c>
      <c r="S86" s="779" t="s">
        <v>2048</v>
      </c>
    </row>
    <row r="87" spans="1:19">
      <c r="A87" s="676" t="s">
        <v>226</v>
      </c>
      <c r="C87" s="722">
        <f>C3/C4</f>
        <v>6</v>
      </c>
      <c r="D87" s="722" t="s">
        <v>227</v>
      </c>
      <c r="E87" s="668" t="s">
        <v>228</v>
      </c>
      <c r="S87" s="779" t="s">
        <v>2048</v>
      </c>
    </row>
    <row r="88" spans="1:19">
      <c r="A88" s="676" t="s">
        <v>1317</v>
      </c>
      <c r="B88" s="722" t="s">
        <v>1373</v>
      </c>
      <c r="C88" s="722"/>
      <c r="S88" s="664" t="s">
        <v>2035</v>
      </c>
    </row>
    <row r="89" spans="1:19">
      <c r="A89" s="663" t="s">
        <v>1210</v>
      </c>
      <c r="B89" s="759" t="s">
        <v>1373</v>
      </c>
      <c r="C89" s="331">
        <v>10</v>
      </c>
      <c r="D89" s="760" t="s">
        <v>1372</v>
      </c>
      <c r="E89" s="366">
        <f>(C9*C88)/405</f>
        <v>0</v>
      </c>
      <c r="F89" s="761"/>
      <c r="G89" s="761"/>
      <c r="S89" s="668" t="s">
        <v>2035</v>
      </c>
    </row>
    <row r="90" spans="1:19">
      <c r="A90" s="663" t="s">
        <v>1378</v>
      </c>
      <c r="B90" s="759" t="s">
        <v>1377</v>
      </c>
      <c r="S90" s="664" t="s">
        <v>2049</v>
      </c>
    </row>
    <row r="91" spans="1:19">
      <c r="A91" s="687" t="s">
        <v>1238</v>
      </c>
      <c r="B91" s="762" t="s">
        <v>1375</v>
      </c>
      <c r="F91" s="761"/>
      <c r="S91" s="668" t="s">
        <v>2035</v>
      </c>
    </row>
    <row r="92" spans="1:19">
      <c r="A92" s="676" t="s">
        <v>1380</v>
      </c>
      <c r="B92" s="759" t="s">
        <v>1379</v>
      </c>
      <c r="S92" s="664" t="s">
        <v>1064</v>
      </c>
    </row>
    <row r="93" spans="1:19">
      <c r="A93" s="676" t="s">
        <v>1919</v>
      </c>
      <c r="B93" s="759" t="s">
        <v>1379</v>
      </c>
      <c r="S93" s="664" t="s">
        <v>1064</v>
      </c>
    </row>
    <row r="94" spans="1:19">
      <c r="A94" s="676" t="s">
        <v>1318</v>
      </c>
      <c r="B94" s="722" t="s">
        <v>1374</v>
      </c>
      <c r="F94" s="761"/>
      <c r="S94" s="668" t="s">
        <v>1064</v>
      </c>
    </row>
    <row r="95" spans="1:19">
      <c r="A95" s="675" t="s">
        <v>1376</v>
      </c>
      <c r="B95" s="331" t="s">
        <v>143</v>
      </c>
      <c r="F95" s="763"/>
      <c r="S95" s="668" t="s">
        <v>1036</v>
      </c>
    </row>
    <row r="96" spans="1:19">
      <c r="A96" s="688" t="s">
        <v>1546</v>
      </c>
      <c r="B96" s="331" t="s">
        <v>143</v>
      </c>
      <c r="C96" s="331">
        <v>1</v>
      </c>
      <c r="S96" s="664" t="s">
        <v>1027</v>
      </c>
    </row>
    <row r="97" spans="1:19" ht="36">
      <c r="A97" s="688" t="s">
        <v>1547</v>
      </c>
      <c r="B97" s="721" t="s">
        <v>153</v>
      </c>
      <c r="C97" s="331">
        <v>0.1</v>
      </c>
      <c r="D97" s="722" t="s">
        <v>1455</v>
      </c>
      <c r="F97" s="764" t="s">
        <v>1454</v>
      </c>
      <c r="G97" s="764" t="s">
        <v>1456</v>
      </c>
      <c r="S97" s="664" t="s">
        <v>1027</v>
      </c>
    </row>
    <row r="98" spans="1:19">
      <c r="A98" s="671" t="s">
        <v>1703</v>
      </c>
      <c r="B98" s="765" t="s">
        <v>1704</v>
      </c>
      <c r="C98" s="789">
        <f>MAX(IF(C19&gt;500,1.2,0.8),(IF(C10&gt;16.5,1.2,0.8)))</f>
        <v>0.8</v>
      </c>
      <c r="D98" s="766">
        <f>MAX(C98:C100)</f>
        <v>0.8</v>
      </c>
      <c r="F98" s="764"/>
      <c r="G98" s="764"/>
      <c r="S98" s="779" t="s">
        <v>2048</v>
      </c>
    </row>
    <row r="99" spans="1:19">
      <c r="A99" s="670"/>
      <c r="B99" s="765" t="s">
        <v>1705</v>
      </c>
      <c r="C99" s="789">
        <f>MAX(IF(C7&gt;10,1.2,0.8),(IF(C84&gt;4,1.2,0.8)))</f>
        <v>0.8</v>
      </c>
      <c r="F99" s="764"/>
      <c r="G99" s="764"/>
    </row>
    <row r="100" spans="1:19">
      <c r="A100" s="670"/>
      <c r="B100" s="765" t="s">
        <v>2120</v>
      </c>
      <c r="C100" s="789">
        <f>IF(C12&gt;18,1.2,0.8)</f>
        <v>0.8</v>
      </c>
      <c r="F100" s="764"/>
      <c r="G100" s="764"/>
    </row>
    <row r="101" spans="1:19">
      <c r="A101" s="670"/>
      <c r="B101" s="721"/>
      <c r="F101" s="764"/>
      <c r="G101" s="764"/>
    </row>
    <row r="102" spans="1:19">
      <c r="A102" s="1006" t="s">
        <v>2927</v>
      </c>
      <c r="B102" s="1007" t="s">
        <v>140</v>
      </c>
      <c r="F102" s="764"/>
      <c r="G102" s="764"/>
      <c r="S102" s="790" t="s">
        <v>1067</v>
      </c>
    </row>
    <row r="103" spans="1:19" ht="54">
      <c r="A103" s="973" t="s">
        <v>1463</v>
      </c>
      <c r="B103" s="1007" t="s">
        <v>2960</v>
      </c>
      <c r="C103" s="331">
        <v>50</v>
      </c>
      <c r="F103" s="767" t="s">
        <v>1457</v>
      </c>
      <c r="G103" s="767" t="s">
        <v>1458</v>
      </c>
      <c r="S103" s="779" t="s">
        <v>2048</v>
      </c>
    </row>
    <row r="104" spans="1:19" ht="54">
      <c r="A104" s="662" t="s">
        <v>1453</v>
      </c>
      <c r="B104" s="518" t="e">
        <f>(0.22*C56)+(0.246*C71)-(1.134*LN(C37)+(0.451*LN(C103)))</f>
        <v>#NUM!</v>
      </c>
      <c r="C104" s="331" t="s">
        <v>1706</v>
      </c>
      <c r="F104" s="767" t="s">
        <v>1459</v>
      </c>
      <c r="G104" s="767" t="s">
        <v>1460</v>
      </c>
      <c r="S104" s="779" t="s">
        <v>2048</v>
      </c>
    </row>
    <row r="105" spans="1:19" ht="72">
      <c r="A105" s="662" t="s">
        <v>1657</v>
      </c>
      <c r="B105" s="759" t="s">
        <v>1707</v>
      </c>
      <c r="F105" s="767" t="s">
        <v>1461</v>
      </c>
      <c r="G105" s="767" t="s">
        <v>1462</v>
      </c>
      <c r="S105" s="779"/>
    </row>
    <row r="106" spans="1:19">
      <c r="A106" s="662" t="s">
        <v>1658</v>
      </c>
      <c r="B106" s="759" t="s">
        <v>1651</v>
      </c>
      <c r="F106" s="767"/>
      <c r="G106" s="767"/>
      <c r="S106" s="779"/>
    </row>
    <row r="107" spans="1:19">
      <c r="A107" s="693" t="s">
        <v>1656</v>
      </c>
      <c r="B107" s="331" t="s">
        <v>143</v>
      </c>
      <c r="S107" s="790" t="s">
        <v>2052</v>
      </c>
    </row>
    <row r="108" spans="1:19">
      <c r="A108" s="672" t="s">
        <v>1616</v>
      </c>
      <c r="B108" s="768" t="s">
        <v>133</v>
      </c>
      <c r="C108" s="322"/>
      <c r="D108" s="668"/>
      <c r="E108" s="322"/>
      <c r="F108" s="322"/>
      <c r="G108" s="668"/>
      <c r="H108" s="668"/>
      <c r="S108" s="790" t="s">
        <v>1067</v>
      </c>
    </row>
    <row r="109" spans="1:19">
      <c r="A109" s="673" t="s">
        <v>1617</v>
      </c>
      <c r="B109" s="768" t="s">
        <v>143</v>
      </c>
      <c r="C109" s="322"/>
      <c r="D109" s="668"/>
      <c r="E109" s="322"/>
      <c r="F109" s="322"/>
      <c r="G109" s="668"/>
      <c r="H109" s="668"/>
      <c r="S109" s="664" t="s">
        <v>1064</v>
      </c>
    </row>
    <row r="110" spans="1:19">
      <c r="A110" s="672" t="s">
        <v>1618</v>
      </c>
      <c r="B110" s="768" t="s">
        <v>159</v>
      </c>
      <c r="C110" s="322"/>
      <c r="D110" s="668"/>
      <c r="E110" s="322"/>
      <c r="F110" s="322"/>
      <c r="G110" s="668"/>
      <c r="H110" s="668"/>
      <c r="S110" s="664" t="s">
        <v>1064</v>
      </c>
    </row>
    <row r="111" spans="1:19">
      <c r="A111" s="674" t="s">
        <v>1620</v>
      </c>
      <c r="B111" s="768" t="s">
        <v>133</v>
      </c>
      <c r="C111" s="322"/>
      <c r="D111" s="668"/>
      <c r="E111" s="322"/>
      <c r="F111" s="322"/>
      <c r="G111" s="668"/>
      <c r="H111" s="668"/>
      <c r="S111" s="664" t="s">
        <v>1064</v>
      </c>
    </row>
    <row r="112" spans="1:19">
      <c r="A112" s="672" t="s">
        <v>1624</v>
      </c>
      <c r="B112" s="768" t="s">
        <v>1619</v>
      </c>
      <c r="C112" s="322"/>
      <c r="D112" s="668"/>
      <c r="E112" s="322"/>
      <c r="F112" s="322"/>
      <c r="G112" s="668"/>
      <c r="H112" s="668"/>
      <c r="S112" s="790" t="s">
        <v>1067</v>
      </c>
    </row>
    <row r="113" spans="1:19">
      <c r="A113" s="672" t="s">
        <v>1659</v>
      </c>
      <c r="B113" s="768" t="s">
        <v>1625</v>
      </c>
      <c r="C113" s="322"/>
      <c r="D113" s="668"/>
      <c r="E113" s="322"/>
      <c r="F113" s="322"/>
      <c r="G113" s="668"/>
      <c r="H113" s="668"/>
      <c r="S113" s="790" t="s">
        <v>1067</v>
      </c>
    </row>
    <row r="114" spans="1:19">
      <c r="A114" s="672" t="s">
        <v>1628</v>
      </c>
      <c r="B114" s="768" t="s">
        <v>1627</v>
      </c>
      <c r="C114" s="322"/>
      <c r="D114" s="668"/>
      <c r="E114" s="322"/>
      <c r="F114" s="322"/>
      <c r="G114" s="668"/>
      <c r="H114" s="668"/>
      <c r="S114" s="790" t="s">
        <v>1036</v>
      </c>
    </row>
    <row r="115" spans="1:19">
      <c r="A115" s="672" t="s">
        <v>1629</v>
      </c>
      <c r="B115" s="768" t="s">
        <v>1623</v>
      </c>
      <c r="C115" s="322"/>
      <c r="D115" s="668"/>
      <c r="E115" s="322"/>
      <c r="F115" s="322">
        <f>IF(C19&lt;150,1,0)</f>
        <v>0</v>
      </c>
      <c r="G115" s="668"/>
      <c r="H115" s="668"/>
      <c r="S115" s="790" t="s">
        <v>1036</v>
      </c>
    </row>
    <row r="116" spans="1:19">
      <c r="A116" s="672" t="s">
        <v>2115</v>
      </c>
      <c r="B116" s="769" t="s">
        <v>143</v>
      </c>
      <c r="C116" s="322">
        <v>100</v>
      </c>
      <c r="E116" s="322"/>
      <c r="F116" s="322">
        <f>IF(C116&lt;70,1,0)</f>
        <v>0</v>
      </c>
      <c r="G116" s="668"/>
      <c r="H116" s="668"/>
      <c r="S116" s="790" t="s">
        <v>1027</v>
      </c>
    </row>
    <row r="117" spans="1:19">
      <c r="A117" s="672" t="s">
        <v>2116</v>
      </c>
      <c r="B117" s="769" t="s">
        <v>2117</v>
      </c>
      <c r="C117" s="322">
        <v>1</v>
      </c>
      <c r="D117" s="668"/>
      <c r="E117" s="322"/>
      <c r="F117" s="322">
        <f>IF(C117&gt;1.2,1,0)</f>
        <v>0</v>
      </c>
      <c r="G117" s="668"/>
      <c r="H117" s="668"/>
      <c r="S117" s="790" t="s">
        <v>1027</v>
      </c>
    </row>
    <row r="118" spans="1:19">
      <c r="A118" s="672" t="s">
        <v>1630</v>
      </c>
      <c r="B118" s="768" t="s">
        <v>1627</v>
      </c>
      <c r="C118" s="322"/>
      <c r="D118" s="791" t="s">
        <v>1921</v>
      </c>
      <c r="E118" s="322"/>
      <c r="F118" s="344">
        <f>MAX(F115:F117)</f>
        <v>0</v>
      </c>
      <c r="G118" s="668"/>
      <c r="H118" s="668"/>
      <c r="S118" s="790" t="s">
        <v>2050</v>
      </c>
    </row>
    <row r="119" spans="1:19">
      <c r="A119" s="672" t="s">
        <v>1632</v>
      </c>
      <c r="B119" s="769"/>
      <c r="C119" s="322"/>
      <c r="D119" s="668"/>
      <c r="E119" s="322"/>
      <c r="F119" s="322"/>
      <c r="G119" s="668"/>
      <c r="H119" s="668"/>
      <c r="S119" s="790" t="s">
        <v>1036</v>
      </c>
    </row>
    <row r="120" spans="1:19">
      <c r="A120" s="672" t="s">
        <v>1633</v>
      </c>
      <c r="B120" s="768" t="s">
        <v>1622</v>
      </c>
      <c r="C120" s="322"/>
      <c r="D120" s="668"/>
      <c r="E120" s="322"/>
      <c r="F120" s="322"/>
      <c r="G120" s="668"/>
      <c r="H120" s="668"/>
      <c r="S120" s="790" t="s">
        <v>2035</v>
      </c>
    </row>
    <row r="121" spans="1:19">
      <c r="A121" s="672" t="s">
        <v>1634</v>
      </c>
      <c r="B121" s="768" t="s">
        <v>1622</v>
      </c>
      <c r="C121" s="322"/>
      <c r="D121" s="668"/>
      <c r="E121" s="322"/>
      <c r="F121" s="322"/>
      <c r="G121" s="668"/>
      <c r="H121" s="668"/>
      <c r="S121" s="790" t="s">
        <v>2035</v>
      </c>
    </row>
    <row r="122" spans="1:19">
      <c r="A122" s="673" t="s">
        <v>1635</v>
      </c>
      <c r="B122" s="768" t="s">
        <v>1636</v>
      </c>
      <c r="C122" s="322"/>
      <c r="D122" s="668"/>
      <c r="E122" s="322"/>
      <c r="F122" s="322"/>
      <c r="G122" s="668"/>
      <c r="H122" s="668"/>
      <c r="S122" s="664" t="s">
        <v>1029</v>
      </c>
    </row>
    <row r="123" spans="1:19">
      <c r="A123" s="673" t="s">
        <v>1637</v>
      </c>
      <c r="B123" s="768" t="s">
        <v>161</v>
      </c>
      <c r="C123" s="322"/>
      <c r="D123" s="668"/>
      <c r="E123" s="322"/>
      <c r="F123" s="322"/>
      <c r="G123" s="668"/>
      <c r="H123" s="668"/>
      <c r="S123" s="664" t="s">
        <v>1029</v>
      </c>
    </row>
    <row r="124" spans="1:19">
      <c r="A124" s="673" t="s">
        <v>1638</v>
      </c>
      <c r="B124" s="768" t="s">
        <v>1625</v>
      </c>
      <c r="C124" s="322"/>
      <c r="D124" s="668"/>
      <c r="E124" s="322"/>
      <c r="F124" s="322"/>
      <c r="G124" s="668"/>
      <c r="H124" s="668"/>
      <c r="S124" s="664" t="s">
        <v>1029</v>
      </c>
    </row>
    <row r="125" spans="1:19">
      <c r="A125" s="673" t="s">
        <v>1640</v>
      </c>
      <c r="B125" s="768" t="s">
        <v>161</v>
      </c>
      <c r="C125" s="322"/>
      <c r="D125" s="668"/>
      <c r="E125" s="322"/>
      <c r="F125" s="322"/>
      <c r="G125" s="668"/>
      <c r="H125" s="668"/>
      <c r="S125" s="664" t="s">
        <v>1029</v>
      </c>
    </row>
    <row r="126" spans="1:19">
      <c r="A126" s="673" t="s">
        <v>1641</v>
      </c>
      <c r="B126" s="768" t="s">
        <v>1642</v>
      </c>
      <c r="C126" s="322"/>
      <c r="D126" s="668"/>
      <c r="E126" s="322"/>
      <c r="F126" s="322"/>
      <c r="G126" s="668"/>
      <c r="H126" s="668"/>
      <c r="S126" s="664" t="s">
        <v>1029</v>
      </c>
    </row>
    <row r="127" spans="1:19">
      <c r="A127" s="675" t="s">
        <v>1643</v>
      </c>
      <c r="B127" s="331" t="s">
        <v>180</v>
      </c>
      <c r="C127" s="322"/>
      <c r="D127" s="668"/>
      <c r="E127" s="322"/>
      <c r="F127" s="322"/>
      <c r="G127" s="668"/>
      <c r="H127" s="668"/>
      <c r="S127" s="664" t="s">
        <v>1029</v>
      </c>
    </row>
    <row r="128" spans="1:19">
      <c r="A128" s="675" t="s">
        <v>1644</v>
      </c>
      <c r="B128" s="730" t="s">
        <v>185</v>
      </c>
      <c r="C128" s="322" t="s">
        <v>2183</v>
      </c>
      <c r="D128" s="668"/>
      <c r="E128" s="322"/>
      <c r="F128" s="322"/>
      <c r="G128" s="668"/>
      <c r="H128" s="668"/>
      <c r="S128" s="790" t="s">
        <v>2051</v>
      </c>
    </row>
    <row r="129" spans="1:19">
      <c r="A129" s="676" t="s">
        <v>1645</v>
      </c>
      <c r="B129" s="730" t="s">
        <v>185</v>
      </c>
      <c r="C129" s="322" t="s">
        <v>2183</v>
      </c>
      <c r="D129" s="668"/>
      <c r="E129" s="322"/>
      <c r="F129" s="322"/>
      <c r="G129" s="668"/>
      <c r="H129" s="668"/>
      <c r="S129" s="790" t="s">
        <v>2051</v>
      </c>
    </row>
    <row r="130" spans="1:19">
      <c r="A130" s="675" t="s">
        <v>1646</v>
      </c>
      <c r="B130" s="730" t="s">
        <v>185</v>
      </c>
      <c r="C130" s="322" t="s">
        <v>2183</v>
      </c>
      <c r="D130" s="668"/>
      <c r="E130" s="322"/>
      <c r="F130" s="322"/>
      <c r="G130" s="668"/>
      <c r="H130" s="668"/>
      <c r="S130" s="790" t="s">
        <v>2051</v>
      </c>
    </row>
    <row r="131" spans="1:19">
      <c r="A131" s="675" t="s">
        <v>1647</v>
      </c>
      <c r="B131" s="730" t="s">
        <v>185</v>
      </c>
      <c r="C131" s="322" t="s">
        <v>2183</v>
      </c>
      <c r="D131" s="668"/>
      <c r="E131" s="322"/>
      <c r="F131" s="322"/>
      <c r="G131" s="668"/>
      <c r="H131" s="668"/>
      <c r="S131" s="790" t="s">
        <v>2051</v>
      </c>
    </row>
    <row r="132" spans="1:19">
      <c r="A132" s="675" t="s">
        <v>1648</v>
      </c>
      <c r="B132" s="730" t="s">
        <v>185</v>
      </c>
      <c r="C132" s="322" t="s">
        <v>2183</v>
      </c>
      <c r="D132" s="668"/>
      <c r="E132" s="322"/>
      <c r="F132" s="322"/>
      <c r="G132" s="668"/>
      <c r="H132" s="668"/>
      <c r="S132" s="790" t="s">
        <v>2052</v>
      </c>
    </row>
    <row r="133" spans="1:19">
      <c r="A133" s="675" t="s">
        <v>1650</v>
      </c>
      <c r="B133" s="331" t="s">
        <v>1651</v>
      </c>
      <c r="C133" s="322"/>
      <c r="D133" s="668"/>
      <c r="E133" s="322"/>
      <c r="F133" s="322"/>
      <c r="G133" s="668"/>
      <c r="H133" s="668"/>
      <c r="S133" s="664" t="s">
        <v>1029</v>
      </c>
    </row>
    <row r="134" spans="1:19">
      <c r="A134" s="675" t="s">
        <v>1652</v>
      </c>
      <c r="B134" s="331" t="s">
        <v>1653</v>
      </c>
      <c r="C134" s="322"/>
      <c r="D134" s="668"/>
      <c r="E134" s="322"/>
      <c r="F134" s="322"/>
      <c r="G134" s="668"/>
      <c r="H134" s="668"/>
      <c r="S134" s="664" t="s">
        <v>1029</v>
      </c>
    </row>
    <row r="135" spans="1:19">
      <c r="A135" s="663" t="s">
        <v>1915</v>
      </c>
      <c r="B135" s="730" t="s">
        <v>185</v>
      </c>
      <c r="C135" s="322" t="s">
        <v>2183</v>
      </c>
      <c r="D135" s="668"/>
      <c r="E135" s="322"/>
      <c r="F135" s="322"/>
      <c r="G135" s="668"/>
      <c r="H135" s="668"/>
      <c r="S135" s="790" t="s">
        <v>2052</v>
      </c>
    </row>
    <row r="136" spans="1:19">
      <c r="A136" s="663" t="s">
        <v>1671</v>
      </c>
      <c r="B136" s="331" t="s">
        <v>168</v>
      </c>
      <c r="C136" s="722"/>
      <c r="D136" s="668" t="s">
        <v>1947</v>
      </c>
      <c r="F136" s="322"/>
      <c r="H136" s="668"/>
      <c r="S136" s="790" t="s">
        <v>2052</v>
      </c>
    </row>
    <row r="137" spans="1:19">
      <c r="A137" s="663" t="s">
        <v>1946</v>
      </c>
      <c r="B137" s="730" t="s">
        <v>185</v>
      </c>
      <c r="C137" s="322" t="s">
        <v>2183</v>
      </c>
      <c r="S137" s="790" t="s">
        <v>2052</v>
      </c>
    </row>
    <row r="138" spans="1:19">
      <c r="A138" s="663" t="s">
        <v>1948</v>
      </c>
      <c r="B138" s="730" t="s">
        <v>185</v>
      </c>
      <c r="C138" s="322" t="s">
        <v>2183</v>
      </c>
      <c r="S138" s="790" t="s">
        <v>2052</v>
      </c>
    </row>
    <row r="139" spans="1:19">
      <c r="A139" s="1005" t="s">
        <v>2947</v>
      </c>
      <c r="B139" s="331" t="s">
        <v>1625</v>
      </c>
      <c r="S139" s="790" t="s">
        <v>1067</v>
      </c>
    </row>
    <row r="140" spans="1:19">
      <c r="A140" s="1005" t="s">
        <v>2948</v>
      </c>
      <c r="B140" s="331" t="s">
        <v>1625</v>
      </c>
      <c r="S140" s="790" t="s">
        <v>1067</v>
      </c>
    </row>
    <row r="141" spans="1:19">
      <c r="A141" s="1005" t="s">
        <v>2949</v>
      </c>
      <c r="B141" s="331" t="s">
        <v>1625</v>
      </c>
      <c r="S141" s="790" t="s">
        <v>1067</v>
      </c>
    </row>
    <row r="142" spans="1:19">
      <c r="A142" s="1005" t="s">
        <v>2950</v>
      </c>
      <c r="B142" s="331" t="s">
        <v>1625</v>
      </c>
      <c r="S142" s="790" t="s">
        <v>1067</v>
      </c>
    </row>
    <row r="143" spans="1:19">
      <c r="A143" s="1005" t="s">
        <v>2951</v>
      </c>
      <c r="B143" s="331" t="s">
        <v>1625</v>
      </c>
      <c r="S143" s="790" t="s">
        <v>1067</v>
      </c>
    </row>
    <row r="144" spans="1:19">
      <c r="A144" s="1005" t="s">
        <v>2952</v>
      </c>
      <c r="B144" s="331" t="s">
        <v>1625</v>
      </c>
      <c r="S144" s="790" t="s">
        <v>1067</v>
      </c>
    </row>
    <row r="145" spans="1:19">
      <c r="A145" s="1005" t="s">
        <v>2953</v>
      </c>
      <c r="B145" s="331" t="s">
        <v>143</v>
      </c>
      <c r="S145" s="790" t="s">
        <v>1029</v>
      </c>
    </row>
    <row r="146" spans="1:19">
      <c r="A146" s="1005" t="s">
        <v>2954</v>
      </c>
      <c r="B146" s="331" t="s">
        <v>143</v>
      </c>
      <c r="S146" s="790" t="s">
        <v>1029</v>
      </c>
    </row>
    <row r="147" spans="1:19">
      <c r="A147" s="1005" t="s">
        <v>2955</v>
      </c>
      <c r="B147" s="331" t="s">
        <v>143</v>
      </c>
      <c r="S147" s="790" t="s">
        <v>1029</v>
      </c>
    </row>
    <row r="148" spans="1:19">
      <c r="A148" s="1005" t="s">
        <v>2956</v>
      </c>
      <c r="B148" s="331" t="s">
        <v>143</v>
      </c>
      <c r="S148" s="790" t="s">
        <v>1029</v>
      </c>
    </row>
    <row r="149" spans="1:19">
      <c r="A149" s="1005" t="s">
        <v>2957</v>
      </c>
      <c r="B149" s="331" t="s">
        <v>143</v>
      </c>
      <c r="S149" s="790" t="s">
        <v>1029</v>
      </c>
    </row>
    <row r="150" spans="1:19">
      <c r="A150" s="1005" t="s">
        <v>2958</v>
      </c>
      <c r="B150" s="331" t="s">
        <v>143</v>
      </c>
      <c r="S150" s="790" t="s">
        <v>1029</v>
      </c>
    </row>
    <row r="151" spans="1:19">
      <c r="A151" s="1005" t="s">
        <v>2959</v>
      </c>
      <c r="B151" s="331" t="s">
        <v>143</v>
      </c>
      <c r="S151" s="790" t="s">
        <v>1029</v>
      </c>
    </row>
    <row r="152" spans="1:19">
      <c r="A152" s="1005" t="s">
        <v>2926</v>
      </c>
      <c r="B152" s="331" t="s">
        <v>1625</v>
      </c>
      <c r="S152" s="790" t="s">
        <v>1067</v>
      </c>
    </row>
  </sheetData>
  <sheetProtection selectLockedCells="1"/>
  <conditionalFormatting sqref="G33:G34">
    <cfRule type="colorScale" priority="1">
      <colorScale>
        <cfvo type="min"/>
        <cfvo type="percentile" val="50"/>
        <cfvo type="max"/>
        <color rgb="FF5A8AC6"/>
        <color rgb="FFFCFCFF"/>
        <color rgb="FFF8696B"/>
      </colorScale>
    </cfRule>
  </conditionalFormatting>
  <conditionalFormatting sqref="I2:K2">
    <cfRule type="colorScale" priority="2">
      <colorScale>
        <cfvo type="min"/>
        <cfvo type="percentile" val="50"/>
        <cfvo type="max"/>
        <color rgb="FF63BE7B"/>
        <color rgb="FFFFEB84"/>
        <color rgb="FFF8696B"/>
      </colorScale>
    </cfRule>
  </conditionalFormatting>
  <dataValidations count="2">
    <dataValidation type="list" allowBlank="1" showInputMessage="1" showErrorMessage="1" sqref="C38:C40 C50:C52" xr:uid="{72E72676-BBF7-4978-A1EF-0012D66CB83A}">
      <formula1>$D$38:$F$38</formula1>
    </dataValidation>
    <dataValidation type="list" allowBlank="1" showInputMessage="1" showErrorMessage="1" sqref="C128:C132 C135 C137:C138" xr:uid="{68CE016D-B348-4003-896D-8B99A5B25A1C}">
      <formula1>"Negative , Positive , Not Done"</formula1>
    </dataValidation>
  </dataValidations>
  <pageMargins left="0.7" right="0.7" top="0.75" bottom="0.75" header="0.3" footer="0.3"/>
  <pageSetup paperSize="9" scale="3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955D8-3CA5-4AD2-B089-89CD23F9CD7E}">
  <dimension ref="A1:G65"/>
  <sheetViews>
    <sheetView workbookViewId="0">
      <selection activeCell="E2" sqref="E2"/>
    </sheetView>
  </sheetViews>
  <sheetFormatPr baseColWidth="10" defaultColWidth="11.5546875" defaultRowHeight="14.4"/>
  <cols>
    <col min="1" max="1" width="32.44140625" customWidth="1"/>
    <col min="2" max="2" width="10.6640625" style="15"/>
    <col min="3" max="3" width="5.109375" customWidth="1"/>
    <col min="4" max="4" width="54.44140625" style="149" customWidth="1"/>
    <col min="5" max="5" width="10.6640625" style="15"/>
    <col min="6" max="6" width="42.5546875" style="149" customWidth="1"/>
    <col min="7" max="7" width="33.88671875" style="149" customWidth="1"/>
  </cols>
  <sheetData>
    <row r="1" spans="1:7" s="912" customFormat="1" ht="18">
      <c r="B1" s="913"/>
      <c r="D1" s="322" t="s">
        <v>238</v>
      </c>
      <c r="E1" s="913" t="s">
        <v>1660</v>
      </c>
      <c r="F1" s="322" t="s">
        <v>2711</v>
      </c>
      <c r="G1" s="322" t="s">
        <v>2712</v>
      </c>
    </row>
    <row r="2" spans="1:7">
      <c r="D2" s="892" t="s">
        <v>2007</v>
      </c>
      <c r="E2" s="28">
        <f>RRImmédiat!G2</f>
        <v>0.8</v>
      </c>
      <c r="F2" s="884" t="str" cm="1">
        <f t="array" ref="F2">_xlfn._xlws.FILTER(D2:D7,E2:E7&gt;2)</f>
        <v>Hypertension artérielle</v>
      </c>
      <c r="G2" s="25" t="str" cm="1">
        <f t="array" ref="G2:G6">_xlfn._xlws.FILTER(D2:D66,E2:E66&gt;2)</f>
        <v>Hypertension artérielle</v>
      </c>
    </row>
    <row r="3" spans="1:7">
      <c r="D3" s="892" t="s">
        <v>1942</v>
      </c>
      <c r="E3" s="28">
        <f>RRImmédiat!G3</f>
        <v>0.8</v>
      </c>
      <c r="F3" s="884"/>
      <c r="G3" s="25" t="str">
        <v>Lithiase (calculs) biliaire</v>
      </c>
    </row>
    <row r="4" spans="1:7">
      <c r="D4" s="892" t="s">
        <v>2008</v>
      </c>
      <c r="E4" s="28">
        <f>RRImmédiat!G4</f>
        <v>1.2</v>
      </c>
      <c r="F4" s="884"/>
      <c r="G4" s="25" t="str">
        <v>Dyslipidémie</v>
      </c>
    </row>
    <row r="5" spans="1:7">
      <c r="D5" s="892" t="s">
        <v>48</v>
      </c>
      <c r="E5" s="28">
        <f>RRImmédiat!G5</f>
        <v>0.96</v>
      </c>
      <c r="F5" s="884"/>
      <c r="G5" s="25" t="str">
        <v>Syndrome métabolique</v>
      </c>
    </row>
    <row r="6" spans="1:7">
      <c r="A6" s="430" t="s">
        <v>1432</v>
      </c>
      <c r="D6" s="893" t="s">
        <v>897</v>
      </c>
      <c r="E6" s="28">
        <f>RRImmédiat!G6</f>
        <v>1200</v>
      </c>
      <c r="F6" s="884"/>
      <c r="G6" s="25" t="str">
        <v>Cancer de la prostate</v>
      </c>
    </row>
    <row r="7" spans="1:7">
      <c r="A7" t="s">
        <v>1431</v>
      </c>
      <c r="B7" s="28">
        <f>'Analyse Globale Q'!B20</f>
        <v>2.4</v>
      </c>
      <c r="D7" s="893" t="s">
        <v>898</v>
      </c>
      <c r="E7" s="28">
        <f>RRImmédiat!G7</f>
        <v>0.9</v>
      </c>
      <c r="F7" s="884"/>
      <c r="G7" s="25"/>
    </row>
    <row r="8" spans="1:7">
      <c r="A8" s="877" t="s">
        <v>1437</v>
      </c>
      <c r="B8" s="28">
        <f>'Analyse Globale Q'!B21</f>
        <v>1.6</v>
      </c>
      <c r="D8" s="894" t="s">
        <v>2011</v>
      </c>
      <c r="E8" s="28">
        <f>RRImmédiat!G8</f>
        <v>1.2</v>
      </c>
      <c r="F8" s="885" t="str" cm="1">
        <f t="array" ref="F8">_xlfn._xlws.FILTER(D8:D18,E8:E18&gt;2)</f>
        <v>Lithiase (calculs) biliaire</v>
      </c>
    </row>
    <row r="9" spans="1:7">
      <c r="A9" s="882" t="s">
        <v>1438</v>
      </c>
      <c r="B9" s="28">
        <f>'Analyse Globale Q'!B22</f>
        <v>1.2</v>
      </c>
      <c r="D9" s="894" t="s">
        <v>888</v>
      </c>
      <c r="E9" s="28">
        <f>RRImmédiat!G9</f>
        <v>0.9</v>
      </c>
      <c r="F9" s="885"/>
    </row>
    <row r="10" spans="1:7">
      <c r="A10" s="876" t="s">
        <v>1433</v>
      </c>
      <c r="B10" s="28">
        <f>'Analyse Globale Q'!B23</f>
        <v>2</v>
      </c>
      <c r="D10" s="895" t="s">
        <v>889</v>
      </c>
      <c r="E10" s="28">
        <f>RRImmédiat!G10</f>
        <v>0.9</v>
      </c>
      <c r="F10" s="885"/>
    </row>
    <row r="11" spans="1:7">
      <c r="A11" s="874" t="s">
        <v>1434</v>
      </c>
      <c r="B11" s="28">
        <f>'Analyse Globale Q'!B24</f>
        <v>3</v>
      </c>
      <c r="D11" s="895" t="s">
        <v>1684</v>
      </c>
      <c r="E11" s="28">
        <f>RRImmédiat!G11</f>
        <v>1.1000000000000001</v>
      </c>
      <c r="F11" s="885"/>
    </row>
    <row r="12" spans="1:7">
      <c r="A12" s="875" t="s">
        <v>1435</v>
      </c>
      <c r="B12" s="28">
        <f>'Analyse Globale Q'!B25</f>
        <v>1.2</v>
      </c>
      <c r="D12" s="896" t="s">
        <v>2012</v>
      </c>
      <c r="E12" s="28">
        <f>RRImmédiat!G12</f>
        <v>0.96</v>
      </c>
      <c r="F12" s="885"/>
    </row>
    <row r="13" spans="1:7">
      <c r="A13" s="21" t="s">
        <v>1436</v>
      </c>
      <c r="B13" s="28">
        <f>'Analyse Globale Q'!B26</f>
        <v>1.2</v>
      </c>
      <c r="D13" s="896" t="s">
        <v>893</v>
      </c>
      <c r="E13" s="28">
        <f>RRImmédiat!G13</f>
        <v>0.96</v>
      </c>
      <c r="F13" s="885"/>
    </row>
    <row r="14" spans="1:7">
      <c r="A14" s="878" t="s">
        <v>1444</v>
      </c>
      <c r="B14" s="28">
        <f>'Analyse Globale Q'!B27</f>
        <v>3</v>
      </c>
      <c r="D14" s="896" t="s">
        <v>894</v>
      </c>
      <c r="E14" s="28">
        <f>RRImmédiat!G14</f>
        <v>1200</v>
      </c>
      <c r="F14" s="885"/>
    </row>
    <row r="15" spans="1:7">
      <c r="A15" s="879" t="s">
        <v>253</v>
      </c>
      <c r="B15" s="28">
        <f>'Analyse Globale Q'!B28</f>
        <v>1.44</v>
      </c>
      <c r="D15" s="897" t="s">
        <v>2013</v>
      </c>
      <c r="E15" s="28">
        <f>RRImmédiat!G15</f>
        <v>0.8</v>
      </c>
      <c r="F15" s="885"/>
    </row>
    <row r="16" spans="1:7">
      <c r="A16" s="830" t="s">
        <v>2346</v>
      </c>
      <c r="B16" s="28">
        <f>'Analyse Globale Q'!B29</f>
        <v>3</v>
      </c>
      <c r="D16" s="897" t="s">
        <v>2014</v>
      </c>
      <c r="E16" s="28">
        <f>RRImmédiat!G16</f>
        <v>1.2</v>
      </c>
      <c r="F16" s="885"/>
    </row>
    <row r="17" spans="1:6">
      <c r="A17" s="880" t="s">
        <v>2352</v>
      </c>
      <c r="B17" s="28">
        <f>'Analyse Globale Q'!B30</f>
        <v>2</v>
      </c>
      <c r="D17" s="897" t="s">
        <v>896</v>
      </c>
      <c r="E17" s="28">
        <f>RRImmédiat!G17</f>
        <v>0.8</v>
      </c>
      <c r="F17" s="885"/>
    </row>
    <row r="18" spans="1:6">
      <c r="A18" s="881" t="s">
        <v>2670</v>
      </c>
      <c r="B18" s="28">
        <f>'Analyse Globale Q'!B31</f>
        <v>1</v>
      </c>
      <c r="D18" s="894" t="s">
        <v>2015</v>
      </c>
      <c r="E18" s="28">
        <f>RRImmédiat!G18</f>
        <v>1</v>
      </c>
      <c r="F18" s="885"/>
    </row>
    <row r="19" spans="1:6">
      <c r="D19" s="635" t="s">
        <v>42</v>
      </c>
      <c r="E19" s="28">
        <f>RRImmédiat!G19</f>
        <v>1440</v>
      </c>
      <c r="F19" s="886" t="str" cm="1">
        <f t="array" ref="F19:F20">_xlfn._xlws.FILTER(D19:D23,E19:E23&gt;2)</f>
        <v>Dyslipidémie</v>
      </c>
    </row>
    <row r="20" spans="1:6">
      <c r="D20" s="635" t="s">
        <v>2016</v>
      </c>
      <c r="E20" s="28">
        <f>RRImmédiat!G20</f>
        <v>1.2</v>
      </c>
      <c r="F20" s="886" t="str">
        <v>Syndrome métabolique</v>
      </c>
    </row>
    <row r="21" spans="1:6">
      <c r="D21" s="635" t="s">
        <v>44</v>
      </c>
      <c r="E21" s="28">
        <f>RRImmédiat!G21</f>
        <v>2.4</v>
      </c>
      <c r="F21" s="886"/>
    </row>
    <row r="22" spans="1:6">
      <c r="D22" s="898" t="s">
        <v>2017</v>
      </c>
      <c r="E22" s="28">
        <f>RRImmédiat!G22</f>
        <v>1.1000000000000001</v>
      </c>
      <c r="F22" s="886"/>
    </row>
    <row r="23" spans="1:6">
      <c r="D23" s="898" t="s">
        <v>1943</v>
      </c>
      <c r="E23" s="28">
        <f>RRImmédiat!G23</f>
        <v>0.98</v>
      </c>
      <c r="F23" s="886"/>
    </row>
    <row r="24" spans="1:6">
      <c r="D24" s="899" t="s">
        <v>907</v>
      </c>
      <c r="E24" s="883">
        <f>RRImmédiat!G24</f>
        <v>0.98</v>
      </c>
      <c r="F24" s="887"/>
    </row>
    <row r="25" spans="1:6">
      <c r="D25" s="899" t="s">
        <v>908</v>
      </c>
      <c r="E25" s="883">
        <f>RRImmédiat!G25</f>
        <v>0.98</v>
      </c>
      <c r="F25" s="887"/>
    </row>
    <row r="26" spans="1:6">
      <c r="D26" s="899" t="s">
        <v>909</v>
      </c>
      <c r="E26" s="883">
        <f>RRImmédiat!G26</f>
        <v>0</v>
      </c>
      <c r="F26" s="887"/>
    </row>
    <row r="27" spans="1:6">
      <c r="D27" s="899" t="s">
        <v>910</v>
      </c>
      <c r="E27" s="883">
        <f>RRImmédiat!G27</f>
        <v>0</v>
      </c>
      <c r="F27" s="887"/>
    </row>
    <row r="28" spans="1:6">
      <c r="D28" s="899" t="s">
        <v>1686</v>
      </c>
      <c r="E28" s="883">
        <f>RRImmédiat!G28</f>
        <v>0.98</v>
      </c>
      <c r="F28" s="887"/>
    </row>
    <row r="29" spans="1:6">
      <c r="D29" s="899" t="s">
        <v>911</v>
      </c>
      <c r="E29" s="883">
        <f>RRImmédiat!G29</f>
        <v>0.98</v>
      </c>
      <c r="F29" s="887"/>
    </row>
    <row r="30" spans="1:6">
      <c r="D30" s="899" t="s">
        <v>1177</v>
      </c>
      <c r="E30" s="883">
        <f>RRImmédiat!G30</f>
        <v>0.98</v>
      </c>
      <c r="F30" s="887"/>
    </row>
    <row r="31" spans="1:6">
      <c r="D31" s="899" t="s">
        <v>2073</v>
      </c>
      <c r="E31" s="883">
        <f>RRImmédiat!G31</f>
        <v>0.98</v>
      </c>
      <c r="F31" s="887"/>
    </row>
    <row r="32" spans="1:6">
      <c r="D32" s="899" t="s">
        <v>1688</v>
      </c>
      <c r="E32" s="883">
        <f>RRImmédiat!G32</f>
        <v>0</v>
      </c>
      <c r="F32" s="887"/>
    </row>
    <row r="33" spans="4:6">
      <c r="D33" s="899" t="s">
        <v>1831</v>
      </c>
      <c r="E33" s="883">
        <f>RRImmédiat!G33</f>
        <v>0.96</v>
      </c>
      <c r="F33" s="887"/>
    </row>
    <row r="34" spans="4:6">
      <c r="D34" s="900" t="s">
        <v>887</v>
      </c>
      <c r="E34" s="28">
        <f>RRImmédiat!G34</f>
        <v>0.9</v>
      </c>
      <c r="F34" s="888" t="e" cm="1" vm="1">
        <f t="array" ref="F34">_xlfn._xlws.FILTER(D34:D38,E34:E38&gt;2)</f>
        <v>#VALUE!</v>
      </c>
    </row>
    <row r="35" spans="4:6">
      <c r="D35" s="901" t="s">
        <v>38</v>
      </c>
      <c r="E35" s="28">
        <f>RRImmédiat!G35</f>
        <v>1.44</v>
      </c>
      <c r="F35" s="888"/>
    </row>
    <row r="36" spans="4:6">
      <c r="D36" s="902" t="s">
        <v>903</v>
      </c>
      <c r="E36" s="28">
        <f>RRImmédiat!G36</f>
        <v>1.2</v>
      </c>
      <c r="F36" s="888"/>
    </row>
    <row r="37" spans="4:6">
      <c r="D37" s="902" t="s">
        <v>904</v>
      </c>
      <c r="E37" s="28">
        <f>RRImmédiat!G37</f>
        <v>1.2</v>
      </c>
      <c r="F37" s="888"/>
    </row>
    <row r="38" spans="4:6">
      <c r="D38" s="902" t="s">
        <v>905</v>
      </c>
      <c r="E38" s="28">
        <f>RRImmédiat!G38</f>
        <v>0.72000000000000008</v>
      </c>
      <c r="F38" s="888"/>
    </row>
    <row r="39" spans="4:6">
      <c r="D39" s="636" t="s">
        <v>2019</v>
      </c>
      <c r="E39" s="28">
        <f>RRImmédiat!G39</f>
        <v>1.7999999999999998</v>
      </c>
      <c r="F39" s="531" t="e" cm="1" vm="1">
        <f t="array" ref="F39">_xlfn._xlws.FILTER(D39:D43,E39:E43&gt;2)</f>
        <v>#VALUE!</v>
      </c>
    </row>
    <row r="40" spans="4:6">
      <c r="D40" s="903" t="s">
        <v>899</v>
      </c>
      <c r="E40" s="28">
        <f>RRImmédiat!G40</f>
        <v>2</v>
      </c>
      <c r="F40" s="531"/>
    </row>
    <row r="41" spans="4:6">
      <c r="D41" s="903" t="s">
        <v>900</v>
      </c>
      <c r="E41" s="28">
        <f>RRImmédiat!G41</f>
        <v>1.2</v>
      </c>
      <c r="F41" s="531"/>
    </row>
    <row r="42" spans="4:6">
      <c r="D42" s="903" t="s">
        <v>2020</v>
      </c>
      <c r="E42" s="28">
        <f>RRImmédiat!G42</f>
        <v>2</v>
      </c>
      <c r="F42" s="531"/>
    </row>
    <row r="43" spans="4:6">
      <c r="D43" s="310" t="s">
        <v>2094</v>
      </c>
      <c r="E43" s="28">
        <f>RRImmédiat!G43</f>
        <v>0.8</v>
      </c>
      <c r="F43" s="531"/>
    </row>
    <row r="44" spans="4:6">
      <c r="D44" s="904" t="s">
        <v>881</v>
      </c>
      <c r="E44" s="28">
        <f>RRImmédiat!G44</f>
        <v>1.2</v>
      </c>
      <c r="F44" s="889" t="e" cm="1" vm="1">
        <f t="array" ref="F44">_xlfn._xlws.FILTER(D44:D49,E44:E49&gt;2)</f>
        <v>#VALUE!</v>
      </c>
    </row>
    <row r="45" spans="4:6">
      <c r="D45" s="904" t="s">
        <v>882</v>
      </c>
      <c r="E45" s="28">
        <f>RRImmédiat!G45</f>
        <v>0.52500000000000002</v>
      </c>
      <c r="F45" s="890"/>
    </row>
    <row r="46" spans="4:6">
      <c r="D46" s="905" t="s">
        <v>1683</v>
      </c>
      <c r="E46" s="28">
        <f>RRImmédiat!G46</f>
        <v>0.9</v>
      </c>
      <c r="F46" s="890"/>
    </row>
    <row r="47" spans="4:6">
      <c r="D47" s="905" t="s">
        <v>2021</v>
      </c>
      <c r="E47" s="28">
        <f>RRImmédiat!G47</f>
        <v>1.2</v>
      </c>
      <c r="F47" s="890"/>
    </row>
    <row r="48" spans="4:6">
      <c r="D48" s="906" t="s">
        <v>2022</v>
      </c>
      <c r="E48" s="28">
        <f>RRImmédiat!G48</f>
        <v>0.9</v>
      </c>
      <c r="F48" s="890"/>
    </row>
    <row r="49" spans="4:6">
      <c r="D49" s="904" t="s">
        <v>906</v>
      </c>
      <c r="E49" s="28">
        <f>RRImmédiat!G49</f>
        <v>0.9</v>
      </c>
      <c r="F49" s="890"/>
    </row>
    <row r="50" spans="4:6">
      <c r="D50" s="907" t="s">
        <v>2023</v>
      </c>
      <c r="E50" s="28">
        <f>RRImmédiat!G50</f>
        <v>1.2E-2</v>
      </c>
      <c r="F50" s="885" t="str" cm="1">
        <f t="array" ref="F50">_xlfn._xlws.FILTER(D50:D65,E50:E65&gt;2)</f>
        <v>Cancer de la prostate</v>
      </c>
    </row>
    <row r="51" spans="4:6">
      <c r="D51" s="908" t="s">
        <v>884</v>
      </c>
      <c r="E51" s="28">
        <f>RRImmédiat!G51</f>
        <v>0</v>
      </c>
      <c r="F51" s="891"/>
    </row>
    <row r="52" spans="4:6">
      <c r="D52" s="908" t="s">
        <v>885</v>
      </c>
      <c r="E52" s="28">
        <f>RRImmédiat!G52</f>
        <v>0</v>
      </c>
      <c r="F52" s="891"/>
    </row>
    <row r="53" spans="4:6">
      <c r="D53" s="908" t="s">
        <v>886</v>
      </c>
      <c r="E53" s="28">
        <f>RRImmédiat!G53</f>
        <v>0</v>
      </c>
      <c r="F53" s="891"/>
    </row>
    <row r="54" spans="4:6">
      <c r="D54" s="909" t="s">
        <v>883</v>
      </c>
      <c r="E54" s="28">
        <f>RRImmédiat!G54</f>
        <v>1.2</v>
      </c>
      <c r="F54" s="891"/>
    </row>
    <row r="55" spans="4:6">
      <c r="D55" s="910" t="s">
        <v>2024</v>
      </c>
      <c r="E55" s="28">
        <f>RRImmédiat!G55</f>
        <v>0.9</v>
      </c>
      <c r="F55" s="891"/>
    </row>
    <row r="56" spans="4:6">
      <c r="D56" s="794" t="s">
        <v>54</v>
      </c>
      <c r="E56" s="28">
        <f>RRImmédiat!G56</f>
        <v>2.4</v>
      </c>
      <c r="F56" s="891"/>
    </row>
    <row r="57" spans="4:6">
      <c r="D57" s="911" t="s">
        <v>890</v>
      </c>
      <c r="E57" s="28">
        <f>RRImmédiat!G57</f>
        <v>0.8</v>
      </c>
      <c r="F57" s="891"/>
    </row>
    <row r="58" spans="4:6">
      <c r="D58" s="910" t="s">
        <v>891</v>
      </c>
      <c r="E58" s="28">
        <f>RRImmédiat!G58</f>
        <v>1.6</v>
      </c>
      <c r="F58" s="891"/>
    </row>
    <row r="59" spans="4:6">
      <c r="D59" s="910" t="s">
        <v>2025</v>
      </c>
      <c r="E59" s="28">
        <f>RRImmédiat!G59</f>
        <v>1.5</v>
      </c>
      <c r="F59" s="891"/>
    </row>
    <row r="60" spans="4:6">
      <c r="D60" s="909" t="s">
        <v>1663</v>
      </c>
      <c r="E60" s="28">
        <f>RRImmédiat!G60</f>
        <v>0.8</v>
      </c>
      <c r="F60" s="891"/>
    </row>
    <row r="61" spans="4:6">
      <c r="D61" s="911" t="s">
        <v>2026</v>
      </c>
      <c r="E61" s="28">
        <f>RRImmédiat!G61</f>
        <v>1.2</v>
      </c>
      <c r="F61" s="891"/>
    </row>
    <row r="62" spans="4:6">
      <c r="D62" s="911" t="s">
        <v>784</v>
      </c>
      <c r="E62" s="28">
        <f>RRImmédiat!G62</f>
        <v>0</v>
      </c>
      <c r="F62" s="891"/>
    </row>
    <row r="63" spans="4:6">
      <c r="D63" s="911" t="s">
        <v>2027</v>
      </c>
      <c r="E63" s="28">
        <f>RRImmédiat!G63</f>
        <v>0</v>
      </c>
      <c r="F63" s="891"/>
    </row>
    <row r="64" spans="4:6">
      <c r="D64" s="911" t="s">
        <v>2031</v>
      </c>
      <c r="E64" s="28">
        <f>RRImmédiat!G64</f>
        <v>0</v>
      </c>
      <c r="F64" s="891"/>
    </row>
    <row r="65" spans="4:6">
      <c r="D65" s="911" t="s">
        <v>2030</v>
      </c>
      <c r="E65" s="28">
        <f>RRImmédiat!G65</f>
        <v>0</v>
      </c>
      <c r="F65" s="891"/>
    </row>
  </sheetData>
  <conditionalFormatting sqref="B1:B1048576">
    <cfRule type="colorScale" priority="2">
      <colorScale>
        <cfvo type="min"/>
        <cfvo type="percentile" val="50"/>
        <cfvo type="max"/>
        <color rgb="FF63BE7B"/>
        <color rgb="FFFFEB84"/>
        <color rgb="FFF8696B"/>
      </colorScale>
    </cfRule>
  </conditionalFormatting>
  <conditionalFormatting sqref="D2:D42 D44:D65">
    <cfRule type="duplicateValues" dxfId="0" priority="3"/>
  </conditionalFormatting>
  <conditionalFormatting sqref="D3:D6 D9:D11 D13:D17">
    <cfRule type="colorScale" priority="4">
      <colorScale>
        <cfvo type="min"/>
        <cfvo type="percentile" val="50"/>
        <cfvo type="max"/>
        <color rgb="FF5A8AC6"/>
        <color rgb="FFFCFCFF"/>
        <color rgb="FFF8696B"/>
      </colorScale>
    </cfRule>
  </conditionalFormatting>
  <conditionalFormatting sqref="D12">
    <cfRule type="colorScale" priority="5">
      <colorScale>
        <cfvo type="min"/>
        <cfvo type="percentile" val="50"/>
        <cfvo type="max"/>
        <color rgb="FF5A8AC6"/>
        <color rgb="FFFCFCFF"/>
        <color rgb="FFF8696B"/>
      </colorScale>
    </cfRule>
  </conditionalFormatting>
  <conditionalFormatting sqref="D19:D20">
    <cfRule type="colorScale" priority="6">
      <colorScale>
        <cfvo type="min"/>
        <cfvo type="percentile" val="50"/>
        <cfvo type="max"/>
        <color rgb="FF5A8AC6"/>
        <color rgb="FFFCFCFF"/>
        <color rgb="FFF8696B"/>
      </colorScale>
    </cfRule>
  </conditionalFormatting>
  <conditionalFormatting sqref="D22:D23">
    <cfRule type="iconSet" priority="7">
      <iconSet reverse="1">
        <cfvo type="percent" val="0"/>
        <cfvo type="percent" val="33"/>
        <cfvo type="percent" val="67"/>
      </iconSet>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63DEB-0FF9-4B85-B5DF-385AA855E8CB}">
  <sheetPr codeName="Feuil14">
    <tabColor rgb="FF9966FF"/>
  </sheetPr>
  <dimension ref="A1:R107"/>
  <sheetViews>
    <sheetView showFormulas="1" tabSelected="1" zoomScale="85" zoomScaleNormal="85" workbookViewId="0">
      <pane xSplit="2" ySplit="1" topLeftCell="C31" activePane="bottomRight" state="frozen"/>
      <selection pane="topRight" activeCell="C1" sqref="C1"/>
      <selection pane="bottomLeft" activeCell="A2" sqref="A2"/>
      <selection pane="bottomRight" activeCell="B42" sqref="B42"/>
    </sheetView>
  </sheetViews>
  <sheetFormatPr baseColWidth="10" defaultColWidth="10.6640625" defaultRowHeight="14.4"/>
  <cols>
    <col min="1" max="1" width="31.5546875" style="699" customWidth="1"/>
    <col min="2" max="2" width="58" style="1024" customWidth="1"/>
    <col min="3" max="3" width="14.44140625" style="309" customWidth="1"/>
    <col min="4" max="4" width="16.109375" style="309" customWidth="1"/>
    <col min="5" max="6" width="10.6640625" style="309"/>
    <col min="7" max="7" width="10.6640625" style="513"/>
    <col min="8" max="8" width="13.77734375" style="309" customWidth="1"/>
    <col min="9" max="9" width="15.88671875" style="309" customWidth="1"/>
    <col min="10" max="10" width="12.5546875" style="309" bestFit="1" customWidth="1"/>
    <col min="11" max="11" width="12.5546875" style="309" customWidth="1"/>
    <col min="12" max="12" width="39" style="701" customWidth="1"/>
    <col min="13" max="14" width="16" style="793" customWidth="1"/>
    <col min="15" max="15" width="16" style="601" customWidth="1"/>
    <col min="16" max="16" width="16" style="795" customWidth="1"/>
    <col min="17" max="16384" width="10.6640625" style="699"/>
  </cols>
  <sheetData>
    <row r="1" spans="1:18" s="309" customFormat="1">
      <c r="A1" s="309" t="s">
        <v>2046</v>
      </c>
      <c r="B1" s="140" t="s">
        <v>55</v>
      </c>
      <c r="C1" s="309" t="s">
        <v>1679</v>
      </c>
      <c r="D1" s="309" t="s">
        <v>1680</v>
      </c>
      <c r="F1" s="309" t="s">
        <v>1682</v>
      </c>
      <c r="G1" s="513" t="s">
        <v>1681</v>
      </c>
      <c r="H1" s="309" t="s">
        <v>1689</v>
      </c>
      <c r="I1" s="309" t="s">
        <v>1933</v>
      </c>
      <c r="J1" s="801" t="s">
        <v>1932</v>
      </c>
      <c r="K1" s="309" t="s">
        <v>2029</v>
      </c>
      <c r="L1" s="309" t="s">
        <v>2028</v>
      </c>
      <c r="M1" s="631" t="s">
        <v>2188</v>
      </c>
      <c r="N1" s="792" t="s">
        <v>2128</v>
      </c>
      <c r="O1" s="631" t="s">
        <v>2187</v>
      </c>
      <c r="P1" s="794" t="s">
        <v>2129</v>
      </c>
      <c r="R1" s="677" t="s">
        <v>1949</v>
      </c>
    </row>
    <row r="2" spans="1:18">
      <c r="A2" s="699" t="s">
        <v>2009</v>
      </c>
      <c r="B2" s="892" t="s">
        <v>2007</v>
      </c>
      <c r="C2" s="567">
        <f>AUTOQUESTIONNAIRE!AH185</f>
        <v>1</v>
      </c>
      <c r="D2" s="513">
        <f>ImportBiologie!D98</f>
        <v>0.8</v>
      </c>
      <c r="E2" s="309" t="s">
        <v>1673</v>
      </c>
      <c r="F2" s="309" t="str">
        <f>IF(ISBLANK(ImportBiologie!D98),"Non Fait","Fait")</f>
        <v>Fait</v>
      </c>
      <c r="G2" s="513">
        <f t="shared" ref="G2:G34" si="0">C2*(IF(F2="Fait",D2,1))</f>
        <v>0.8</v>
      </c>
      <c r="H2" s="309" t="str">
        <f t="shared" ref="H2:H34" si="1">IF(G2&lt;0.99,"Usuel",IF(G2&gt;1.2,"Alerte","Vigilance"))</f>
        <v>Usuel</v>
      </c>
      <c r="I2" s="309" t="str">
        <f t="shared" ref="I2:I34" si="2">IF(G2&gt;99,"Suivi",H2)</f>
        <v>Usuel</v>
      </c>
      <c r="J2" s="309" t="str">
        <f>I2</f>
        <v>Usuel</v>
      </c>
      <c r="L2" s="701" t="s">
        <v>1994</v>
      </c>
      <c r="M2" s="804">
        <f>G2</f>
        <v>0.8</v>
      </c>
      <c r="N2" s="804">
        <f>IF(M2&gt;3,3,M2)</f>
        <v>0.8</v>
      </c>
      <c r="O2" s="805">
        <f>MAX(C2,D2)</f>
        <v>1</v>
      </c>
      <c r="P2" s="804">
        <f>IF(O2&gt;3,3,O2)</f>
        <v>1</v>
      </c>
      <c r="R2" s="677" t="s">
        <v>1951</v>
      </c>
    </row>
    <row r="3" spans="1:18">
      <c r="A3" s="699" t="s">
        <v>2009</v>
      </c>
      <c r="B3" s="892" t="s">
        <v>1942</v>
      </c>
      <c r="C3" s="567">
        <f>AUTOQUESTIONNAIRE!AD185</f>
        <v>0.8</v>
      </c>
      <c r="D3" s="309">
        <v>1</v>
      </c>
      <c r="G3" s="513">
        <f t="shared" si="0"/>
        <v>0.8</v>
      </c>
      <c r="H3" s="309" t="str">
        <f t="shared" si="1"/>
        <v>Usuel</v>
      </c>
      <c r="I3" s="309" t="str">
        <f t="shared" si="2"/>
        <v>Usuel</v>
      </c>
      <c r="J3" s="309" t="str">
        <f t="shared" ref="J3:J49" si="3">I3</f>
        <v>Usuel</v>
      </c>
      <c r="L3" s="701" t="s">
        <v>1995</v>
      </c>
      <c r="M3" s="804">
        <f t="shared" ref="M3:M65" si="4">G3</f>
        <v>0.8</v>
      </c>
      <c r="N3" s="804">
        <f t="shared" ref="N3:N65" si="5">IF(M3&gt;3,3,M3)</f>
        <v>0.8</v>
      </c>
      <c r="O3" s="805">
        <f t="shared" ref="O3:O65" si="6">MAX(C3,D3)</f>
        <v>1</v>
      </c>
      <c r="P3" s="804">
        <f t="shared" ref="P3:P65" si="7">IF(O3&gt;3,3,O3)</f>
        <v>1</v>
      </c>
      <c r="R3" s="677" t="s">
        <v>1950</v>
      </c>
    </row>
    <row r="4" spans="1:18" ht="409.6">
      <c r="A4" s="699" t="s">
        <v>2009</v>
      </c>
      <c r="B4" s="892" t="s">
        <v>2008</v>
      </c>
      <c r="C4" s="567">
        <f>AUTOQUESTIONNAIRE!AE185</f>
        <v>1.2</v>
      </c>
      <c r="D4" s="309">
        <v>1</v>
      </c>
      <c r="G4" s="513">
        <f t="shared" si="0"/>
        <v>1.2</v>
      </c>
      <c r="H4" s="309" t="str">
        <f t="shared" si="1"/>
        <v>Vigilance</v>
      </c>
      <c r="I4" s="309" t="str">
        <f t="shared" si="2"/>
        <v>Vigilance</v>
      </c>
      <c r="J4" s="309" t="str">
        <f t="shared" si="3"/>
        <v>Vigilance</v>
      </c>
      <c r="L4" s="694" t="s">
        <v>2053</v>
      </c>
      <c r="M4" s="804">
        <f t="shared" si="4"/>
        <v>1.2</v>
      </c>
      <c r="N4" s="804">
        <f t="shared" si="5"/>
        <v>1.2</v>
      </c>
      <c r="O4" s="805">
        <f t="shared" si="6"/>
        <v>1.2</v>
      </c>
      <c r="P4" s="804">
        <f t="shared" si="7"/>
        <v>1.2</v>
      </c>
      <c r="R4" s="677" t="s">
        <v>1952</v>
      </c>
    </row>
    <row r="5" spans="1:18">
      <c r="A5" s="699" t="s">
        <v>2009</v>
      </c>
      <c r="B5" s="892" t="s">
        <v>48</v>
      </c>
      <c r="C5" s="567">
        <f>AUTOQUESTIONNAIRE!AF185</f>
        <v>1.2</v>
      </c>
      <c r="D5" s="513">
        <f>IF(ImportBiologie!N52="Faible",0.8,IF(ImportBiologie!N52="Elevé",1.8,1.2))</f>
        <v>0.8</v>
      </c>
      <c r="E5" s="702" t="s">
        <v>86</v>
      </c>
      <c r="F5" s="309" t="str">
        <f>IF(ISBLANK(ImportBiologie!H31),"Non Fait","Fait")</f>
        <v>Fait</v>
      </c>
      <c r="G5" s="513">
        <f t="shared" si="0"/>
        <v>0.96</v>
      </c>
      <c r="H5" s="309" t="str">
        <f t="shared" si="1"/>
        <v>Usuel</v>
      </c>
      <c r="I5" s="309" t="str">
        <f t="shared" si="2"/>
        <v>Usuel</v>
      </c>
      <c r="J5" s="309" t="str">
        <f t="shared" si="3"/>
        <v>Usuel</v>
      </c>
      <c r="L5" s="701" t="s">
        <v>1997</v>
      </c>
      <c r="M5" s="804">
        <f t="shared" si="4"/>
        <v>0.96</v>
      </c>
      <c r="N5" s="804">
        <f t="shared" si="5"/>
        <v>0.96</v>
      </c>
      <c r="O5" s="805">
        <f t="shared" si="6"/>
        <v>1.2</v>
      </c>
      <c r="P5" s="804">
        <f t="shared" si="7"/>
        <v>1.2</v>
      </c>
    </row>
    <row r="6" spans="1:18" ht="409.6">
      <c r="A6" s="699" t="s">
        <v>2009</v>
      </c>
      <c r="B6" s="893" t="s">
        <v>897</v>
      </c>
      <c r="C6" s="513">
        <f>AUTOQUESTIONNAIRE!AG185</f>
        <v>1200</v>
      </c>
      <c r="D6" s="311">
        <f>AUTOQUESTIONNAIRE!H219</f>
        <v>0.8</v>
      </c>
      <c r="E6" s="309" t="s">
        <v>604</v>
      </c>
      <c r="F6" s="309" t="str">
        <f>IF(ISBLANK(ImportBiologie!F218),"Non Fait","Fait")</f>
        <v>Non Fait</v>
      </c>
      <c r="G6" s="513">
        <f t="shared" si="0"/>
        <v>1200</v>
      </c>
      <c r="H6" s="309" t="str">
        <f t="shared" si="1"/>
        <v>Alerte</v>
      </c>
      <c r="I6" s="309" t="str">
        <f t="shared" si="2"/>
        <v>Suivi</v>
      </c>
      <c r="J6" s="309" t="str">
        <f t="shared" si="3"/>
        <v>Suivi</v>
      </c>
      <c r="L6" s="694" t="s">
        <v>2054</v>
      </c>
      <c r="M6" s="804">
        <f t="shared" si="4"/>
        <v>1200</v>
      </c>
      <c r="N6" s="804">
        <f t="shared" si="5"/>
        <v>3</v>
      </c>
      <c r="O6" s="805">
        <f t="shared" si="6"/>
        <v>1200</v>
      </c>
      <c r="P6" s="804">
        <f t="shared" si="7"/>
        <v>3</v>
      </c>
    </row>
    <row r="7" spans="1:18" ht="409.6">
      <c r="A7" s="699" t="s">
        <v>2009</v>
      </c>
      <c r="B7" s="893" t="s">
        <v>898</v>
      </c>
      <c r="C7" s="513">
        <f>AUTOQUESTIONNAIRE!AI185</f>
        <v>0.9</v>
      </c>
      <c r="D7" s="311">
        <f>AUTOQUESTIONNAIRE!G230</f>
        <v>1</v>
      </c>
      <c r="E7" s="309" t="s">
        <v>1672</v>
      </c>
      <c r="G7" s="513">
        <f t="shared" si="0"/>
        <v>0.9</v>
      </c>
      <c r="H7" s="309" t="str">
        <f t="shared" si="1"/>
        <v>Usuel</v>
      </c>
      <c r="I7" s="309" t="str">
        <f t="shared" si="2"/>
        <v>Usuel</v>
      </c>
      <c r="J7" s="309" t="str">
        <f t="shared" si="3"/>
        <v>Usuel</v>
      </c>
      <c r="L7" s="694" t="s">
        <v>2055</v>
      </c>
      <c r="M7" s="804">
        <f t="shared" si="4"/>
        <v>0.9</v>
      </c>
      <c r="N7" s="804">
        <f t="shared" si="5"/>
        <v>0.9</v>
      </c>
      <c r="O7" s="805">
        <f t="shared" si="6"/>
        <v>1</v>
      </c>
      <c r="P7" s="804">
        <f t="shared" si="7"/>
        <v>1</v>
      </c>
    </row>
    <row r="8" spans="1:18">
      <c r="A8" s="703" t="s">
        <v>2010</v>
      </c>
      <c r="B8" s="894" t="s">
        <v>2011</v>
      </c>
      <c r="C8" s="513">
        <f>AUTOQUESTIONNAIRE!BA185</f>
        <v>1.2</v>
      </c>
      <c r="D8" s="311">
        <v>1</v>
      </c>
      <c r="G8" s="513">
        <f t="shared" si="0"/>
        <v>1.2</v>
      </c>
      <c r="H8" s="309" t="str">
        <f t="shared" si="1"/>
        <v>Vigilance</v>
      </c>
      <c r="I8" s="309" t="str">
        <f t="shared" si="2"/>
        <v>Vigilance</v>
      </c>
      <c r="J8" s="309" t="str">
        <f t="shared" si="3"/>
        <v>Vigilance</v>
      </c>
      <c r="L8" s="701" t="s">
        <v>2004</v>
      </c>
      <c r="M8" s="804">
        <f t="shared" si="4"/>
        <v>1.2</v>
      </c>
      <c r="N8" s="804">
        <f t="shared" si="5"/>
        <v>1.2</v>
      </c>
      <c r="O8" s="805">
        <f t="shared" si="6"/>
        <v>1.2</v>
      </c>
      <c r="P8" s="804">
        <f t="shared" si="7"/>
        <v>1.2</v>
      </c>
    </row>
    <row r="9" spans="1:18" ht="409.6">
      <c r="A9" s="703" t="s">
        <v>2010</v>
      </c>
      <c r="B9" s="894" t="s">
        <v>888</v>
      </c>
      <c r="C9" s="567">
        <f>AUTOQUESTIONNAIRE!BB185</f>
        <v>0.9</v>
      </c>
      <c r="D9" s="309">
        <v>1</v>
      </c>
      <c r="G9" s="513">
        <f t="shared" si="0"/>
        <v>0.9</v>
      </c>
      <c r="H9" s="309" t="str">
        <f t="shared" si="1"/>
        <v>Usuel</v>
      </c>
      <c r="I9" s="309" t="str">
        <f t="shared" si="2"/>
        <v>Usuel</v>
      </c>
      <c r="J9" s="309" t="str">
        <f t="shared" si="3"/>
        <v>Usuel</v>
      </c>
      <c r="L9" s="695" t="s">
        <v>2056</v>
      </c>
      <c r="M9" s="804">
        <f t="shared" si="4"/>
        <v>0.9</v>
      </c>
      <c r="N9" s="804">
        <f t="shared" si="5"/>
        <v>0.9</v>
      </c>
      <c r="O9" s="805">
        <f t="shared" si="6"/>
        <v>1</v>
      </c>
      <c r="P9" s="804">
        <f t="shared" si="7"/>
        <v>1</v>
      </c>
    </row>
    <row r="10" spans="1:18" ht="409.6">
      <c r="A10" s="703" t="s">
        <v>2010</v>
      </c>
      <c r="B10" s="894" t="s">
        <v>889</v>
      </c>
      <c r="C10" s="513">
        <f>AUTOQUESTIONNAIRE!BC185</f>
        <v>0.9</v>
      </c>
      <c r="D10" s="311">
        <v>1</v>
      </c>
      <c r="E10" s="702" t="s">
        <v>1671</v>
      </c>
      <c r="G10" s="513">
        <f t="shared" si="0"/>
        <v>0.9</v>
      </c>
      <c r="H10" s="309" t="str">
        <f t="shared" si="1"/>
        <v>Usuel</v>
      </c>
      <c r="I10" s="309" t="str">
        <f t="shared" si="2"/>
        <v>Usuel</v>
      </c>
      <c r="J10" s="309" t="str">
        <f t="shared" si="3"/>
        <v>Usuel</v>
      </c>
      <c r="L10" s="695" t="s">
        <v>2057</v>
      </c>
      <c r="M10" s="804">
        <f t="shared" si="4"/>
        <v>0.9</v>
      </c>
      <c r="N10" s="804">
        <f t="shared" si="5"/>
        <v>0.9</v>
      </c>
      <c r="O10" s="805">
        <f t="shared" si="6"/>
        <v>1</v>
      </c>
      <c r="P10" s="804">
        <f t="shared" si="7"/>
        <v>1</v>
      </c>
    </row>
    <row r="11" spans="1:18" ht="409.6">
      <c r="A11" s="703" t="s">
        <v>2010</v>
      </c>
      <c r="B11" s="894" t="s">
        <v>1684</v>
      </c>
      <c r="C11" s="513">
        <f>AUTOQUESTIONNAIRE!BD185</f>
        <v>1.1000000000000001</v>
      </c>
      <c r="D11" s="311">
        <v>1</v>
      </c>
      <c r="G11" s="513">
        <f t="shared" si="0"/>
        <v>1.1000000000000001</v>
      </c>
      <c r="H11" s="309" t="str">
        <f t="shared" si="1"/>
        <v>Vigilance</v>
      </c>
      <c r="I11" s="309" t="str">
        <f t="shared" si="2"/>
        <v>Vigilance</v>
      </c>
      <c r="J11" s="309" t="str">
        <f t="shared" si="3"/>
        <v>Vigilance</v>
      </c>
      <c r="L11" s="829" t="s">
        <v>2182</v>
      </c>
      <c r="M11" s="804">
        <f t="shared" si="4"/>
        <v>1.1000000000000001</v>
      </c>
      <c r="N11" s="804">
        <f t="shared" si="5"/>
        <v>1.1000000000000001</v>
      </c>
      <c r="O11" s="805">
        <f t="shared" si="6"/>
        <v>1.1000000000000001</v>
      </c>
      <c r="P11" s="804">
        <f t="shared" si="7"/>
        <v>1.1000000000000001</v>
      </c>
    </row>
    <row r="12" spans="1:18" ht="388.8">
      <c r="A12" s="703" t="s">
        <v>2010</v>
      </c>
      <c r="B12" s="897" t="s">
        <v>2012</v>
      </c>
      <c r="C12" s="567">
        <f>AUTOQUESTIONNAIRE!V185</f>
        <v>1.2</v>
      </c>
      <c r="D12" s="311">
        <f>IF(ImportBiologie!H30&lt;1.3,0.8,IF(ImportBiologie!H30&gt;2.67,2,1))</f>
        <v>0.8</v>
      </c>
      <c r="E12" s="309" t="s">
        <v>100</v>
      </c>
      <c r="F12" s="309" t="str">
        <f>IF(ISBLANK(ImportBiologie!C19),"Non Fait","Fait")</f>
        <v>Fait</v>
      </c>
      <c r="G12" s="513">
        <f t="shared" si="0"/>
        <v>0.96</v>
      </c>
      <c r="H12" s="309" t="str">
        <f t="shared" si="1"/>
        <v>Usuel</v>
      </c>
      <c r="I12" s="309" t="str">
        <f t="shared" si="2"/>
        <v>Usuel</v>
      </c>
      <c r="J12" s="309" t="str">
        <f t="shared" si="3"/>
        <v>Usuel</v>
      </c>
      <c r="L12" s="696" t="s">
        <v>2058</v>
      </c>
      <c r="M12" s="804">
        <f t="shared" si="4"/>
        <v>0.96</v>
      </c>
      <c r="N12" s="804">
        <f t="shared" si="5"/>
        <v>0.96</v>
      </c>
      <c r="O12" s="805">
        <f t="shared" si="6"/>
        <v>1.2</v>
      </c>
      <c r="P12" s="804">
        <f t="shared" si="7"/>
        <v>1.2</v>
      </c>
    </row>
    <row r="13" spans="1:18" ht="345.6">
      <c r="A13" s="703" t="s">
        <v>2010</v>
      </c>
      <c r="B13" s="897" t="s">
        <v>893</v>
      </c>
      <c r="C13" s="513">
        <f>AUTOQUESTIONNAIRE!W185</f>
        <v>1.2</v>
      </c>
      <c r="D13" s="311">
        <f>IF(ImportBiologie!H30&lt;1.3,0.8,IF(ImportBiologie!H30&gt;2.67,2,1))</f>
        <v>0.8</v>
      </c>
      <c r="E13" s="309" t="s">
        <v>3007</v>
      </c>
      <c r="F13" s="309" t="str">
        <f>IF(ISBLANK(ImportBiologie!C19),"Non Fait","Fait")</f>
        <v>Fait</v>
      </c>
      <c r="G13" s="513">
        <f t="shared" si="0"/>
        <v>0.96</v>
      </c>
      <c r="H13" s="309" t="str">
        <f t="shared" si="1"/>
        <v>Usuel</v>
      </c>
      <c r="I13" s="309" t="str">
        <f t="shared" si="2"/>
        <v>Usuel</v>
      </c>
      <c r="J13" s="309" t="str">
        <f t="shared" si="3"/>
        <v>Usuel</v>
      </c>
      <c r="L13" s="696" t="s">
        <v>2059</v>
      </c>
      <c r="M13" s="804">
        <f t="shared" si="4"/>
        <v>0.96</v>
      </c>
      <c r="N13" s="804">
        <f t="shared" si="5"/>
        <v>0.96</v>
      </c>
      <c r="O13" s="805">
        <f t="shared" si="6"/>
        <v>1.2</v>
      </c>
      <c r="P13" s="804">
        <f t="shared" si="7"/>
        <v>1.2</v>
      </c>
    </row>
    <row r="14" spans="1:18">
      <c r="A14" s="703" t="s">
        <v>2010</v>
      </c>
      <c r="B14" s="897" t="s">
        <v>894</v>
      </c>
      <c r="C14" s="567">
        <f>AUTOQUESTIONNAIRE!X185</f>
        <v>1200</v>
      </c>
      <c r="D14" s="309">
        <v>1</v>
      </c>
      <c r="G14" s="513">
        <f t="shared" si="0"/>
        <v>1200</v>
      </c>
      <c r="H14" s="309" t="str">
        <f t="shared" si="1"/>
        <v>Alerte</v>
      </c>
      <c r="I14" s="309" t="str">
        <f t="shared" si="2"/>
        <v>Suivi</v>
      </c>
      <c r="J14" s="309" t="str">
        <f t="shared" si="3"/>
        <v>Suivi</v>
      </c>
      <c r="L14" s="701" t="s">
        <v>1989</v>
      </c>
      <c r="M14" s="804">
        <f t="shared" si="4"/>
        <v>1200</v>
      </c>
      <c r="N14" s="804">
        <f t="shared" si="5"/>
        <v>3</v>
      </c>
      <c r="O14" s="805">
        <f t="shared" si="6"/>
        <v>1200</v>
      </c>
      <c r="P14" s="804">
        <f t="shared" si="7"/>
        <v>3</v>
      </c>
    </row>
    <row r="15" spans="1:18">
      <c r="A15" s="703" t="s">
        <v>2010</v>
      </c>
      <c r="B15" s="897" t="s">
        <v>2013</v>
      </c>
      <c r="C15" s="567">
        <f>AUTOQUESTIONNAIRE!Z185</f>
        <v>0.8</v>
      </c>
      <c r="D15" s="309">
        <v>1</v>
      </c>
      <c r="G15" s="513">
        <f t="shared" si="0"/>
        <v>0.8</v>
      </c>
      <c r="H15" s="309" t="str">
        <f t="shared" si="1"/>
        <v>Usuel</v>
      </c>
      <c r="I15" s="309" t="str">
        <f t="shared" si="2"/>
        <v>Usuel</v>
      </c>
      <c r="J15" s="309" t="str">
        <f t="shared" si="3"/>
        <v>Usuel</v>
      </c>
      <c r="L15" s="701" t="s">
        <v>2060</v>
      </c>
      <c r="M15" s="804">
        <f t="shared" si="4"/>
        <v>0.8</v>
      </c>
      <c r="N15" s="804">
        <f t="shared" si="5"/>
        <v>0.8</v>
      </c>
      <c r="O15" s="805">
        <f t="shared" si="6"/>
        <v>1</v>
      </c>
      <c r="P15" s="804">
        <f t="shared" si="7"/>
        <v>1</v>
      </c>
    </row>
    <row r="16" spans="1:18">
      <c r="A16" s="703" t="s">
        <v>2010</v>
      </c>
      <c r="B16" s="897" t="s">
        <v>2014</v>
      </c>
      <c r="C16" s="567">
        <f>AUTOQUESTIONNAIRE!AA185</f>
        <v>1.2</v>
      </c>
      <c r="D16" s="309">
        <v>1</v>
      </c>
      <c r="G16" s="513">
        <f t="shared" si="0"/>
        <v>1.2</v>
      </c>
      <c r="H16" s="309" t="str">
        <f t="shared" si="1"/>
        <v>Vigilance</v>
      </c>
      <c r="I16" s="309" t="str">
        <f t="shared" si="2"/>
        <v>Vigilance</v>
      </c>
      <c r="J16" s="309" t="str">
        <f t="shared" si="3"/>
        <v>Vigilance</v>
      </c>
      <c r="L16" s="678" t="s">
        <v>2061</v>
      </c>
      <c r="M16" s="804">
        <f t="shared" si="4"/>
        <v>1.2</v>
      </c>
      <c r="N16" s="804">
        <f t="shared" si="5"/>
        <v>1.2</v>
      </c>
      <c r="O16" s="805">
        <f t="shared" si="6"/>
        <v>1.2</v>
      </c>
      <c r="P16" s="804">
        <f t="shared" si="7"/>
        <v>1.2</v>
      </c>
    </row>
    <row r="17" spans="1:16">
      <c r="A17" s="703" t="s">
        <v>2010</v>
      </c>
      <c r="B17" s="897" t="s">
        <v>896</v>
      </c>
      <c r="C17" s="567">
        <f>AUTOQUESTIONNAIRE!AB185</f>
        <v>0.8</v>
      </c>
      <c r="D17" s="309">
        <v>1</v>
      </c>
      <c r="G17" s="513">
        <f t="shared" si="0"/>
        <v>0.8</v>
      </c>
      <c r="H17" s="309" t="str">
        <f t="shared" si="1"/>
        <v>Usuel</v>
      </c>
      <c r="I17" s="309" t="str">
        <f t="shared" si="2"/>
        <v>Usuel</v>
      </c>
      <c r="J17" s="309" t="str">
        <f t="shared" si="3"/>
        <v>Usuel</v>
      </c>
      <c r="L17" s="678" t="s">
        <v>2062</v>
      </c>
      <c r="M17" s="804">
        <f t="shared" si="4"/>
        <v>0.8</v>
      </c>
      <c r="N17" s="804">
        <f t="shared" si="5"/>
        <v>0.8</v>
      </c>
      <c r="O17" s="805">
        <f t="shared" si="6"/>
        <v>1</v>
      </c>
      <c r="P17" s="804">
        <f t="shared" si="7"/>
        <v>1</v>
      </c>
    </row>
    <row r="18" spans="1:16">
      <c r="A18" s="703" t="s">
        <v>2010</v>
      </c>
      <c r="B18" s="894" t="s">
        <v>2015</v>
      </c>
      <c r="C18" s="567">
        <f>AUTOQUESTIONNAIRE!AC185</f>
        <v>1</v>
      </c>
      <c r="D18" s="309">
        <v>1</v>
      </c>
      <c r="G18" s="513">
        <f t="shared" si="0"/>
        <v>1</v>
      </c>
      <c r="H18" s="309" t="str">
        <f t="shared" si="1"/>
        <v>Vigilance</v>
      </c>
      <c r="I18" s="309" t="str">
        <f t="shared" si="2"/>
        <v>Vigilance</v>
      </c>
      <c r="J18" s="309" t="str">
        <f t="shared" si="3"/>
        <v>Vigilance</v>
      </c>
      <c r="L18" s="678" t="s">
        <v>2063</v>
      </c>
      <c r="M18" s="804">
        <f t="shared" si="4"/>
        <v>1</v>
      </c>
      <c r="N18" s="804">
        <f t="shared" si="5"/>
        <v>1</v>
      </c>
      <c r="O18" s="805">
        <f t="shared" si="6"/>
        <v>1</v>
      </c>
      <c r="P18" s="804">
        <f t="shared" si="7"/>
        <v>1</v>
      </c>
    </row>
    <row r="19" spans="1:16">
      <c r="A19" s="699" t="s">
        <v>1711</v>
      </c>
      <c r="B19" s="635" t="s">
        <v>42</v>
      </c>
      <c r="C19" s="513">
        <f>AUTOQUESTIONNAIRE!AR185</f>
        <v>1200</v>
      </c>
      <c r="D19" s="311">
        <f>ImportBiologie!H33</f>
        <v>1.2</v>
      </c>
      <c r="E19" s="309" t="s">
        <v>86</v>
      </c>
      <c r="F19" s="309" t="str">
        <f>IF(ISBLANK(ImportBiologie!H33),"Non Fait","Fait")</f>
        <v>Fait</v>
      </c>
      <c r="G19" s="513">
        <f t="shared" si="0"/>
        <v>1440</v>
      </c>
      <c r="H19" s="309" t="str">
        <f t="shared" si="1"/>
        <v>Alerte</v>
      </c>
      <c r="I19" s="309" t="str">
        <f t="shared" si="2"/>
        <v>Suivi</v>
      </c>
      <c r="J19" s="309" t="str">
        <f t="shared" si="3"/>
        <v>Suivi</v>
      </c>
      <c r="L19" s="701" t="s">
        <v>1991</v>
      </c>
      <c r="M19" s="804">
        <f t="shared" si="4"/>
        <v>1440</v>
      </c>
      <c r="N19" s="804">
        <f t="shared" si="5"/>
        <v>3</v>
      </c>
      <c r="O19" s="805">
        <f t="shared" si="6"/>
        <v>1200</v>
      </c>
      <c r="P19" s="804">
        <f t="shared" si="7"/>
        <v>3</v>
      </c>
    </row>
    <row r="20" spans="1:16">
      <c r="A20" s="699" t="s">
        <v>1711</v>
      </c>
      <c r="B20" s="635" t="s">
        <v>2016</v>
      </c>
      <c r="C20" s="513">
        <f>AUTOQUESTIONNAIRE!AQ185</f>
        <v>1.2</v>
      </c>
      <c r="D20" s="311">
        <f>ImportBiologie!H34</f>
        <v>1</v>
      </c>
      <c r="E20" s="309" t="s">
        <v>1668</v>
      </c>
      <c r="F20" s="309" t="str">
        <f>IF(ISBLANK(ImportBiologie!C10),"Non Fait","Fait")</f>
        <v>Non Fait</v>
      </c>
      <c r="G20" s="513">
        <f t="shared" si="0"/>
        <v>1.2</v>
      </c>
      <c r="H20" s="309" t="str">
        <f t="shared" si="1"/>
        <v>Vigilance</v>
      </c>
      <c r="I20" s="309" t="str">
        <f t="shared" si="2"/>
        <v>Vigilance</v>
      </c>
      <c r="J20" s="309" t="str">
        <f t="shared" si="3"/>
        <v>Vigilance</v>
      </c>
      <c r="L20" s="705" t="s">
        <v>1992</v>
      </c>
      <c r="M20" s="804">
        <f t="shared" si="4"/>
        <v>1.2</v>
      </c>
      <c r="N20" s="804">
        <f t="shared" si="5"/>
        <v>1.2</v>
      </c>
      <c r="O20" s="805">
        <f t="shared" si="6"/>
        <v>1.2</v>
      </c>
      <c r="P20" s="804">
        <f t="shared" si="7"/>
        <v>1.2</v>
      </c>
    </row>
    <row r="21" spans="1:16">
      <c r="A21" s="699" t="s">
        <v>1711</v>
      </c>
      <c r="B21" s="635" t="s">
        <v>44</v>
      </c>
      <c r="C21" s="567">
        <f>AUTOQUESTIONNAIRE!AP185</f>
        <v>1.2</v>
      </c>
      <c r="D21" s="311">
        <f>ImportBiologie!H39</f>
        <v>2</v>
      </c>
      <c r="E21" s="309" t="s">
        <v>3009</v>
      </c>
      <c r="F21" s="309" t="str">
        <f>IF(ISBLANK(ImportBiologie!H39),"Non Fait","Fait")</f>
        <v>Fait</v>
      </c>
      <c r="G21" s="513">
        <f t="shared" si="0"/>
        <v>2.4</v>
      </c>
      <c r="H21" s="309" t="str">
        <f t="shared" si="1"/>
        <v>Alerte</v>
      </c>
      <c r="I21" s="309" t="str">
        <f t="shared" si="2"/>
        <v>Alerte</v>
      </c>
      <c r="J21" s="309" t="str">
        <f t="shared" si="3"/>
        <v>Alerte</v>
      </c>
      <c r="L21" s="701" t="s">
        <v>1993</v>
      </c>
      <c r="M21" s="804">
        <f t="shared" si="4"/>
        <v>2.4</v>
      </c>
      <c r="N21" s="804">
        <f t="shared" si="5"/>
        <v>2.4</v>
      </c>
      <c r="O21" s="805">
        <f t="shared" si="6"/>
        <v>2</v>
      </c>
      <c r="P21" s="804">
        <f t="shared" si="7"/>
        <v>2</v>
      </c>
    </row>
    <row r="22" spans="1:16">
      <c r="A22" s="699" t="s">
        <v>1711</v>
      </c>
      <c r="B22" s="898" t="s">
        <v>2017</v>
      </c>
      <c r="C22" s="567">
        <f>AUTOQUESTIONNAIRE!BO185</f>
        <v>1.1000000000000001</v>
      </c>
      <c r="D22" s="311">
        <f>IF(ImportBiologie!C31&gt;4,2,IF(ImportBiologie!C31&lt;0.4,2,0))</f>
        <v>2</v>
      </c>
      <c r="E22" s="309" t="s">
        <v>173</v>
      </c>
      <c r="F22" s="309" t="str">
        <f>IF(ISBLANK(ImportBiologie!C31),"Non Fait","Fait")</f>
        <v>Non Fait</v>
      </c>
      <c r="G22" s="513">
        <f t="shared" si="0"/>
        <v>1.1000000000000001</v>
      </c>
      <c r="H22" s="309" t="str">
        <f t="shared" si="1"/>
        <v>Vigilance</v>
      </c>
      <c r="I22" s="309" t="str">
        <f t="shared" si="2"/>
        <v>Vigilance</v>
      </c>
      <c r="J22" s="309" t="str">
        <f t="shared" si="3"/>
        <v>Vigilance</v>
      </c>
      <c r="L22" s="701" t="s">
        <v>1990</v>
      </c>
      <c r="M22" s="804">
        <f t="shared" si="4"/>
        <v>1.1000000000000001</v>
      </c>
      <c r="N22" s="804">
        <f t="shared" si="5"/>
        <v>1.1000000000000001</v>
      </c>
      <c r="O22" s="805">
        <f t="shared" si="6"/>
        <v>2</v>
      </c>
      <c r="P22" s="804">
        <f t="shared" si="7"/>
        <v>2</v>
      </c>
    </row>
    <row r="23" spans="1:16">
      <c r="A23" s="699" t="s">
        <v>1711</v>
      </c>
      <c r="B23" s="898" t="s">
        <v>1943</v>
      </c>
      <c r="C23" s="567">
        <v>0.98</v>
      </c>
      <c r="D23" s="311">
        <f>IF(ImportBiologie!C33&lt;420,1,IF(ImportBiologie!C33&gt;650,2,1.2))</f>
        <v>1</v>
      </c>
      <c r="E23" s="309" t="s">
        <v>173</v>
      </c>
      <c r="F23" s="309" t="str">
        <f>IF(ISBLANK(ImportBiologie!C32),"Non Fait","Fait")</f>
        <v>Non Fait</v>
      </c>
      <c r="G23" s="513">
        <f t="shared" ref="G23" si="8">C23*(IF(F23="Fait",D23,1))</f>
        <v>0.98</v>
      </c>
      <c r="H23" s="309" t="str">
        <f t="shared" ref="H23" si="9">IF(G23&lt;0.99,"Usuel",IF(G23&gt;1.2,"Alerte","Vigilance"))</f>
        <v>Usuel</v>
      </c>
      <c r="I23" s="309" t="str">
        <f t="shared" ref="I23" si="10">IF(G23&gt;99,"Suivi",H23)</f>
        <v>Usuel</v>
      </c>
      <c r="J23" s="309" t="str">
        <f t="shared" ref="J23" si="11">I23</f>
        <v>Usuel</v>
      </c>
      <c r="L23" s="701" t="s">
        <v>2064</v>
      </c>
      <c r="M23" s="804">
        <f t="shared" si="4"/>
        <v>0.98</v>
      </c>
      <c r="N23" s="804">
        <f t="shared" si="5"/>
        <v>0.98</v>
      </c>
      <c r="O23" s="805">
        <f t="shared" si="6"/>
        <v>1</v>
      </c>
      <c r="P23" s="804">
        <f t="shared" si="7"/>
        <v>1</v>
      </c>
    </row>
    <row r="24" spans="1:16">
      <c r="A24" s="706" t="s">
        <v>2018</v>
      </c>
      <c r="B24" s="1020" t="s">
        <v>907</v>
      </c>
      <c r="C24" s="309">
        <v>0.98</v>
      </c>
      <c r="D24" s="567">
        <f>IF(ImportBiologie!C12&lt;11,2,1)</f>
        <v>2</v>
      </c>
      <c r="E24" s="309" t="s">
        <v>1155</v>
      </c>
      <c r="F24" s="309" t="str">
        <f>IF(ISBLANK(ImportBiologie!C12),"Non Fait","Fait")</f>
        <v>Non Fait</v>
      </c>
      <c r="G24" s="513">
        <f t="shared" si="0"/>
        <v>0.98</v>
      </c>
      <c r="H24" s="309" t="str">
        <f t="shared" si="1"/>
        <v>Usuel</v>
      </c>
      <c r="I24" s="309" t="str">
        <f t="shared" si="2"/>
        <v>Usuel</v>
      </c>
      <c r="J24" s="309" t="str">
        <f t="shared" si="3"/>
        <v>Usuel</v>
      </c>
      <c r="L24" s="701" t="s">
        <v>2065</v>
      </c>
      <c r="M24" s="804">
        <f t="shared" si="4"/>
        <v>0.98</v>
      </c>
      <c r="N24" s="804">
        <f t="shared" si="5"/>
        <v>0.98</v>
      </c>
      <c r="O24" s="805">
        <f t="shared" si="6"/>
        <v>2</v>
      </c>
      <c r="P24" s="804">
        <f t="shared" si="7"/>
        <v>2</v>
      </c>
    </row>
    <row r="25" spans="1:16">
      <c r="A25" s="706" t="s">
        <v>2018</v>
      </c>
      <c r="B25" s="1020" t="s">
        <v>908</v>
      </c>
      <c r="C25" s="309">
        <v>0.98</v>
      </c>
      <c r="D25" s="567">
        <f>IF(ImportBiologie!C12&gt;18,2,1)</f>
        <v>1</v>
      </c>
      <c r="E25" s="309" t="s">
        <v>1155</v>
      </c>
      <c r="F25" s="309" t="str">
        <f>IF(ISBLANK(ImportBiologie!C12),"Non Fait","Fait")</f>
        <v>Non Fait</v>
      </c>
      <c r="G25" s="513">
        <f t="shared" si="0"/>
        <v>0.98</v>
      </c>
      <c r="H25" s="309" t="str">
        <f t="shared" si="1"/>
        <v>Usuel</v>
      </c>
      <c r="I25" s="309" t="str">
        <f t="shared" si="2"/>
        <v>Usuel</v>
      </c>
      <c r="J25" s="309" t="str">
        <f t="shared" si="3"/>
        <v>Usuel</v>
      </c>
      <c r="L25" s="701" t="s">
        <v>2066</v>
      </c>
      <c r="M25" s="804">
        <f t="shared" si="4"/>
        <v>0.98</v>
      </c>
      <c r="N25" s="804">
        <f t="shared" si="5"/>
        <v>0.98</v>
      </c>
      <c r="O25" s="805">
        <f t="shared" si="6"/>
        <v>1</v>
      </c>
      <c r="P25" s="804">
        <f t="shared" si="7"/>
        <v>1</v>
      </c>
    </row>
    <row r="26" spans="1:16">
      <c r="A26" s="706" t="s">
        <v>2018</v>
      </c>
      <c r="B26" s="1020" t="s">
        <v>909</v>
      </c>
      <c r="C26" s="309">
        <v>0.98</v>
      </c>
      <c r="D26" s="567">
        <f>IF(ImportBiologie!C19&lt;150,2,IF(ImportBiologie!C19&gt;450,2,0))</f>
        <v>0</v>
      </c>
      <c r="E26" s="309" t="s">
        <v>1155</v>
      </c>
      <c r="F26" s="309" t="str">
        <f>IF(ISBLANK(ImportBiologie!C19),"Non Fait","Fait")</f>
        <v>Fait</v>
      </c>
      <c r="G26" s="513">
        <f t="shared" si="0"/>
        <v>0</v>
      </c>
      <c r="H26" s="309" t="str">
        <f t="shared" si="1"/>
        <v>Usuel</v>
      </c>
      <c r="I26" s="309" t="str">
        <f t="shared" si="2"/>
        <v>Usuel</v>
      </c>
      <c r="J26" s="309" t="str">
        <f t="shared" si="3"/>
        <v>Usuel</v>
      </c>
      <c r="L26" s="701" t="s">
        <v>2067</v>
      </c>
      <c r="M26" s="804">
        <f t="shared" si="4"/>
        <v>0</v>
      </c>
      <c r="N26" s="804">
        <f t="shared" si="5"/>
        <v>0</v>
      </c>
      <c r="O26" s="805">
        <f t="shared" si="6"/>
        <v>0.98</v>
      </c>
      <c r="P26" s="804">
        <f t="shared" si="7"/>
        <v>0.98</v>
      </c>
    </row>
    <row r="27" spans="1:16">
      <c r="A27" s="706" t="s">
        <v>2018</v>
      </c>
      <c r="B27" s="1020" t="s">
        <v>910</v>
      </c>
      <c r="C27" s="309">
        <v>0.98</v>
      </c>
      <c r="D27" s="567">
        <f>IF(ImportBiologie!C19&lt;150,2,IF(ImportBiologie!C19&gt;450,2,0))</f>
        <v>0</v>
      </c>
      <c r="E27" s="309" t="s">
        <v>1155</v>
      </c>
      <c r="F27" s="309" t="str">
        <f>IF(ISBLANK(ImportBiologie!C19),"Non Fait","Fait")</f>
        <v>Fait</v>
      </c>
      <c r="G27" s="513">
        <f t="shared" si="0"/>
        <v>0</v>
      </c>
      <c r="H27" s="309" t="str">
        <f t="shared" si="1"/>
        <v>Usuel</v>
      </c>
      <c r="I27" s="309" t="str">
        <f t="shared" si="2"/>
        <v>Usuel</v>
      </c>
      <c r="J27" s="309" t="str">
        <f t="shared" si="3"/>
        <v>Usuel</v>
      </c>
      <c r="L27" s="701" t="s">
        <v>2068</v>
      </c>
      <c r="M27" s="804">
        <f t="shared" si="4"/>
        <v>0</v>
      </c>
      <c r="N27" s="804">
        <f t="shared" si="5"/>
        <v>0</v>
      </c>
      <c r="O27" s="805">
        <f t="shared" si="6"/>
        <v>0.98</v>
      </c>
      <c r="P27" s="804">
        <f t="shared" si="7"/>
        <v>0.98</v>
      </c>
    </row>
    <row r="28" spans="1:16">
      <c r="A28" s="706" t="s">
        <v>2018</v>
      </c>
      <c r="B28" s="1020" t="s">
        <v>1686</v>
      </c>
      <c r="C28" s="309">
        <v>0.98</v>
      </c>
      <c r="D28" s="567">
        <f>IF(ImportBiologie!C15&lt;3,2,IF(ImportBiologie!C15&gt;15,2,0))</f>
        <v>2</v>
      </c>
      <c r="E28" s="309" t="s">
        <v>1155</v>
      </c>
      <c r="F28" s="309" t="str">
        <f>IF(ISBLANK(ImportBiologie!C15),"Non Fait","Fait")</f>
        <v>Non Fait</v>
      </c>
      <c r="G28" s="513">
        <f t="shared" si="0"/>
        <v>0.98</v>
      </c>
      <c r="H28" s="309" t="str">
        <f t="shared" si="1"/>
        <v>Usuel</v>
      </c>
      <c r="I28" s="309" t="str">
        <f t="shared" si="2"/>
        <v>Usuel</v>
      </c>
      <c r="J28" s="309" t="str">
        <f t="shared" si="3"/>
        <v>Usuel</v>
      </c>
      <c r="L28" s="701" t="s">
        <v>2069</v>
      </c>
      <c r="M28" s="804">
        <f t="shared" si="4"/>
        <v>0.98</v>
      </c>
      <c r="N28" s="804">
        <f t="shared" si="5"/>
        <v>0.98</v>
      </c>
      <c r="O28" s="805">
        <f t="shared" si="6"/>
        <v>2</v>
      </c>
      <c r="P28" s="804">
        <f t="shared" si="7"/>
        <v>2</v>
      </c>
    </row>
    <row r="29" spans="1:16">
      <c r="A29" s="706" t="s">
        <v>2018</v>
      </c>
      <c r="B29" s="1020" t="s">
        <v>911</v>
      </c>
      <c r="C29" s="309">
        <v>0.98</v>
      </c>
      <c r="D29" s="567">
        <f>IF(ImportBiologie!C15&lt;3,2,IF(ImportBiologie!C15&gt;15,2,0))</f>
        <v>2</v>
      </c>
      <c r="E29" s="309" t="s">
        <v>1155</v>
      </c>
      <c r="F29" s="309" t="str">
        <f>IF(ISBLANK(ImportBiologie!C15),"Non Fait","Fait")</f>
        <v>Non Fait</v>
      </c>
      <c r="G29" s="513">
        <f t="shared" si="0"/>
        <v>0.98</v>
      </c>
      <c r="H29" s="309" t="str">
        <f t="shared" si="1"/>
        <v>Usuel</v>
      </c>
      <c r="I29" s="309" t="str">
        <f t="shared" si="2"/>
        <v>Usuel</v>
      </c>
      <c r="J29" s="309" t="str">
        <f t="shared" si="3"/>
        <v>Usuel</v>
      </c>
      <c r="L29" s="701" t="s">
        <v>2070</v>
      </c>
      <c r="M29" s="804">
        <f t="shared" si="4"/>
        <v>0.98</v>
      </c>
      <c r="N29" s="804">
        <f t="shared" si="5"/>
        <v>0.98</v>
      </c>
      <c r="O29" s="805">
        <f t="shared" si="6"/>
        <v>2</v>
      </c>
      <c r="P29" s="804">
        <f t="shared" si="7"/>
        <v>2</v>
      </c>
    </row>
    <row r="30" spans="1:16">
      <c r="A30" s="706" t="s">
        <v>2018</v>
      </c>
      <c r="B30" s="1020" t="s">
        <v>1177</v>
      </c>
      <c r="C30" s="309">
        <v>0.98</v>
      </c>
      <c r="D30" s="567">
        <f>IF(ImportBiologie!C18&lt;0.9,2,IF(ImportBiologie!C18&gt;4,2,0))</f>
        <v>2</v>
      </c>
      <c r="E30" s="309" t="s">
        <v>1155</v>
      </c>
      <c r="F30" s="309" t="str">
        <f>IF(ISBLANK(ImportBiologie!C18),"Non Fait","Fait")</f>
        <v>Non Fait</v>
      </c>
      <c r="G30" s="513">
        <f t="shared" si="0"/>
        <v>0.98</v>
      </c>
      <c r="H30" s="309" t="str">
        <f t="shared" si="1"/>
        <v>Usuel</v>
      </c>
      <c r="I30" s="309" t="str">
        <f t="shared" si="2"/>
        <v>Usuel</v>
      </c>
      <c r="J30" s="309" t="str">
        <f t="shared" si="3"/>
        <v>Usuel</v>
      </c>
      <c r="L30" s="701" t="s">
        <v>2071</v>
      </c>
      <c r="M30" s="804">
        <f t="shared" si="4"/>
        <v>0.98</v>
      </c>
      <c r="N30" s="804">
        <f t="shared" si="5"/>
        <v>0.98</v>
      </c>
      <c r="O30" s="805">
        <f t="shared" si="6"/>
        <v>2</v>
      </c>
      <c r="P30" s="804">
        <f t="shared" si="7"/>
        <v>2</v>
      </c>
    </row>
    <row r="31" spans="1:16">
      <c r="A31" s="706" t="s">
        <v>2018</v>
      </c>
      <c r="B31" s="1020" t="s">
        <v>2073</v>
      </c>
      <c r="C31" s="309">
        <v>0.98</v>
      </c>
      <c r="D31" s="567">
        <f>IF(ImportBiologie!C17&gt;0.5,2,0)</f>
        <v>0</v>
      </c>
      <c r="E31" s="309" t="s">
        <v>1155</v>
      </c>
      <c r="F31" s="309" t="str">
        <f>IF(ISBLANK(ImportBiologie!C17),"Non Fait","Fait")</f>
        <v>Non Fait</v>
      </c>
      <c r="G31" s="513">
        <f t="shared" si="0"/>
        <v>0.98</v>
      </c>
      <c r="H31" s="309" t="str">
        <f t="shared" si="1"/>
        <v>Usuel</v>
      </c>
      <c r="I31" s="309" t="str">
        <f t="shared" si="2"/>
        <v>Usuel</v>
      </c>
      <c r="J31" s="309" t="str">
        <f t="shared" si="3"/>
        <v>Usuel</v>
      </c>
      <c r="L31" s="701" t="s">
        <v>2072</v>
      </c>
      <c r="M31" s="804">
        <f t="shared" si="4"/>
        <v>0.98</v>
      </c>
      <c r="N31" s="804">
        <f t="shared" si="5"/>
        <v>0.98</v>
      </c>
      <c r="O31" s="805">
        <f t="shared" si="6"/>
        <v>0.98</v>
      </c>
      <c r="P31" s="804">
        <f t="shared" si="7"/>
        <v>0.98</v>
      </c>
    </row>
    <row r="32" spans="1:16">
      <c r="A32" s="706" t="s">
        <v>2018</v>
      </c>
      <c r="B32" s="1020" t="s">
        <v>1688</v>
      </c>
      <c r="C32" s="309">
        <v>0.98</v>
      </c>
      <c r="D32" s="567">
        <f>IF(ImportBiologie!C97&gt;1,2,0)</f>
        <v>0</v>
      </c>
      <c r="E32" s="309" t="s">
        <v>1155</v>
      </c>
      <c r="F32" s="309" t="str">
        <f>IF(ISBLANK(ImportBiologie!C97),"Non Fait","Fait")</f>
        <v>Fait</v>
      </c>
      <c r="G32" s="513">
        <f t="shared" si="0"/>
        <v>0</v>
      </c>
      <c r="H32" s="309" t="str">
        <f t="shared" si="1"/>
        <v>Usuel</v>
      </c>
      <c r="I32" s="309" t="str">
        <f t="shared" si="2"/>
        <v>Usuel</v>
      </c>
      <c r="J32" s="309" t="str">
        <f t="shared" si="3"/>
        <v>Usuel</v>
      </c>
      <c r="L32" s="678" t="s">
        <v>2091</v>
      </c>
      <c r="M32" s="804">
        <f t="shared" si="4"/>
        <v>0</v>
      </c>
      <c r="N32" s="804">
        <f t="shared" si="5"/>
        <v>0</v>
      </c>
      <c r="O32" s="805">
        <f t="shared" si="6"/>
        <v>0.98</v>
      </c>
      <c r="P32" s="804">
        <f t="shared" si="7"/>
        <v>0.98</v>
      </c>
    </row>
    <row r="33" spans="1:16">
      <c r="A33" s="706" t="s">
        <v>2018</v>
      </c>
      <c r="B33" s="1020" t="s">
        <v>1831</v>
      </c>
      <c r="C33" s="309">
        <f>AUTOQUESTIONNAIRE!H168</f>
        <v>1.2</v>
      </c>
      <c r="D33" s="567">
        <f>IF(ImportBiologie!F118&gt;0.5,1.5,0.8)</f>
        <v>0.8</v>
      </c>
      <c r="E33" s="309" t="s">
        <v>1155</v>
      </c>
      <c r="F33" s="309" t="str">
        <f>IF(ISBLANK(ImportBiologie!C116),"Non Fait","Fait")</f>
        <v>Fait</v>
      </c>
      <c r="G33" s="513">
        <f t="shared" ref="G33" si="12">C33*(IF(F33="Fait",D33,1))</f>
        <v>0.96</v>
      </c>
      <c r="H33" s="309" t="str">
        <f t="shared" ref="H33" si="13">IF(G33&lt;0.99,"Usuel",IF(G33&gt;1.2,"Alerte","Vigilance"))</f>
        <v>Usuel</v>
      </c>
      <c r="I33" s="309" t="str">
        <f t="shared" ref="I33" si="14">IF(G33&gt;99,"Suivi",H33)</f>
        <v>Usuel</v>
      </c>
      <c r="J33" s="309" t="str">
        <f t="shared" si="3"/>
        <v>Usuel</v>
      </c>
      <c r="L33" s="701" t="s">
        <v>2092</v>
      </c>
      <c r="M33" s="804">
        <f t="shared" si="4"/>
        <v>0.96</v>
      </c>
      <c r="N33" s="804">
        <f t="shared" si="5"/>
        <v>0.96</v>
      </c>
      <c r="O33" s="805">
        <f t="shared" si="6"/>
        <v>1.2</v>
      </c>
      <c r="P33" s="804">
        <f t="shared" si="7"/>
        <v>1.2</v>
      </c>
    </row>
    <row r="34" spans="1:16">
      <c r="A34" s="707" t="s">
        <v>1903</v>
      </c>
      <c r="B34" s="900" t="s">
        <v>887</v>
      </c>
      <c r="C34" s="567">
        <f>AUTOQUESTIONNAIRE!BJ185</f>
        <v>0.9</v>
      </c>
      <c r="D34" s="309">
        <v>1</v>
      </c>
      <c r="G34" s="513">
        <f t="shared" si="0"/>
        <v>0.9</v>
      </c>
      <c r="H34" s="309" t="str">
        <f t="shared" si="1"/>
        <v>Usuel</v>
      </c>
      <c r="I34" s="309" t="str">
        <f t="shared" si="2"/>
        <v>Usuel</v>
      </c>
      <c r="J34" s="309" t="str">
        <f t="shared" si="3"/>
        <v>Usuel</v>
      </c>
      <c r="L34" s="701" t="s">
        <v>1998</v>
      </c>
      <c r="M34" s="804">
        <f t="shared" si="4"/>
        <v>0.9</v>
      </c>
      <c r="N34" s="804">
        <f t="shared" si="5"/>
        <v>0.9</v>
      </c>
      <c r="O34" s="805">
        <f t="shared" si="6"/>
        <v>1</v>
      </c>
      <c r="P34" s="804">
        <f t="shared" si="7"/>
        <v>1</v>
      </c>
    </row>
    <row r="35" spans="1:16">
      <c r="A35" s="707" t="s">
        <v>1903</v>
      </c>
      <c r="B35" s="901" t="s">
        <v>38</v>
      </c>
      <c r="C35" s="567">
        <f>AUTOQUESTIONNAIRE!AS185</f>
        <v>1.2</v>
      </c>
      <c r="D35" s="311">
        <f>IF(ImportBiologie!C35&lt;0.01,1,IF(ImportBiologie!C35&gt;30,0,1.2))</f>
        <v>1.2</v>
      </c>
      <c r="E35" s="309" t="s">
        <v>1667</v>
      </c>
      <c r="F35" s="309" t="str">
        <f>IF(ISBLANK(ImportBiologie!C35),"Non Fait","Fait")</f>
        <v>Fait</v>
      </c>
      <c r="G35" s="513">
        <f t="shared" ref="G35:G65" si="15">C35*(IF(F35="Fait",D35,1))</f>
        <v>1.44</v>
      </c>
      <c r="H35" s="309" t="str">
        <f t="shared" ref="H35:H65" si="16">IF(G35&lt;0.99,"Usuel",IF(G35&gt;1.2,"Alerte","Vigilance"))</f>
        <v>Alerte</v>
      </c>
      <c r="I35" s="309" t="str">
        <f t="shared" ref="I35:I65" si="17">IF(G35&gt;99,"Suivi",H35)</f>
        <v>Alerte</v>
      </c>
      <c r="J35" s="309" t="str">
        <f t="shared" si="3"/>
        <v>Alerte</v>
      </c>
      <c r="L35" s="701" t="s">
        <v>1988</v>
      </c>
      <c r="M35" s="804">
        <f t="shared" si="4"/>
        <v>1.44</v>
      </c>
      <c r="N35" s="804">
        <f t="shared" si="5"/>
        <v>1.44</v>
      </c>
      <c r="O35" s="805">
        <f t="shared" si="6"/>
        <v>1.2</v>
      </c>
      <c r="P35" s="804">
        <f t="shared" si="7"/>
        <v>1.2</v>
      </c>
    </row>
    <row r="36" spans="1:16">
      <c r="A36" s="707" t="s">
        <v>1903</v>
      </c>
      <c r="B36" s="902" t="s">
        <v>903</v>
      </c>
      <c r="C36" s="513">
        <f>AUTOQUESTIONNAIRE!AT185</f>
        <v>1.2</v>
      </c>
      <c r="D36" s="311">
        <f>IF(ImportBiologie!C36&lt;5,1.2,1)</f>
        <v>1</v>
      </c>
      <c r="E36" s="309" t="s">
        <v>1685</v>
      </c>
      <c r="G36" s="513">
        <f t="shared" si="15"/>
        <v>1.2</v>
      </c>
      <c r="H36" s="309" t="str">
        <f t="shared" si="16"/>
        <v>Vigilance</v>
      </c>
      <c r="I36" s="309" t="str">
        <f t="shared" si="17"/>
        <v>Vigilance</v>
      </c>
      <c r="J36" s="309" t="str">
        <f t="shared" si="3"/>
        <v>Vigilance</v>
      </c>
      <c r="L36" s="701" t="s">
        <v>2074</v>
      </c>
      <c r="M36" s="804">
        <f t="shared" si="4"/>
        <v>1.2</v>
      </c>
      <c r="N36" s="804">
        <f t="shared" si="5"/>
        <v>1.2</v>
      </c>
      <c r="O36" s="805">
        <f t="shared" si="6"/>
        <v>1.2</v>
      </c>
      <c r="P36" s="804">
        <f t="shared" si="7"/>
        <v>1.2</v>
      </c>
    </row>
    <row r="37" spans="1:16">
      <c r="A37" s="707" t="s">
        <v>1903</v>
      </c>
      <c r="B37" s="902" t="s">
        <v>904</v>
      </c>
      <c r="C37" s="567">
        <f>AUTOQUESTIONNAIRE!AU185</f>
        <v>1.2</v>
      </c>
      <c r="D37" s="309">
        <v>1</v>
      </c>
      <c r="G37" s="513">
        <f t="shared" si="15"/>
        <v>1.2</v>
      </c>
      <c r="H37" s="309" t="str">
        <f t="shared" si="16"/>
        <v>Vigilance</v>
      </c>
      <c r="I37" s="309" t="str">
        <f t="shared" si="17"/>
        <v>Vigilance</v>
      </c>
      <c r="J37" s="309" t="str">
        <f>I37</f>
        <v>Vigilance</v>
      </c>
      <c r="L37" s="701" t="s">
        <v>2075</v>
      </c>
      <c r="M37" s="804">
        <f t="shared" si="4"/>
        <v>1.2</v>
      </c>
      <c r="N37" s="804">
        <f t="shared" si="5"/>
        <v>1.2</v>
      </c>
      <c r="O37" s="805">
        <f t="shared" si="6"/>
        <v>1.2</v>
      </c>
      <c r="P37" s="804">
        <f t="shared" si="7"/>
        <v>1.2</v>
      </c>
    </row>
    <row r="38" spans="1:16">
      <c r="A38" s="707" t="s">
        <v>1903</v>
      </c>
      <c r="B38" s="902" t="s">
        <v>905</v>
      </c>
      <c r="C38" s="567">
        <f>AUTOQUESTIONNAIRE!AV185</f>
        <v>0.9</v>
      </c>
      <c r="D38" s="309">
        <f>IF(ImportBiologie!H7&gt;10,2,IF(ImportBiologie!H7&lt;5,0.8,1))</f>
        <v>0.8</v>
      </c>
      <c r="F38" s="309" t="str">
        <f>IF(ISBLANK(ImportBiologie!H7),"Non Fait","Fait")</f>
        <v>Fait</v>
      </c>
      <c r="G38" s="513">
        <f>C38*(IF(F38="Fait",D38,1))</f>
        <v>0.72000000000000008</v>
      </c>
      <c r="H38" s="309" t="str">
        <f t="shared" si="16"/>
        <v>Usuel</v>
      </c>
      <c r="I38" s="309" t="str">
        <f t="shared" si="17"/>
        <v>Usuel</v>
      </c>
      <c r="J38" s="309" t="str">
        <f t="shared" si="3"/>
        <v>Usuel</v>
      </c>
      <c r="L38" s="701" t="s">
        <v>2076</v>
      </c>
      <c r="M38" s="804">
        <f t="shared" si="4"/>
        <v>0.72000000000000008</v>
      </c>
      <c r="N38" s="804">
        <f t="shared" si="5"/>
        <v>0.72000000000000008</v>
      </c>
      <c r="O38" s="805">
        <f t="shared" si="6"/>
        <v>0.9</v>
      </c>
      <c r="P38" s="804">
        <f t="shared" si="7"/>
        <v>0.9</v>
      </c>
    </row>
    <row r="39" spans="1:16">
      <c r="A39" s="699" t="s">
        <v>1712</v>
      </c>
      <c r="B39" s="636" t="s">
        <v>2019</v>
      </c>
      <c r="C39" s="567">
        <f>(AUTOQUESTIONNAIRE!AK185)*(IF(AUTOQUESTIONNAIRE!F230=1,1.5,1))*(IF(AUTOQUESTIONNAIRE!F231=1,1.5,1))</f>
        <v>1.7999999999999998</v>
      </c>
      <c r="D39" s="513">
        <f>D5</f>
        <v>0.8</v>
      </c>
      <c r="E39" s="702" t="s">
        <v>86</v>
      </c>
      <c r="G39" s="513">
        <f t="shared" si="15"/>
        <v>1.7999999999999998</v>
      </c>
      <c r="H39" s="309" t="str">
        <f t="shared" si="16"/>
        <v>Alerte</v>
      </c>
      <c r="I39" s="309" t="str">
        <f t="shared" si="17"/>
        <v>Alerte</v>
      </c>
      <c r="J39" s="309" t="str">
        <f t="shared" si="3"/>
        <v>Alerte</v>
      </c>
      <c r="L39" s="701" t="s">
        <v>1996</v>
      </c>
      <c r="M39" s="804">
        <f t="shared" si="4"/>
        <v>1.7999999999999998</v>
      </c>
      <c r="N39" s="804">
        <f t="shared" si="5"/>
        <v>1.7999999999999998</v>
      </c>
      <c r="O39" s="805">
        <f t="shared" si="6"/>
        <v>1.7999999999999998</v>
      </c>
      <c r="P39" s="804">
        <f t="shared" si="7"/>
        <v>1.7999999999999998</v>
      </c>
    </row>
    <row r="40" spans="1:16">
      <c r="A40" s="699" t="s">
        <v>1712</v>
      </c>
      <c r="B40" s="903" t="s">
        <v>899</v>
      </c>
      <c r="C40" s="567">
        <f>AUTOQUESTIONNAIRE!AJ185</f>
        <v>2</v>
      </c>
      <c r="D40" s="513">
        <v>1</v>
      </c>
      <c r="G40" s="513">
        <f t="shared" si="15"/>
        <v>2</v>
      </c>
      <c r="H40" s="309" t="str">
        <f t="shared" si="16"/>
        <v>Alerte</v>
      </c>
      <c r="I40" s="309" t="str">
        <f t="shared" si="17"/>
        <v>Alerte</v>
      </c>
      <c r="J40" s="309" t="str">
        <f t="shared" si="3"/>
        <v>Alerte</v>
      </c>
      <c r="L40" s="701" t="s">
        <v>2077</v>
      </c>
      <c r="M40" s="804">
        <f t="shared" si="4"/>
        <v>2</v>
      </c>
      <c r="N40" s="804">
        <f t="shared" si="5"/>
        <v>2</v>
      </c>
      <c r="O40" s="805">
        <f t="shared" si="6"/>
        <v>2</v>
      </c>
      <c r="P40" s="804">
        <f t="shared" si="7"/>
        <v>2</v>
      </c>
    </row>
    <row r="41" spans="1:16">
      <c r="A41" s="699" t="s">
        <v>1712</v>
      </c>
      <c r="B41" s="903" t="s">
        <v>900</v>
      </c>
      <c r="C41" s="567">
        <f>AUTOQUESTIONNAIRE!AL185</f>
        <v>1.2</v>
      </c>
      <c r="D41" s="309">
        <f>MAX(IF(AUTOQUESTIONNAIRE!F216&gt;40,1.2,1)*AUTOQUESTIONNAIRE!I3,IF(AUTOQUESTIONNAIRE!F216&gt;43,1.2,1)*AUTOQUESTIONNAIRE!H3)</f>
        <v>1</v>
      </c>
      <c r="F41" s="309" t="str">
        <f>IF(ISBLANK(AUTOQUESTIONNAIRE!F216),"Non Fait","Fait")</f>
        <v>Non Fait</v>
      </c>
      <c r="G41" s="513">
        <f t="shared" si="15"/>
        <v>1.2</v>
      </c>
      <c r="H41" s="309" t="str">
        <f>IF(G41&lt;0.99,"Usuel",IF(G41&gt;1.2,"Alerte","Vigilance"))</f>
        <v>Vigilance</v>
      </c>
      <c r="I41" s="309" t="str">
        <f t="shared" si="17"/>
        <v>Vigilance</v>
      </c>
      <c r="J41" s="309" t="str">
        <f t="shared" si="3"/>
        <v>Vigilance</v>
      </c>
      <c r="L41" s="701" t="s">
        <v>2078</v>
      </c>
      <c r="M41" s="804">
        <f t="shared" si="4"/>
        <v>1.2</v>
      </c>
      <c r="N41" s="804">
        <f t="shared" si="5"/>
        <v>1.2</v>
      </c>
      <c r="O41" s="805">
        <f t="shared" si="6"/>
        <v>1.2</v>
      </c>
      <c r="P41" s="804">
        <f t="shared" si="7"/>
        <v>1.2</v>
      </c>
    </row>
    <row r="42" spans="1:16" ht="409.6">
      <c r="A42" s="699" t="s">
        <v>1712</v>
      </c>
      <c r="B42" s="903" t="s">
        <v>2020</v>
      </c>
      <c r="C42" s="567">
        <f>AUTOQUESTIONNAIRE!AM185</f>
        <v>2</v>
      </c>
      <c r="D42" s="309">
        <v>1</v>
      </c>
      <c r="G42" s="513">
        <f t="shared" si="15"/>
        <v>2</v>
      </c>
      <c r="H42" s="309" t="str">
        <f t="shared" si="16"/>
        <v>Alerte</v>
      </c>
      <c r="I42" s="309" t="str">
        <f t="shared" si="17"/>
        <v>Alerte</v>
      </c>
      <c r="J42" s="309" t="str">
        <f t="shared" si="3"/>
        <v>Alerte</v>
      </c>
      <c r="L42" s="695" t="s">
        <v>2079</v>
      </c>
      <c r="M42" s="804">
        <f t="shared" si="4"/>
        <v>2</v>
      </c>
      <c r="N42" s="804">
        <f t="shared" si="5"/>
        <v>2</v>
      </c>
      <c r="O42" s="805">
        <f t="shared" si="6"/>
        <v>2</v>
      </c>
      <c r="P42" s="804">
        <f t="shared" si="7"/>
        <v>2</v>
      </c>
    </row>
    <row r="43" spans="1:16" ht="374.4">
      <c r="A43" s="699" t="s">
        <v>1712</v>
      </c>
      <c r="B43" s="1021" t="s">
        <v>2094</v>
      </c>
      <c r="C43" s="567">
        <f>AUTOQUESTIONNAIRE!H172</f>
        <v>0.8</v>
      </c>
      <c r="D43" s="309">
        <v>1</v>
      </c>
      <c r="G43" s="513">
        <f t="shared" si="15"/>
        <v>0.8</v>
      </c>
      <c r="H43" s="309" t="str">
        <f t="shared" si="16"/>
        <v>Usuel</v>
      </c>
      <c r="I43" s="309" t="str">
        <f t="shared" si="17"/>
        <v>Usuel</v>
      </c>
      <c r="J43" s="309" t="str">
        <f t="shared" si="3"/>
        <v>Usuel</v>
      </c>
      <c r="L43" s="695" t="s">
        <v>2093</v>
      </c>
      <c r="M43" s="804">
        <f t="shared" si="4"/>
        <v>0.8</v>
      </c>
      <c r="N43" s="804">
        <f t="shared" si="5"/>
        <v>0.8</v>
      </c>
      <c r="O43" s="805">
        <f t="shared" si="6"/>
        <v>1</v>
      </c>
      <c r="P43" s="804">
        <f t="shared" si="7"/>
        <v>1</v>
      </c>
    </row>
    <row r="44" spans="1:16">
      <c r="A44" s="699" t="s">
        <v>1714</v>
      </c>
      <c r="B44" s="904" t="s">
        <v>881</v>
      </c>
      <c r="C44" s="567">
        <f>AUTOQUESTIONNAIRE!BH185</f>
        <v>1.2</v>
      </c>
      <c r="D44" s="309">
        <v>1</v>
      </c>
      <c r="G44" s="513">
        <f t="shared" si="15"/>
        <v>1.2</v>
      </c>
      <c r="H44" s="309" t="str">
        <f t="shared" si="16"/>
        <v>Vigilance</v>
      </c>
      <c r="I44" s="309" t="str">
        <f t="shared" si="17"/>
        <v>Vigilance</v>
      </c>
      <c r="J44" s="309" t="str">
        <f t="shared" si="3"/>
        <v>Vigilance</v>
      </c>
      <c r="L44" s="701" t="s">
        <v>2003</v>
      </c>
      <c r="M44" s="804">
        <f t="shared" si="4"/>
        <v>1.2</v>
      </c>
      <c r="N44" s="804">
        <f t="shared" si="5"/>
        <v>1.2</v>
      </c>
      <c r="O44" s="805">
        <f t="shared" si="6"/>
        <v>1.2</v>
      </c>
      <c r="P44" s="804">
        <f t="shared" si="7"/>
        <v>1.2</v>
      </c>
    </row>
    <row r="45" spans="1:16">
      <c r="A45" s="699" t="s">
        <v>1714</v>
      </c>
      <c r="B45" s="904" t="s">
        <v>882</v>
      </c>
      <c r="C45" s="513">
        <f>AUTOQUESTIONNAIRE!BI185</f>
        <v>0.52500000000000002</v>
      </c>
      <c r="D45" s="309">
        <v>1</v>
      </c>
      <c r="G45" s="513">
        <f t="shared" si="15"/>
        <v>0.52500000000000002</v>
      </c>
      <c r="H45" s="309" t="str">
        <f t="shared" si="16"/>
        <v>Usuel</v>
      </c>
      <c r="I45" s="309" t="str">
        <f t="shared" si="17"/>
        <v>Usuel</v>
      </c>
      <c r="J45" s="309" t="str">
        <f t="shared" si="3"/>
        <v>Usuel</v>
      </c>
      <c r="L45" s="701" t="s">
        <v>2002</v>
      </c>
      <c r="M45" s="804">
        <f t="shared" si="4"/>
        <v>0.52500000000000002</v>
      </c>
      <c r="N45" s="804">
        <f t="shared" si="5"/>
        <v>0.52500000000000002</v>
      </c>
      <c r="O45" s="805">
        <f t="shared" si="6"/>
        <v>1</v>
      </c>
      <c r="P45" s="804">
        <f t="shared" si="7"/>
        <v>1</v>
      </c>
    </row>
    <row r="46" spans="1:16">
      <c r="A46" s="699" t="s">
        <v>1714</v>
      </c>
      <c r="B46" s="905" t="s">
        <v>1683</v>
      </c>
      <c r="C46" s="567">
        <f>AUTOQUESTIONNAIRE!AW185</f>
        <v>0.9</v>
      </c>
      <c r="D46" s="309">
        <v>1</v>
      </c>
      <c r="G46" s="513">
        <f t="shared" si="15"/>
        <v>0.9</v>
      </c>
      <c r="H46" s="309" t="str">
        <f t="shared" si="16"/>
        <v>Usuel</v>
      </c>
      <c r="I46" s="309" t="str">
        <f t="shared" si="17"/>
        <v>Usuel</v>
      </c>
      <c r="J46" s="309" t="str">
        <f t="shared" si="3"/>
        <v>Usuel</v>
      </c>
      <c r="L46" s="701" t="s">
        <v>2005</v>
      </c>
      <c r="M46" s="804">
        <f t="shared" si="4"/>
        <v>0.9</v>
      </c>
      <c r="N46" s="804">
        <f t="shared" si="5"/>
        <v>0.9</v>
      </c>
      <c r="O46" s="805">
        <f t="shared" si="6"/>
        <v>1</v>
      </c>
      <c r="P46" s="804">
        <f t="shared" si="7"/>
        <v>1</v>
      </c>
    </row>
    <row r="47" spans="1:16">
      <c r="A47" s="699" t="s">
        <v>1714</v>
      </c>
      <c r="B47" s="905" t="s">
        <v>2021</v>
      </c>
      <c r="C47" s="567">
        <f>AUTOQUESTIONNAIRE!AX185</f>
        <v>1.2</v>
      </c>
      <c r="D47" s="309">
        <v>1</v>
      </c>
      <c r="G47" s="513">
        <f t="shared" si="15"/>
        <v>1.2</v>
      </c>
      <c r="H47" s="309" t="str">
        <f t="shared" si="16"/>
        <v>Vigilance</v>
      </c>
      <c r="I47" s="309" t="str">
        <f t="shared" si="17"/>
        <v>Vigilance</v>
      </c>
      <c r="J47" s="309" t="str">
        <f t="shared" si="3"/>
        <v>Vigilance</v>
      </c>
      <c r="L47" s="701" t="s">
        <v>2006</v>
      </c>
      <c r="M47" s="804">
        <f t="shared" si="4"/>
        <v>1.2</v>
      </c>
      <c r="N47" s="804">
        <f t="shared" si="5"/>
        <v>1.2</v>
      </c>
      <c r="O47" s="805">
        <f t="shared" si="6"/>
        <v>1.2</v>
      </c>
      <c r="P47" s="804">
        <f t="shared" si="7"/>
        <v>1.2</v>
      </c>
    </row>
    <row r="48" spans="1:16">
      <c r="A48" s="699" t="s">
        <v>1714</v>
      </c>
      <c r="B48" s="906" t="s">
        <v>2022</v>
      </c>
      <c r="C48" s="567">
        <f>AUTOQUESTIONNAIRE!AY185</f>
        <v>0.9</v>
      </c>
      <c r="D48" s="309">
        <v>1</v>
      </c>
      <c r="G48" s="513">
        <f t="shared" si="15"/>
        <v>0.9</v>
      </c>
      <c r="H48" s="309" t="str">
        <f t="shared" si="16"/>
        <v>Usuel</v>
      </c>
      <c r="I48" s="309" t="str">
        <f t="shared" si="17"/>
        <v>Usuel</v>
      </c>
      <c r="J48" s="309" t="str">
        <f t="shared" si="3"/>
        <v>Usuel</v>
      </c>
      <c r="L48" s="701" t="s">
        <v>2080</v>
      </c>
      <c r="M48" s="804">
        <f t="shared" si="4"/>
        <v>0.9</v>
      </c>
      <c r="N48" s="804">
        <f t="shared" si="5"/>
        <v>0.9</v>
      </c>
      <c r="O48" s="805">
        <f t="shared" si="6"/>
        <v>1</v>
      </c>
      <c r="P48" s="804">
        <f t="shared" si="7"/>
        <v>1</v>
      </c>
    </row>
    <row r="49" spans="1:16">
      <c r="A49" s="699" t="s">
        <v>1714</v>
      </c>
      <c r="B49" s="904" t="s">
        <v>3012</v>
      </c>
      <c r="C49" s="567">
        <f>AUTOQUESTIONNAIRE!BN185</f>
        <v>0.9</v>
      </c>
      <c r="D49" s="309">
        <v>1</v>
      </c>
      <c r="G49" s="513">
        <f t="shared" si="15"/>
        <v>0.9</v>
      </c>
      <c r="H49" s="309" t="str">
        <f t="shared" si="16"/>
        <v>Usuel</v>
      </c>
      <c r="I49" s="309" t="str">
        <f t="shared" si="17"/>
        <v>Usuel</v>
      </c>
      <c r="J49" s="309" t="str">
        <f t="shared" si="3"/>
        <v>Usuel</v>
      </c>
      <c r="L49" s="701" t="s">
        <v>2081</v>
      </c>
      <c r="M49" s="804">
        <f t="shared" si="4"/>
        <v>0.9</v>
      </c>
      <c r="N49" s="804">
        <f t="shared" si="5"/>
        <v>0.9</v>
      </c>
      <c r="O49" s="805">
        <f t="shared" si="6"/>
        <v>1</v>
      </c>
      <c r="P49" s="804">
        <f t="shared" si="7"/>
        <v>1</v>
      </c>
    </row>
    <row r="50" spans="1:16">
      <c r="A50" s="699" t="s">
        <v>1710</v>
      </c>
      <c r="B50" s="910" t="s">
        <v>2023</v>
      </c>
      <c r="C50" s="513">
        <f>AUTOQUESTIONNAIRE!BE185</f>
        <v>1.2E-2</v>
      </c>
      <c r="D50" s="309">
        <v>1</v>
      </c>
      <c r="G50" s="513">
        <f t="shared" si="15"/>
        <v>1.2E-2</v>
      </c>
      <c r="H50" s="309" t="str">
        <f t="shared" si="16"/>
        <v>Usuel</v>
      </c>
      <c r="I50" s="309" t="str">
        <f t="shared" si="17"/>
        <v>Usuel</v>
      </c>
      <c r="J50" s="309" t="str">
        <f>IF(AUTOQUESTIONNAIRE!$I$3=0,"NA",RRImmédiat!I50)</f>
        <v>NA</v>
      </c>
      <c r="K50" s="309" t="s">
        <v>1542</v>
      </c>
      <c r="L50" s="701" t="s">
        <v>1999</v>
      </c>
      <c r="M50" s="804">
        <f t="shared" si="4"/>
        <v>1.2E-2</v>
      </c>
      <c r="N50" s="804">
        <f t="shared" si="5"/>
        <v>1.2E-2</v>
      </c>
      <c r="O50" s="805">
        <f t="shared" si="6"/>
        <v>1</v>
      </c>
      <c r="P50" s="804">
        <f t="shared" si="7"/>
        <v>1</v>
      </c>
    </row>
    <row r="51" spans="1:16">
      <c r="A51" s="699" t="s">
        <v>1710</v>
      </c>
      <c r="B51" s="1022" t="s">
        <v>884</v>
      </c>
      <c r="C51" s="513">
        <f>AUTOQUESTIONNAIRE!BF185</f>
        <v>0</v>
      </c>
      <c r="D51" s="309">
        <v>1</v>
      </c>
      <c r="E51" s="702" t="s">
        <v>1670</v>
      </c>
      <c r="G51" s="513">
        <f t="shared" si="15"/>
        <v>0</v>
      </c>
      <c r="H51" s="309" t="str">
        <f t="shared" si="16"/>
        <v>Usuel</v>
      </c>
      <c r="I51" s="309" t="str">
        <f t="shared" si="17"/>
        <v>Usuel</v>
      </c>
      <c r="J51" s="309" t="str">
        <f>IF(AUTOQUESTIONNAIRE!$I$3=0,"NA",RRImmédiat!I51)</f>
        <v>NA</v>
      </c>
      <c r="K51" s="309" t="s">
        <v>1542</v>
      </c>
      <c r="L51" s="701" t="s">
        <v>2000</v>
      </c>
      <c r="M51" s="804">
        <f t="shared" si="4"/>
        <v>0</v>
      </c>
      <c r="N51" s="804">
        <f t="shared" si="5"/>
        <v>0</v>
      </c>
      <c r="O51" s="805">
        <f t="shared" si="6"/>
        <v>1</v>
      </c>
      <c r="P51" s="804">
        <f t="shared" si="7"/>
        <v>1</v>
      </c>
    </row>
    <row r="52" spans="1:16">
      <c r="A52" s="699" t="s">
        <v>1710</v>
      </c>
      <c r="B52" s="1022" t="s">
        <v>885</v>
      </c>
      <c r="C52" s="513">
        <f>AUTOQUESTIONNAIRE!BM185</f>
        <v>0</v>
      </c>
      <c r="D52" s="309">
        <v>1</v>
      </c>
      <c r="G52" s="513">
        <f t="shared" si="15"/>
        <v>0</v>
      </c>
      <c r="H52" s="309" t="str">
        <f t="shared" si="16"/>
        <v>Usuel</v>
      </c>
      <c r="I52" s="309" t="str">
        <f t="shared" si="17"/>
        <v>Usuel</v>
      </c>
      <c r="J52" s="309" t="str">
        <f>IF(AUTOQUESTIONNAIRE!$I$3=0,"NA",RRImmédiat!I52)</f>
        <v>NA</v>
      </c>
      <c r="K52" s="309" t="s">
        <v>1542</v>
      </c>
      <c r="L52" s="701" t="s">
        <v>2082</v>
      </c>
      <c r="M52" s="804">
        <f t="shared" si="4"/>
        <v>0</v>
      </c>
      <c r="N52" s="804">
        <f t="shared" si="5"/>
        <v>0</v>
      </c>
      <c r="O52" s="805">
        <f t="shared" si="6"/>
        <v>1</v>
      </c>
      <c r="P52" s="804">
        <f t="shared" si="7"/>
        <v>1</v>
      </c>
    </row>
    <row r="53" spans="1:16">
      <c r="A53" s="699" t="s">
        <v>1710</v>
      </c>
      <c r="B53" s="1022" t="s">
        <v>886</v>
      </c>
      <c r="C53" s="513">
        <f>AUTOQUESTIONNAIRE!BG185</f>
        <v>0</v>
      </c>
      <c r="D53" s="309">
        <v>1</v>
      </c>
      <c r="G53" s="513">
        <f t="shared" si="15"/>
        <v>0</v>
      </c>
      <c r="H53" s="309" t="str">
        <f t="shared" si="16"/>
        <v>Usuel</v>
      </c>
      <c r="I53" s="309" t="str">
        <f t="shared" si="17"/>
        <v>Usuel</v>
      </c>
      <c r="J53" s="309" t="str">
        <f>IF(AUTOQUESTIONNAIRE!$I$3=0,"NA",RRImmédiat!I53)</f>
        <v>NA</v>
      </c>
      <c r="L53" s="701" t="s">
        <v>2083</v>
      </c>
      <c r="M53" s="804">
        <f t="shared" si="4"/>
        <v>0</v>
      </c>
      <c r="N53" s="804">
        <f t="shared" si="5"/>
        <v>0</v>
      </c>
      <c r="O53" s="805">
        <f t="shared" si="6"/>
        <v>1</v>
      </c>
      <c r="P53" s="804">
        <f t="shared" si="7"/>
        <v>1</v>
      </c>
    </row>
    <row r="54" spans="1:16">
      <c r="A54" s="699" t="s">
        <v>1710</v>
      </c>
      <c r="B54" s="909" t="s">
        <v>883</v>
      </c>
      <c r="C54" s="513">
        <f>AUTOQUESTIONNAIRE!BK185</f>
        <v>1.2</v>
      </c>
      <c r="D54" s="311">
        <v>1</v>
      </c>
      <c r="G54" s="513">
        <f t="shared" si="15"/>
        <v>1.2</v>
      </c>
      <c r="H54" s="309" t="str">
        <f t="shared" si="16"/>
        <v>Vigilance</v>
      </c>
      <c r="I54" s="309" t="str">
        <f t="shared" si="17"/>
        <v>Vigilance</v>
      </c>
      <c r="J54" s="309" t="str">
        <f>I54</f>
        <v>Vigilance</v>
      </c>
      <c r="L54" s="701" t="s">
        <v>2084</v>
      </c>
      <c r="M54" s="804">
        <f t="shared" si="4"/>
        <v>1.2</v>
      </c>
      <c r="N54" s="804">
        <f t="shared" si="5"/>
        <v>1.2</v>
      </c>
      <c r="O54" s="805">
        <f t="shared" si="6"/>
        <v>1.2</v>
      </c>
      <c r="P54" s="804">
        <f t="shared" si="7"/>
        <v>1.2</v>
      </c>
    </row>
    <row r="55" spans="1:16">
      <c r="A55" s="699" t="s">
        <v>1710</v>
      </c>
      <c r="B55" s="910" t="s">
        <v>2024</v>
      </c>
      <c r="C55" s="513">
        <f>AUTOQUESTIONNAIRE!BL185</f>
        <v>0.9</v>
      </c>
      <c r="D55" s="311">
        <f>ImportBiologie!H47</f>
        <v>1</v>
      </c>
      <c r="E55" s="309" t="s">
        <v>1669</v>
      </c>
      <c r="G55" s="513">
        <f t="shared" si="15"/>
        <v>0.9</v>
      </c>
      <c r="H55" s="309" t="str">
        <f t="shared" si="16"/>
        <v>Usuel</v>
      </c>
      <c r="I55" s="309" t="str">
        <f t="shared" si="17"/>
        <v>Usuel</v>
      </c>
      <c r="J55" s="309" t="str">
        <f>I55</f>
        <v>Usuel</v>
      </c>
      <c r="L55" s="701" t="s">
        <v>2085</v>
      </c>
      <c r="M55" s="804">
        <f t="shared" si="4"/>
        <v>0.9</v>
      </c>
      <c r="N55" s="804">
        <f t="shared" si="5"/>
        <v>0.9</v>
      </c>
      <c r="O55" s="805">
        <f t="shared" si="6"/>
        <v>1</v>
      </c>
      <c r="P55" s="804">
        <f t="shared" si="7"/>
        <v>1</v>
      </c>
    </row>
    <row r="56" spans="1:16">
      <c r="A56" s="699" t="s">
        <v>1710</v>
      </c>
      <c r="B56" s="1023" t="s">
        <v>54</v>
      </c>
      <c r="C56" s="513">
        <f>AUTOQUESTIONNAIRE!AZ185</f>
        <v>1.2</v>
      </c>
      <c r="D56" s="311">
        <f>IF(ImportBiologie!H32&gt;3,2,IF(ImportBiologie!H32&lt;1.5,0.5,0.8))</f>
        <v>2</v>
      </c>
      <c r="E56" s="309" t="s">
        <v>1666</v>
      </c>
      <c r="F56" s="309" t="str">
        <f>IF(ISBLANK(ImportBiologie!C11),"Non Fait","Fait")</f>
        <v>Fait</v>
      </c>
      <c r="G56" s="513">
        <f t="shared" si="15"/>
        <v>2.4</v>
      </c>
      <c r="H56" s="309" t="str">
        <f t="shared" si="16"/>
        <v>Alerte</v>
      </c>
      <c r="I56" s="309" t="str">
        <f t="shared" si="17"/>
        <v>Alerte</v>
      </c>
      <c r="J56" s="309" t="str">
        <f>IF(AUTOQUESTIONNAIRE!$I$3=1,"NA",RRImmédiat!I56)</f>
        <v>Alerte</v>
      </c>
      <c r="K56" s="309" t="s">
        <v>553</v>
      </c>
      <c r="L56" s="701" t="s">
        <v>2001</v>
      </c>
      <c r="M56" s="804">
        <f t="shared" si="4"/>
        <v>2.4</v>
      </c>
      <c r="N56" s="804">
        <f t="shared" si="5"/>
        <v>2.4</v>
      </c>
      <c r="O56" s="805">
        <f t="shared" si="6"/>
        <v>2</v>
      </c>
      <c r="P56" s="804">
        <f t="shared" si="7"/>
        <v>2</v>
      </c>
    </row>
    <row r="57" spans="1:16">
      <c r="A57" s="699" t="s">
        <v>1710</v>
      </c>
      <c r="B57" s="909" t="s">
        <v>890</v>
      </c>
      <c r="C57" s="567">
        <f>AUTOQUESTIONNAIRE!O185</f>
        <v>0.8</v>
      </c>
      <c r="D57" s="309">
        <v>1</v>
      </c>
      <c r="E57" s="309" t="s">
        <v>1665</v>
      </c>
      <c r="F57" s="309" t="str">
        <f>IF(ISBLANK(ImportBiologie!C12),"Non Fait","Fait")</f>
        <v>Non Fait</v>
      </c>
      <c r="G57" s="513">
        <f t="shared" si="15"/>
        <v>0.8</v>
      </c>
      <c r="H57" s="309" t="str">
        <f t="shared" si="16"/>
        <v>Usuel</v>
      </c>
      <c r="I57" s="309" t="str">
        <f t="shared" si="17"/>
        <v>Usuel</v>
      </c>
      <c r="J57" s="309" t="str">
        <f>IF(AUTOQUESTIONNAIRE!$I$3=1,"NA",RRImmédiat!I57)</f>
        <v>Usuel</v>
      </c>
      <c r="K57" s="309" t="s">
        <v>553</v>
      </c>
      <c r="L57" s="701" t="s">
        <v>1985</v>
      </c>
      <c r="M57" s="804">
        <f t="shared" si="4"/>
        <v>0.8</v>
      </c>
      <c r="N57" s="804">
        <f t="shared" si="5"/>
        <v>0.8</v>
      </c>
      <c r="O57" s="805">
        <f t="shared" si="6"/>
        <v>1</v>
      </c>
      <c r="P57" s="804">
        <f t="shared" si="7"/>
        <v>1</v>
      </c>
    </row>
    <row r="58" spans="1:16">
      <c r="A58" s="699" t="s">
        <v>1710</v>
      </c>
      <c r="B58" s="910" t="s">
        <v>891</v>
      </c>
      <c r="C58" s="513">
        <f>AUTOQUESTIONNAIRE!P185</f>
        <v>0.8</v>
      </c>
      <c r="D58" s="311">
        <f>IF(ImportBiologie!H37&lt;30,2,IF(ImportBiologie!H37&gt;90,0.8,1))</f>
        <v>2</v>
      </c>
      <c r="E58" s="1026" t="s">
        <v>120</v>
      </c>
      <c r="F58" s="309" t="str">
        <f>IF(ISBLANK(ImportBiologie!H37),"Non Fait","Fait")</f>
        <v>Fait</v>
      </c>
      <c r="G58" s="513">
        <f t="shared" si="15"/>
        <v>1.6</v>
      </c>
      <c r="H58" s="309" t="str">
        <f t="shared" si="16"/>
        <v>Alerte</v>
      </c>
      <c r="I58" s="309" t="str">
        <f t="shared" si="17"/>
        <v>Alerte</v>
      </c>
      <c r="J58" s="309" t="str">
        <f t="shared" ref="J58:J60" si="18">I58</f>
        <v>Alerte</v>
      </c>
      <c r="L58" s="701" t="s">
        <v>1986</v>
      </c>
      <c r="M58" s="804">
        <f t="shared" si="4"/>
        <v>1.6</v>
      </c>
      <c r="N58" s="804">
        <f t="shared" si="5"/>
        <v>1.6</v>
      </c>
      <c r="O58" s="805">
        <f t="shared" si="6"/>
        <v>2</v>
      </c>
      <c r="P58" s="804">
        <f t="shared" si="7"/>
        <v>2</v>
      </c>
    </row>
    <row r="59" spans="1:16">
      <c r="A59" s="699" t="s">
        <v>1710</v>
      </c>
      <c r="B59" s="910" t="s">
        <v>2025</v>
      </c>
      <c r="C59" s="513">
        <f>AUTOQUESTIONNAIRE!S185</f>
        <v>1.5</v>
      </c>
      <c r="D59" s="311">
        <f>ImportBiologie!H35</f>
        <v>1</v>
      </c>
      <c r="E59" s="309" t="s">
        <v>86</v>
      </c>
      <c r="F59" s="309" t="str">
        <f>IF(ISBLANK(ImportBiologie!H35),"Non Fait","Fait")</f>
        <v>Fait</v>
      </c>
      <c r="G59" s="513">
        <f t="shared" si="15"/>
        <v>1.5</v>
      </c>
      <c r="H59" s="309" t="str">
        <f t="shared" si="16"/>
        <v>Alerte</v>
      </c>
      <c r="I59" s="309" t="str">
        <f t="shared" si="17"/>
        <v>Alerte</v>
      </c>
      <c r="J59" s="309" t="str">
        <f t="shared" si="18"/>
        <v>Alerte</v>
      </c>
      <c r="L59" s="701" t="s">
        <v>1987</v>
      </c>
      <c r="M59" s="804">
        <f t="shared" si="4"/>
        <v>1.5</v>
      </c>
      <c r="N59" s="804">
        <f t="shared" si="5"/>
        <v>1.5</v>
      </c>
      <c r="O59" s="805">
        <f t="shared" si="6"/>
        <v>1.5</v>
      </c>
      <c r="P59" s="804">
        <f t="shared" si="7"/>
        <v>1.5</v>
      </c>
    </row>
    <row r="60" spans="1:16">
      <c r="A60" s="699" t="s">
        <v>1710</v>
      </c>
      <c r="B60" s="909" t="s">
        <v>1663</v>
      </c>
      <c r="C60" s="567">
        <f>AUTOQUESTIONNAIRE!Q185</f>
        <v>0.8</v>
      </c>
      <c r="D60" s="309">
        <v>1</v>
      </c>
      <c r="G60" s="513">
        <f t="shared" si="15"/>
        <v>0.8</v>
      </c>
      <c r="H60" s="309" t="str">
        <f t="shared" si="16"/>
        <v>Usuel</v>
      </c>
      <c r="I60" s="309" t="str">
        <f t="shared" si="17"/>
        <v>Usuel</v>
      </c>
      <c r="J60" s="309" t="str">
        <f t="shared" si="18"/>
        <v>Usuel</v>
      </c>
      <c r="L60" s="701" t="s">
        <v>2090</v>
      </c>
      <c r="M60" s="804">
        <f t="shared" si="4"/>
        <v>0.8</v>
      </c>
      <c r="N60" s="804">
        <f t="shared" si="5"/>
        <v>0.8</v>
      </c>
      <c r="O60" s="805">
        <f t="shared" si="6"/>
        <v>1</v>
      </c>
      <c r="P60" s="804">
        <f t="shared" si="7"/>
        <v>1</v>
      </c>
    </row>
    <row r="61" spans="1:16">
      <c r="A61" s="699" t="s">
        <v>1710</v>
      </c>
      <c r="B61" s="909" t="s">
        <v>2026</v>
      </c>
      <c r="C61" s="567">
        <f>AUTOQUESTIONNAIRE!R185</f>
        <v>1.2</v>
      </c>
      <c r="D61" s="309">
        <v>1</v>
      </c>
      <c r="G61" s="513">
        <f t="shared" si="15"/>
        <v>1.2</v>
      </c>
      <c r="H61" s="309" t="str">
        <f t="shared" si="16"/>
        <v>Vigilance</v>
      </c>
      <c r="I61" s="309" t="str">
        <f t="shared" si="17"/>
        <v>Vigilance</v>
      </c>
      <c r="J61" s="309" t="str">
        <f>IF(AUTOQUESTIONNAIRE!$I$3=1,"NA",RRImmédiat!I61)</f>
        <v>Vigilance</v>
      </c>
      <c r="K61" s="309" t="s">
        <v>553</v>
      </c>
      <c r="L61" s="701" t="s">
        <v>2086</v>
      </c>
      <c r="M61" s="804">
        <f t="shared" si="4"/>
        <v>1.2</v>
      </c>
      <c r="N61" s="804">
        <f t="shared" si="5"/>
        <v>1.2</v>
      </c>
      <c r="O61" s="805">
        <f t="shared" si="6"/>
        <v>1.2</v>
      </c>
      <c r="P61" s="804">
        <f t="shared" si="7"/>
        <v>1.2</v>
      </c>
    </row>
    <row r="62" spans="1:16">
      <c r="A62" s="699" t="s">
        <v>1710</v>
      </c>
      <c r="B62" s="909" t="s">
        <v>784</v>
      </c>
      <c r="C62" s="567">
        <f>AUTOQUESTIONNAIRE!T185</f>
        <v>0</v>
      </c>
      <c r="D62" s="309">
        <v>1</v>
      </c>
      <c r="G62" s="513">
        <f t="shared" si="15"/>
        <v>0</v>
      </c>
      <c r="H62" s="309" t="str">
        <f t="shared" si="16"/>
        <v>Usuel</v>
      </c>
      <c r="I62" s="309" t="str">
        <f t="shared" si="17"/>
        <v>Usuel</v>
      </c>
      <c r="J62" s="309" t="str">
        <f>IF(AUTOQUESTIONNAIRE!$I$3=0,"NA",RRImmédiat!I62)</f>
        <v>NA</v>
      </c>
      <c r="K62" s="309" t="s">
        <v>1542</v>
      </c>
      <c r="L62" s="701" t="s">
        <v>2087</v>
      </c>
      <c r="M62" s="804">
        <f t="shared" si="4"/>
        <v>0</v>
      </c>
      <c r="N62" s="804">
        <f t="shared" si="5"/>
        <v>0</v>
      </c>
      <c r="O62" s="805">
        <f t="shared" si="6"/>
        <v>1</v>
      </c>
      <c r="P62" s="804">
        <f t="shared" si="7"/>
        <v>1</v>
      </c>
    </row>
    <row r="63" spans="1:16">
      <c r="A63" s="699" t="s">
        <v>1710</v>
      </c>
      <c r="B63" s="909" t="s">
        <v>2027</v>
      </c>
      <c r="C63" s="567">
        <f>AUTOQUESTIONNAIRE!U185</f>
        <v>0</v>
      </c>
      <c r="D63" s="309">
        <v>1</v>
      </c>
      <c r="G63" s="513">
        <f t="shared" si="15"/>
        <v>0</v>
      </c>
      <c r="H63" s="309" t="str">
        <f t="shared" si="16"/>
        <v>Usuel</v>
      </c>
      <c r="I63" s="309" t="str">
        <f t="shared" si="17"/>
        <v>Usuel</v>
      </c>
      <c r="J63" s="309" t="str">
        <f>IF(AUTOQUESTIONNAIRE!$I$3=0,"NA",RRImmédiat!I63)</f>
        <v>NA</v>
      </c>
      <c r="K63" s="309" t="s">
        <v>1542</v>
      </c>
      <c r="L63" s="701" t="s">
        <v>2088</v>
      </c>
      <c r="M63" s="804">
        <f t="shared" si="4"/>
        <v>0</v>
      </c>
      <c r="N63" s="804">
        <f t="shared" si="5"/>
        <v>0</v>
      </c>
      <c r="O63" s="805">
        <f t="shared" si="6"/>
        <v>1</v>
      </c>
      <c r="P63" s="804">
        <f t="shared" si="7"/>
        <v>1</v>
      </c>
    </row>
    <row r="64" spans="1:16">
      <c r="A64" s="699" t="s">
        <v>1710</v>
      </c>
      <c r="B64" s="909" t="s">
        <v>2031</v>
      </c>
      <c r="C64" s="311">
        <f>AUTOQUESTIONNAIRE!G21</f>
        <v>0</v>
      </c>
      <c r="D64" s="311">
        <f>IF(ImportBiologie!C89&lt;1.5,2,IF(ImportBiologie!C89&gt;15,2,0))</f>
        <v>0</v>
      </c>
      <c r="E64" s="309" t="s">
        <v>1210</v>
      </c>
      <c r="F64" s="309" t="str">
        <f>IF(ISBLANK(ImportBiologie!C89),"Non Fait","Fait")</f>
        <v>Fait</v>
      </c>
      <c r="G64" s="513">
        <f t="shared" si="15"/>
        <v>0</v>
      </c>
      <c r="H64" s="309" t="str">
        <f t="shared" si="16"/>
        <v>Usuel</v>
      </c>
      <c r="I64" s="309" t="str">
        <f t="shared" si="17"/>
        <v>Usuel</v>
      </c>
      <c r="J64" s="309" t="str">
        <f>IF(AUTOQUESTIONNAIRE!$I$3=0,"NA",RRImmédiat!I64)</f>
        <v>NA</v>
      </c>
      <c r="K64" s="309" t="s">
        <v>1542</v>
      </c>
      <c r="L64" s="701" t="s">
        <v>2089</v>
      </c>
      <c r="M64" s="804">
        <f t="shared" si="4"/>
        <v>0</v>
      </c>
      <c r="N64" s="804">
        <f t="shared" si="5"/>
        <v>0</v>
      </c>
      <c r="O64" s="805">
        <f t="shared" si="6"/>
        <v>0</v>
      </c>
      <c r="P64" s="804">
        <f t="shared" si="7"/>
        <v>0</v>
      </c>
    </row>
    <row r="65" spans="1:16" ht="409.6">
      <c r="A65" s="699" t="s">
        <v>1710</v>
      </c>
      <c r="B65" s="909" t="s">
        <v>2030</v>
      </c>
      <c r="C65" s="311">
        <v>1</v>
      </c>
      <c r="D65" s="311">
        <f>IF(ImportBiologie!C89&lt;1.5,2,IF(ImportBiologie!C89&gt;15,2,0))</f>
        <v>0</v>
      </c>
      <c r="E65" s="309" t="s">
        <v>1210</v>
      </c>
      <c r="F65" s="309" t="str">
        <f>IF(ISBLANK(ImportBiologie!C89),"Non Fait","Fait")</f>
        <v>Fait</v>
      </c>
      <c r="G65" s="513">
        <f t="shared" si="15"/>
        <v>0</v>
      </c>
      <c r="H65" s="309" t="str">
        <f t="shared" si="16"/>
        <v>Usuel</v>
      </c>
      <c r="I65" s="309" t="str">
        <f t="shared" si="17"/>
        <v>Usuel</v>
      </c>
      <c r="J65" s="309" t="str">
        <f>IF(AUTOQUESTIONNAIRE!$I$3=1,"NA",RRImmédiat!I65)</f>
        <v>Usuel</v>
      </c>
      <c r="K65" s="309" t="s">
        <v>553</v>
      </c>
      <c r="L65" s="697" t="s">
        <v>2095</v>
      </c>
      <c r="M65" s="804">
        <f t="shared" si="4"/>
        <v>0</v>
      </c>
      <c r="N65" s="804">
        <f t="shared" si="5"/>
        <v>0</v>
      </c>
      <c r="O65" s="805">
        <f t="shared" si="6"/>
        <v>1</v>
      </c>
      <c r="P65" s="804">
        <f t="shared" si="7"/>
        <v>1</v>
      </c>
    </row>
    <row r="66" spans="1:16">
      <c r="L66" s="697"/>
    </row>
    <row r="69" spans="1:16">
      <c r="A69" s="430" t="s">
        <v>1432</v>
      </c>
    </row>
    <row r="70" spans="1:16">
      <c r="A70" t="s">
        <v>1431</v>
      </c>
      <c r="B70" s="828">
        <f>MAX(G8,G9,G10,G34,G44,G45,G50,G51,G52,G53,G54,G55,G56)</f>
        <v>2.4</v>
      </c>
      <c r="C70" s="309">
        <f>IF(B70&gt;3,3,B70)</f>
        <v>2.4</v>
      </c>
      <c r="D70" s="309">
        <v>1</v>
      </c>
      <c r="E70" s="309">
        <v>2</v>
      </c>
      <c r="F70" s="309" t="str">
        <f>INDEX(B2:B7,MATCH(C74,C70:C79,0))</f>
        <v>Hypertension artérielle</v>
      </c>
    </row>
    <row r="71" spans="1:16">
      <c r="A71" t="s">
        <v>1437</v>
      </c>
      <c r="B71" s="828">
        <f>MAX(G57:G60)</f>
        <v>1.6</v>
      </c>
      <c r="C71" s="309">
        <f t="shared" ref="C71:C79" si="19">IF(B71&gt;3,3,B71)</f>
        <v>1.6</v>
      </c>
      <c r="D71" s="309">
        <v>1</v>
      </c>
      <c r="E71" s="309">
        <v>2</v>
      </c>
    </row>
    <row r="72" spans="1:16">
      <c r="A72" t="s">
        <v>1438</v>
      </c>
      <c r="B72" s="828">
        <f>MAX(G63,G62,G61)</f>
        <v>1.2</v>
      </c>
      <c r="C72" s="309">
        <f t="shared" si="19"/>
        <v>1.2</v>
      </c>
      <c r="D72" s="309">
        <v>1</v>
      </c>
      <c r="E72" s="309">
        <v>2</v>
      </c>
    </row>
    <row r="73" spans="1:16">
      <c r="A73" t="s">
        <v>1433</v>
      </c>
      <c r="B73" s="828">
        <f>MAX(G39:G43)</f>
        <v>2</v>
      </c>
      <c r="C73" s="309">
        <f t="shared" si="19"/>
        <v>2</v>
      </c>
      <c r="D73" s="309">
        <v>1</v>
      </c>
      <c r="E73" s="309">
        <v>2</v>
      </c>
    </row>
    <row r="74" spans="1:16">
      <c r="A74" t="s">
        <v>1434</v>
      </c>
      <c r="B74" s="828">
        <f>MAX(G2:G7)</f>
        <v>1200</v>
      </c>
      <c r="C74" s="309">
        <f t="shared" si="19"/>
        <v>3</v>
      </c>
      <c r="D74" s="309">
        <v>1</v>
      </c>
      <c r="E74" s="309">
        <v>2</v>
      </c>
    </row>
    <row r="75" spans="1:16">
      <c r="A75" t="s">
        <v>1435</v>
      </c>
      <c r="B75" s="828">
        <f>MAX(G44:G49)</f>
        <v>1.2</v>
      </c>
      <c r="C75" s="309">
        <f t="shared" si="19"/>
        <v>1.2</v>
      </c>
      <c r="D75" s="309">
        <v>1</v>
      </c>
      <c r="E75" s="309">
        <v>2</v>
      </c>
    </row>
    <row r="76" spans="1:16">
      <c r="A76" t="s">
        <v>1436</v>
      </c>
      <c r="B76" s="828">
        <f>MAX(G8,G9,G10,G15,G16,G17,G18)</f>
        <v>1.2</v>
      </c>
      <c r="C76" s="309">
        <f t="shared" si="19"/>
        <v>1.2</v>
      </c>
      <c r="D76" s="309">
        <v>1</v>
      </c>
      <c r="E76" s="309">
        <v>2</v>
      </c>
    </row>
    <row r="77" spans="1:16">
      <c r="A77" t="s">
        <v>1444</v>
      </c>
      <c r="B77" s="828">
        <f>MAX(G14,G13,G12,G10)</f>
        <v>1200</v>
      </c>
      <c r="C77" s="309">
        <f t="shared" si="19"/>
        <v>3</v>
      </c>
      <c r="D77" s="309">
        <v>1</v>
      </c>
      <c r="E77" s="309">
        <v>2</v>
      </c>
    </row>
    <row r="78" spans="1:16">
      <c r="A78" t="s">
        <v>253</v>
      </c>
      <c r="B78" s="828">
        <f>MAX(G35:G38)</f>
        <v>1.44</v>
      </c>
      <c r="C78" s="309">
        <f t="shared" si="19"/>
        <v>1.44</v>
      </c>
      <c r="D78" s="309">
        <v>1</v>
      </c>
      <c r="E78" s="309">
        <v>2</v>
      </c>
    </row>
    <row r="79" spans="1:16">
      <c r="A79" t="s">
        <v>2346</v>
      </c>
      <c r="B79" s="828">
        <f>MAX(G19:G23)</f>
        <v>1440</v>
      </c>
      <c r="C79" s="309">
        <f t="shared" si="19"/>
        <v>3</v>
      </c>
      <c r="D79" s="309">
        <v>1</v>
      </c>
      <c r="E79" s="309">
        <v>2</v>
      </c>
    </row>
    <row r="86" spans="1:3">
      <c r="B86" s="1025" t="s">
        <v>3008</v>
      </c>
      <c r="C86" s="309" t="s">
        <v>3006</v>
      </c>
    </row>
    <row r="87" spans="1:3">
      <c r="A87" s="699" t="str">
        <f>RESULTATS!G3</f>
        <v>Cancer de la prostate</v>
      </c>
      <c r="B87" s="1019">
        <f>RESULTATS!R3</f>
        <v>1.4359304347825996</v>
      </c>
      <c r="C87" s="513">
        <f>IF(G56&gt;3,3,G56)</f>
        <v>2.4</v>
      </c>
    </row>
    <row r="88" spans="1:3">
      <c r="A88" s="699" t="str">
        <f>RESULTATS!G4</f>
        <v>Hypertrophie prostatique</v>
      </c>
      <c r="B88" s="1019">
        <f>RESULTATS!R4</f>
        <v>1.2</v>
      </c>
      <c r="C88" s="513">
        <f>IF(G57&gt;3,3,G57)</f>
        <v>0.8</v>
      </c>
    </row>
    <row r="89" spans="1:3">
      <c r="A89" s="699" t="str">
        <f>RESULTATS!G5</f>
        <v>Insuffisance rénale</v>
      </c>
      <c r="B89" s="1019">
        <f>RESULTATS!R5</f>
        <v>1.2</v>
      </c>
      <c r="C89" s="513">
        <f>IF(G58&gt;3,3,G58)</f>
        <v>1.6</v>
      </c>
    </row>
    <row r="90" spans="1:3">
      <c r="A90" s="699" t="str">
        <f>RESULTATS!G6</f>
        <v>Lithiase urinaire</v>
      </c>
      <c r="B90" s="1019">
        <f>RESULTATS!R6</f>
        <v>2.16</v>
      </c>
      <c r="C90" s="513">
        <f>IF(G59&gt;3,3,G59)</f>
        <v>1.5</v>
      </c>
    </row>
    <row r="91" spans="1:3">
      <c r="A91" s="699" t="str">
        <f>RESULTATS!G7</f>
        <v>Ostéopénie</v>
      </c>
      <c r="B91" s="1019">
        <f>RESULTATS!R7</f>
        <v>0.96000000000000008</v>
      </c>
      <c r="C91" s="513">
        <f>IF(G35&gt;3,3,G35)</f>
        <v>1.44</v>
      </c>
    </row>
    <row r="92" spans="1:3">
      <c r="A92" s="699" t="str">
        <f>RESULTATS!G8</f>
        <v>Cancer du colon</v>
      </c>
      <c r="B92" s="1019">
        <f>RESULTATS!R8</f>
        <v>1.296</v>
      </c>
      <c r="C92" s="513">
        <f>IF(G8&gt;3,3,G8)</f>
        <v>1.2</v>
      </c>
    </row>
    <row r="93" spans="1:3">
      <c r="A93" s="699" t="str">
        <f>RESULTATS!G9</f>
        <v>Maladie du Foie et lithiase biliaire</v>
      </c>
      <c r="B93" s="1019">
        <f>RESULTATS!R9</f>
        <v>1.4799459449588015</v>
      </c>
      <c r="C93" s="513">
        <f>IF(G12&gt;3,3,G12)</f>
        <v>0.96</v>
      </c>
    </row>
    <row r="94" spans="1:3">
      <c r="A94" s="699" t="str">
        <f>RESULTATS!G10</f>
        <v>Insuffisance thyroidienne</v>
      </c>
      <c r="B94" s="1019">
        <f>RESULTATS!R10</f>
        <v>1</v>
      </c>
      <c r="C94" s="513">
        <f>IF(G22&gt;3,3,G22)</f>
        <v>1.1000000000000001</v>
      </c>
    </row>
    <row r="95" spans="1:3">
      <c r="A95" s="699" t="str">
        <f>RESULTATS!G11</f>
        <v>Dyslipidémie</v>
      </c>
      <c r="B95" s="1019">
        <f>RESULTATS!R11</f>
        <v>4</v>
      </c>
      <c r="C95" s="513">
        <f>IF(G19&gt;3,3,G19)</f>
        <v>3</v>
      </c>
    </row>
    <row r="96" spans="1:3">
      <c r="A96" s="699" t="str">
        <f>RESULTATS!G12</f>
        <v>Diabéte type 2</v>
      </c>
      <c r="B96" s="1019">
        <f>RESULTATS!R12</f>
        <v>1.08</v>
      </c>
      <c r="C96" s="513">
        <f>IF(G20&gt;3,3,G20)</f>
        <v>1.2</v>
      </c>
    </row>
    <row r="97" spans="1:4">
      <c r="A97" s="699" t="str">
        <f>RESULTATS!G13</f>
        <v>Syndrome métabolique</v>
      </c>
      <c r="B97" s="1019">
        <f>RESULTATS!R13</f>
        <v>2</v>
      </c>
      <c r="C97" s="513">
        <f>IF(G21&gt;3,3,G21)</f>
        <v>2.4</v>
      </c>
    </row>
    <row r="98" spans="1:4">
      <c r="A98" s="699" t="str">
        <f>RESULTATS!G14</f>
        <v>Thrombophlébite</v>
      </c>
      <c r="B98" s="1019">
        <f>RESULTATS!R14</f>
        <v>0.90000000000000013</v>
      </c>
      <c r="C98" s="513">
        <f>IF(G2&gt;3,3,G2)</f>
        <v>0.8</v>
      </c>
    </row>
    <row r="99" spans="1:4">
      <c r="A99" s="699" t="str">
        <f>RESULTATS!G15</f>
        <v>Anévrysme et artériopathie</v>
      </c>
      <c r="B99" s="1019">
        <f>RESULTATS!R15</f>
        <v>1.08</v>
      </c>
      <c r="C99" s="513">
        <f>IF(G3&gt;3,3,G3)</f>
        <v>0.8</v>
      </c>
    </row>
    <row r="100" spans="1:4">
      <c r="A100" s="699" t="str">
        <f>RESULTATS!G16</f>
        <v>Accident vasculaire cérébral</v>
      </c>
      <c r="B100" s="1019">
        <f>RESULTATS!R16</f>
        <v>0.75574873293706268</v>
      </c>
      <c r="C100" s="513">
        <f>IF(G39&gt;3,3,G39)</f>
        <v>1.7999999999999998</v>
      </c>
    </row>
    <row r="101" spans="1:4">
      <c r="A101" s="699" t="str">
        <f>RESULTATS!G17</f>
        <v>Cardiopathie ischémique</v>
      </c>
      <c r="B101" s="1019">
        <f>RESULTATS!R17</f>
        <v>1.1608500144404341</v>
      </c>
      <c r="C101" s="513">
        <f>IF(G5&gt;3,3,G5)</f>
        <v>0.96</v>
      </c>
    </row>
    <row r="102" spans="1:4">
      <c r="A102" s="699" t="str">
        <f>RESULTATS!G18</f>
        <v>Cancer du poumon</v>
      </c>
      <c r="B102" s="1019">
        <f>RESULTATS!R18</f>
        <v>0.01</v>
      </c>
      <c r="C102" s="513">
        <f>IF(G44&gt;3,3,G44)</f>
        <v>1.2</v>
      </c>
    </row>
    <row r="103" spans="1:4">
      <c r="A103" s="699" t="str">
        <f>RESULTATS!G19</f>
        <v>Cancer ORL</v>
      </c>
      <c r="B103" s="1019">
        <f>RESULTATS!R19</f>
        <v>0.05</v>
      </c>
      <c r="C103" s="513">
        <f>IF(G45&gt;3,3,G45)</f>
        <v>0.52500000000000002</v>
      </c>
    </row>
    <row r="104" spans="1:4">
      <c r="A104" s="699" t="str">
        <f>RESULTATS!G20</f>
        <v>Asthme et BPCO</v>
      </c>
      <c r="B104" s="1019">
        <f>RESULTATS!R20</f>
        <v>0.9</v>
      </c>
      <c r="C104" s="513">
        <f>IF(D104&gt;3,3,D104)</f>
        <v>1.2</v>
      </c>
      <c r="D104" s="513">
        <f>MAX(G46:G47)</f>
        <v>1.2</v>
      </c>
    </row>
    <row r="105" spans="1:4">
      <c r="A105" s="699" t="str">
        <f>RESULTATS!G21</f>
        <v>Mélanome</v>
      </c>
      <c r="B105" s="1019">
        <f>RESULTATS!R21</f>
        <v>0.89999999999999991</v>
      </c>
      <c r="C105" s="513">
        <f>IF(G34&gt;3,3,G34)</f>
        <v>0.9</v>
      </c>
    </row>
    <row r="106" spans="1:4">
      <c r="A106" s="699" t="str">
        <f>RESULTATS!G22</f>
        <v>Cancers Sein-Ovaire-Endométre</v>
      </c>
      <c r="B106" s="1019">
        <f>IF(AUTOQUESTIONNAIRE!F3=1,0.01,RESULTATS!R22)</f>
        <v>0.01</v>
      </c>
      <c r="C106" s="513">
        <f>IF(D106&gt;3,3,D106)</f>
        <v>1.2E-2</v>
      </c>
      <c r="D106" s="513">
        <f>MAX(G50:G52)</f>
        <v>1.2E-2</v>
      </c>
    </row>
    <row r="107" spans="1:4">
      <c r="A107" s="699" t="str">
        <f>RESULTATS!G23</f>
        <v>Tumeur de vessie</v>
      </c>
      <c r="B107" s="1019">
        <f>RESULTATS!R23</f>
        <v>0.09</v>
      </c>
      <c r="C107" s="513">
        <f>IF(G55&gt;3,3,G55)</f>
        <v>0.9</v>
      </c>
    </row>
  </sheetData>
  <autoFilter ref="A1:R66" xr:uid="{A3163DEB-0FF9-4B85-B5DF-385AA855E8CB}"/>
  <sortState xmlns:xlrd2="http://schemas.microsoft.com/office/spreadsheetml/2017/richdata2" ref="A2:I65">
    <sortCondition ref="A2:A65"/>
  </sortState>
  <conditionalFormatting sqref="A1:A68 A80:A1048576">
    <cfRule type="containsText" dxfId="87" priority="14" operator="containsText" text="Respiratoire">
      <formula>NOT(ISERROR(SEARCH("Respiratoire",A1)))</formula>
    </cfRule>
    <cfRule type="containsText" dxfId="86" priority="15" operator="containsText" text="Uro">
      <formula>NOT(ISERROR(SEARCH("Uro",A1)))</formula>
    </cfRule>
    <cfRule type="containsText" dxfId="85" priority="17" operator="containsText" text="Nerveux">
      <formula>NOT(ISERROR(SEARCH("Nerveux",A1)))</formula>
    </cfRule>
    <cfRule type="containsText" dxfId="84" priority="18" operator="containsText" text="Loco">
      <formula>NOT(ISERROR(SEARCH("Loco",A1)))</formula>
    </cfRule>
    <cfRule type="containsText" dxfId="83" priority="19" operator="containsText" text="Hematologie">
      <formula>NOT(ISERROR(SEARCH("Hematologie",A1)))</formula>
    </cfRule>
    <cfRule type="containsText" dxfId="82" priority="20" operator="containsText" text="Endocrino">
      <formula>NOT(ISERROR(SEARCH("Endocrino",A1)))</formula>
    </cfRule>
    <cfRule type="containsText" dxfId="81" priority="21" operator="containsText" text="Digestif">
      <formula>NOT(ISERROR(SEARCH("Digestif",A1)))</formula>
    </cfRule>
    <cfRule type="containsText" dxfId="80" priority="22" operator="containsText" text="Cardio">
      <formula>NOT(ISERROR(SEARCH("Cardio",A1)))</formula>
    </cfRule>
    <cfRule type="containsText" dxfId="79" priority="23" operator="containsText" text="Cancer">
      <formula>NOT(ISERROR(SEARCH("Cancer",A1)))</formula>
    </cfRule>
  </conditionalFormatting>
  <conditionalFormatting sqref="B1">
    <cfRule type="iconSet" priority="1365">
      <iconSet reverse="1">
        <cfvo type="percent" val="0"/>
        <cfvo type="percent" val="33"/>
        <cfvo type="percent" val="67"/>
      </iconSet>
    </cfRule>
  </conditionalFormatting>
  <conditionalFormatting sqref="B1:B42 B44:B1048576">
    <cfRule type="duplicateValues" dxfId="78" priority="1366"/>
  </conditionalFormatting>
  <conditionalFormatting sqref="B3:B6 B9:B11 B13:B17">
    <cfRule type="colorScale" priority="1367">
      <colorScale>
        <cfvo type="min"/>
        <cfvo type="percentile" val="50"/>
        <cfvo type="max"/>
        <color rgb="FF5A8AC6"/>
        <color rgb="FFFCFCFF"/>
        <color rgb="FFF8696B"/>
      </colorScale>
    </cfRule>
  </conditionalFormatting>
  <conditionalFormatting sqref="B12">
    <cfRule type="colorScale" priority="1370">
      <colorScale>
        <cfvo type="min"/>
        <cfvo type="percentile" val="50"/>
        <cfvo type="max"/>
        <color rgb="FF5A8AC6"/>
        <color rgb="FFFCFCFF"/>
        <color rgb="FFF8696B"/>
      </colorScale>
    </cfRule>
  </conditionalFormatting>
  <conditionalFormatting sqref="B19:B20">
    <cfRule type="colorScale" priority="1371">
      <colorScale>
        <cfvo type="min"/>
        <cfvo type="percentile" val="50"/>
        <cfvo type="max"/>
        <color rgb="FF5A8AC6"/>
        <color rgb="FFFCFCFF"/>
        <color rgb="FFF8696B"/>
      </colorScale>
    </cfRule>
  </conditionalFormatting>
  <conditionalFormatting sqref="B22:B23">
    <cfRule type="iconSet" priority="1372">
      <iconSet reverse="1">
        <cfvo type="percent" val="0"/>
        <cfvo type="percent" val="33"/>
        <cfvo type="percent" val="67"/>
      </iconSet>
    </cfRule>
  </conditionalFormatting>
  <conditionalFormatting sqref="B86:B107">
    <cfRule type="colorScale" priority="6">
      <colorScale>
        <cfvo type="min"/>
        <cfvo type="percentile" val="50"/>
        <cfvo type="max"/>
        <color rgb="FF63BE7B"/>
        <color rgb="FFFFEB84"/>
        <color rgb="FFF8696B"/>
      </colorScale>
    </cfRule>
  </conditionalFormatting>
  <conditionalFormatting sqref="C1:C85 C87:C1048576">
    <cfRule type="colorScale" priority="28">
      <colorScale>
        <cfvo type="min"/>
        <cfvo type="percentile" val="50"/>
        <cfvo type="max"/>
        <color rgb="FF63BE7B"/>
        <color rgb="FFFFEB84"/>
        <color rgb="FFF8696B"/>
      </colorScale>
    </cfRule>
  </conditionalFormatting>
  <conditionalFormatting sqref="C87:C107">
    <cfRule type="colorScale" priority="5">
      <colorScale>
        <cfvo type="min"/>
        <cfvo type="percentile" val="50"/>
        <cfvo type="max"/>
        <color rgb="FF63BE7B"/>
        <color rgb="FFFFEB84"/>
        <color rgb="FFF8696B"/>
      </colorScale>
    </cfRule>
  </conditionalFormatting>
  <conditionalFormatting sqref="D1:D85 D87:D103 C86 D107:D1048576 D105">
    <cfRule type="colorScale" priority="30">
      <colorScale>
        <cfvo type="min"/>
        <cfvo type="percentile" val="50"/>
        <cfvo type="max"/>
        <color rgb="FF63BE7B"/>
        <color rgb="FFFFEB84"/>
        <color rgb="FFF8696B"/>
      </colorScale>
    </cfRule>
  </conditionalFormatting>
  <conditionalFormatting sqref="D104">
    <cfRule type="colorScale" priority="1">
      <colorScale>
        <cfvo type="min"/>
        <cfvo type="percentile" val="50"/>
        <cfvo type="max"/>
        <color rgb="FF63BE7B"/>
        <color rgb="FFFFEB84"/>
        <color rgb="FFF8696B"/>
      </colorScale>
    </cfRule>
    <cfRule type="colorScale" priority="2">
      <colorScale>
        <cfvo type="min"/>
        <cfvo type="percentile" val="50"/>
        <cfvo type="max"/>
        <color rgb="FF63BE7B"/>
        <color rgb="FFFFEB84"/>
        <color rgb="FFF8696B"/>
      </colorScale>
    </cfRule>
  </conditionalFormatting>
  <conditionalFormatting sqref="D106">
    <cfRule type="colorScale" priority="3">
      <colorScale>
        <cfvo type="min"/>
        <cfvo type="percentile" val="50"/>
        <cfvo type="max"/>
        <color rgb="FF63BE7B"/>
        <color rgb="FFFFEB84"/>
        <color rgb="FFF8696B"/>
      </colorScale>
    </cfRule>
    <cfRule type="colorScale" priority="4">
      <colorScale>
        <cfvo type="min"/>
        <cfvo type="percentile" val="50"/>
        <cfvo type="max"/>
        <color rgb="FF63BE7B"/>
        <color rgb="FFFFEB84"/>
        <color rgb="FFF8696B"/>
      </colorScale>
    </cfRule>
  </conditionalFormatting>
  <conditionalFormatting sqref="E3">
    <cfRule type="colorScale" priority="31">
      <colorScale>
        <cfvo type="min"/>
        <cfvo type="percentile" val="50"/>
        <cfvo type="max"/>
        <color rgb="FF63BE7B"/>
        <color rgb="FFFFEB84"/>
        <color rgb="FFF8696B"/>
      </colorScale>
    </cfRule>
  </conditionalFormatting>
  <conditionalFormatting sqref="G1:G1048576">
    <cfRule type="colorScale" priority="27">
      <colorScale>
        <cfvo type="min"/>
        <cfvo type="percentile" val="50"/>
        <cfvo type="max"/>
        <color rgb="FF63BE7B"/>
        <color rgb="FFFFEB84"/>
        <color rgb="FFF8696B"/>
      </colorScale>
    </cfRule>
  </conditionalFormatting>
  <conditionalFormatting sqref="J1:L3 J4:K4 J5:L5 J6:K7 J8:L8 J9:K13 J14:L15 J16:K18 J19:L31 J32:K32 J33:L41 J42:K43 J44:L64 J65:K66 J67:L1048576">
    <cfRule type="cellIs" dxfId="77" priority="10" operator="equal">
      <formula>"Usuel"</formula>
    </cfRule>
    <cfRule type="cellIs" dxfId="76" priority="11" operator="equal">
      <formula>"Alerte"</formula>
    </cfRule>
    <cfRule type="cellIs" dxfId="75" priority="12" operator="equal">
      <formula>"Vigilance"</formula>
    </cfRule>
    <cfRule type="cellIs" dxfId="74" priority="13" operator="equal">
      <formula>"Suivi"</formula>
    </cfRule>
  </conditionalFormatting>
  <conditionalFormatting sqref="M1:O1048576">
    <cfRule type="colorScale" priority="9">
      <colorScale>
        <cfvo type="min"/>
        <cfvo type="percentile" val="50"/>
        <cfvo type="max"/>
        <color rgb="FF63BE7B"/>
        <color rgb="FFFFEB84"/>
        <color rgb="FFF8696B"/>
      </colorScale>
    </cfRule>
  </conditionalFormatting>
  <conditionalFormatting sqref="P1:P1048576">
    <cfRule type="colorScale" priority="7">
      <colorScale>
        <cfvo type="min"/>
        <cfvo type="percentile" val="50"/>
        <cfvo type="max"/>
        <color rgb="FF63BE7B"/>
        <color rgb="FFFFEB84"/>
        <color rgb="FFF8696B"/>
      </colorScale>
    </cfRule>
  </conditionalFormatting>
  <conditionalFormatting sqref="P2:P65">
    <cfRule type="colorScale" priority="8">
      <colorScale>
        <cfvo type="min"/>
        <cfvo type="percentile" val="50"/>
        <cfvo type="max"/>
        <color rgb="FF63BE7B"/>
        <color rgb="FFFFEB84"/>
        <color rgb="FFF8696B"/>
      </colorScale>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D7B44-90B3-4743-BBC8-3300D7AB1983}">
  <sheetPr codeName="Feuil12">
    <tabColor rgb="FF9966FF"/>
    <pageSetUpPr fitToPage="1"/>
  </sheetPr>
  <dimension ref="A1:DL208"/>
  <sheetViews>
    <sheetView zoomScale="83" zoomScaleNormal="83" workbookViewId="0">
      <pane xSplit="5" ySplit="2" topLeftCell="F201" activePane="bottomRight" state="frozen"/>
      <selection pane="topRight" activeCell="F1" sqref="F1"/>
      <selection pane="bottomLeft" activeCell="A3" sqref="A3"/>
      <selection pane="bottomRight" activeCell="F208" sqref="F208"/>
    </sheetView>
  </sheetViews>
  <sheetFormatPr baseColWidth="10" defaultColWidth="26.21875" defaultRowHeight="14.4"/>
  <cols>
    <col min="1" max="1" width="6.33203125" style="351" customWidth="1"/>
    <col min="2" max="2" width="48.77734375" style="633" customWidth="1"/>
    <col min="3" max="3" width="4.88671875" style="397" bestFit="1" customWidth="1"/>
    <col min="4" max="4" width="17.6640625" style="393" customWidth="1"/>
    <col min="5" max="5" width="4" style="393" bestFit="1" customWidth="1"/>
    <col min="6" max="24" width="3.5546875" style="436" customWidth="1"/>
    <col min="25" max="25" width="3.5546875" style="933" customWidth="1"/>
    <col min="26" max="36" width="3.5546875" style="436" customWidth="1"/>
    <col min="37" max="37" width="5" style="436" customWidth="1"/>
    <col min="38" max="38" width="3.5546875" style="436" customWidth="1"/>
    <col min="39" max="41" width="3.5546875" style="438" customWidth="1"/>
    <col min="42" max="42" width="5.77734375" style="438" customWidth="1"/>
    <col min="43" max="49" width="3.5546875" style="438" customWidth="1"/>
    <col min="50" max="52" width="5.5546875" style="438" customWidth="1"/>
    <col min="53" max="71" width="5.5546875" style="436" customWidth="1"/>
    <col min="72" max="72" width="7.5546875" style="712" customWidth="1"/>
    <col min="73" max="90" width="5.5546875" style="404" customWidth="1"/>
    <col min="91" max="93" width="5.5546875" style="393" customWidth="1"/>
    <col min="94" max="16384" width="26.21875" style="393"/>
  </cols>
  <sheetData>
    <row r="1" spans="1:101">
      <c r="A1" s="350" t="s">
        <v>1136</v>
      </c>
      <c r="B1" s="624" t="s">
        <v>1137</v>
      </c>
      <c r="BT1" s="140" t="s">
        <v>55</v>
      </c>
    </row>
    <row r="2" spans="1:101" ht="336.6">
      <c r="A2" s="406"/>
      <c r="B2" s="311" t="str">
        <f>AUTOQUESTIONNAIRE!D2</f>
        <v>REFERENCE</v>
      </c>
      <c r="F2" s="437" t="s">
        <v>1155</v>
      </c>
      <c r="G2" s="437" t="s">
        <v>1262</v>
      </c>
      <c r="H2" s="437" t="s">
        <v>1263</v>
      </c>
      <c r="I2" s="437" t="s">
        <v>1157</v>
      </c>
      <c r="J2" s="437" t="s">
        <v>1158</v>
      </c>
      <c r="K2" s="437" t="s">
        <v>1304</v>
      </c>
      <c r="L2" s="437" t="s">
        <v>1303</v>
      </c>
      <c r="M2" s="437" t="s">
        <v>1298</v>
      </c>
      <c r="N2" s="437" t="s">
        <v>1159</v>
      </c>
      <c r="O2" s="437" t="s">
        <v>1160</v>
      </c>
      <c r="P2" s="437" t="s">
        <v>1161</v>
      </c>
      <c r="Q2" s="437" t="s">
        <v>1162</v>
      </c>
      <c r="R2" s="437" t="s">
        <v>2718</v>
      </c>
      <c r="S2" s="437" t="s">
        <v>1163</v>
      </c>
      <c r="T2" s="437" t="s">
        <v>1297</v>
      </c>
      <c r="U2" s="437" t="s">
        <v>1267</v>
      </c>
      <c r="V2" s="437" t="s">
        <v>1266</v>
      </c>
      <c r="W2" s="437" t="s">
        <v>1269</v>
      </c>
      <c r="X2" s="437" t="s">
        <v>1174</v>
      </c>
      <c r="Y2" s="934" t="s">
        <v>1268</v>
      </c>
      <c r="Z2" s="437" t="s">
        <v>1164</v>
      </c>
      <c r="AA2" s="437" t="s">
        <v>1265</v>
      </c>
      <c r="AB2" s="437" t="s">
        <v>1264</v>
      </c>
      <c r="AC2" s="437" t="s">
        <v>1316</v>
      </c>
      <c r="AD2" s="437"/>
      <c r="AE2" s="932" t="s">
        <v>1352</v>
      </c>
      <c r="AF2" s="932" t="s">
        <v>1300</v>
      </c>
      <c r="AG2" s="932" t="s">
        <v>1299</v>
      </c>
      <c r="AH2" s="932" t="s">
        <v>1305</v>
      </c>
      <c r="AI2" s="648" t="s">
        <v>1359</v>
      </c>
      <c r="AJ2" s="648" t="s">
        <v>1344</v>
      </c>
      <c r="AK2" s="648" t="s">
        <v>1312</v>
      </c>
      <c r="AL2" s="648" t="s">
        <v>1342</v>
      </c>
      <c r="AM2" s="649" t="s">
        <v>1306</v>
      </c>
      <c r="AN2" s="649" t="s">
        <v>1307</v>
      </c>
      <c r="AO2" s="649" t="s">
        <v>1308</v>
      </c>
      <c r="AP2" s="649" t="s">
        <v>1309</v>
      </c>
      <c r="AQ2" s="649" t="s">
        <v>1310</v>
      </c>
      <c r="AR2" s="649" t="s">
        <v>1311</v>
      </c>
      <c r="AS2" s="649" t="s">
        <v>1357</v>
      </c>
      <c r="AT2" s="649" t="s">
        <v>2338</v>
      </c>
      <c r="AU2" s="649" t="s">
        <v>1356</v>
      </c>
      <c r="AV2" s="649" t="s">
        <v>1448</v>
      </c>
      <c r="AW2" s="649" t="s">
        <v>1449</v>
      </c>
      <c r="AX2" s="650" t="s">
        <v>1313</v>
      </c>
      <c r="AY2" s="650" t="s">
        <v>1314</v>
      </c>
      <c r="AZ2" s="650" t="s">
        <v>1315</v>
      </c>
      <c r="BA2" s="650" t="s">
        <v>1320</v>
      </c>
      <c r="BB2" s="651" t="s">
        <v>1390</v>
      </c>
      <c r="BC2" s="651" t="s">
        <v>1391</v>
      </c>
      <c r="BD2" s="651" t="s">
        <v>1392</v>
      </c>
      <c r="BE2" s="651" t="s">
        <v>2173</v>
      </c>
      <c r="BF2" s="651" t="s">
        <v>2177</v>
      </c>
      <c r="BG2" s="651" t="s">
        <v>1393</v>
      </c>
      <c r="BH2" s="651" t="s">
        <v>2178</v>
      </c>
      <c r="BI2" s="800" t="s">
        <v>2174</v>
      </c>
      <c r="BJ2" s="800" t="s">
        <v>2175</v>
      </c>
      <c r="BK2" s="800" t="s">
        <v>2695</v>
      </c>
      <c r="BL2" s="800" t="s">
        <v>2696</v>
      </c>
      <c r="BM2" s="800" t="s">
        <v>2176</v>
      </c>
      <c r="BN2" s="437" t="s">
        <v>1394</v>
      </c>
      <c r="BO2" s="437" t="s">
        <v>1395</v>
      </c>
      <c r="BP2" s="437" t="s">
        <v>1396</v>
      </c>
      <c r="BQ2" s="437" t="s">
        <v>1397</v>
      </c>
      <c r="BR2" s="437" t="s">
        <v>1398</v>
      </c>
      <c r="BS2" s="437" t="s">
        <v>1708</v>
      </c>
      <c r="BT2" s="925" t="s">
        <v>2007</v>
      </c>
      <c r="BU2" s="806" t="s">
        <v>2196</v>
      </c>
      <c r="BV2" s="807" t="s">
        <v>2201</v>
      </c>
      <c r="BW2" s="807" t="s">
        <v>1697</v>
      </c>
      <c r="BX2" s="806" t="s">
        <v>1691</v>
      </c>
      <c r="BY2" s="806" t="s">
        <v>1692</v>
      </c>
      <c r="BZ2" s="806" t="s">
        <v>1693</v>
      </c>
      <c r="CA2" s="806" t="s">
        <v>1695</v>
      </c>
      <c r="CB2" s="807" t="s">
        <v>2184</v>
      </c>
      <c r="CC2" s="808" t="s">
        <v>2189</v>
      </c>
      <c r="CD2" s="808" t="s">
        <v>2190</v>
      </c>
      <c r="CE2" s="808" t="s">
        <v>2198</v>
      </c>
      <c r="CF2" s="808" t="s">
        <v>2191</v>
      </c>
      <c r="CG2" s="808" t="s">
        <v>2192</v>
      </c>
      <c r="CH2" s="808" t="s">
        <v>2193</v>
      </c>
      <c r="CI2" s="808" t="s">
        <v>2194</v>
      </c>
      <c r="CJ2" s="808" t="s">
        <v>2195</v>
      </c>
      <c r="CK2" s="809" t="s">
        <v>2197</v>
      </c>
      <c r="CL2" s="809" t="s">
        <v>2199</v>
      </c>
      <c r="CM2" s="435"/>
      <c r="CN2" s="435"/>
      <c r="CO2" s="435"/>
      <c r="CP2" s="435"/>
      <c r="CQ2" s="435"/>
      <c r="CR2" s="435"/>
      <c r="CS2" s="435"/>
      <c r="CT2" s="435"/>
      <c r="CU2" s="435"/>
      <c r="CV2" s="435"/>
      <c r="CW2" s="435"/>
    </row>
    <row r="3" spans="1:101">
      <c r="A3" s="407" t="s">
        <v>1018</v>
      </c>
      <c r="B3" s="625" t="str">
        <f>AUTOQUESTIONNAIRE!D3</f>
        <v>Quel est votre sexe assigné à la naissance ? (Données utilisées pour les courbes de référence médicale)  "H"=1;"F"=0</v>
      </c>
      <c r="C3" s="394"/>
      <c r="F3" s="438"/>
      <c r="G3" s="438"/>
      <c r="H3" s="438"/>
      <c r="I3" s="438"/>
      <c r="J3" s="438"/>
      <c r="K3" s="438">
        <f>AUTOQUESTIONNAIRE!H3</f>
        <v>1</v>
      </c>
      <c r="L3" s="438">
        <f>AUTOQUESTIONNAIRE!I3</f>
        <v>0</v>
      </c>
      <c r="M3" s="438"/>
      <c r="N3" s="438">
        <f>AUTOQUESTIONNAIRE!H3</f>
        <v>1</v>
      </c>
      <c r="O3" s="438"/>
      <c r="P3" s="438"/>
      <c r="Q3" s="438"/>
      <c r="R3" s="438"/>
      <c r="S3" s="438"/>
      <c r="T3" s="438"/>
      <c r="U3" s="438"/>
      <c r="V3" s="438"/>
      <c r="W3" s="438"/>
      <c r="X3" s="438"/>
      <c r="Y3" s="935"/>
      <c r="Z3" s="438"/>
      <c r="AA3" s="438"/>
      <c r="AI3" s="652"/>
      <c r="AM3" s="438">
        <f>E4</f>
        <v>1</v>
      </c>
      <c r="AP3" s="438">
        <f>AUTOQUESTIONNAIRE!I3</f>
        <v>0</v>
      </c>
      <c r="BS3" s="436">
        <f>AUTOQUESTIONNAIRE!I3</f>
        <v>0</v>
      </c>
      <c r="BT3" s="700" t="s">
        <v>1942</v>
      </c>
      <c r="CH3" s="404">
        <f>IF(RRImmédiat!$G3&gt;1.2,1,0)</f>
        <v>0</v>
      </c>
    </row>
    <row r="4" spans="1:101">
      <c r="A4" s="407" t="s">
        <v>1018</v>
      </c>
      <c r="B4" s="625" t="str">
        <f>AUTOQUESTIONNAIRE!D4</f>
        <v>Quel est votre âge ? // Quelle est votre date de naissance ? (Données utilisées pour les courbes de référence médicale)</v>
      </c>
      <c r="C4" s="394">
        <f>AUTOQUESTIONNAIRE!F4</f>
        <v>65</v>
      </c>
      <c r="D4" s="395" t="s">
        <v>203</v>
      </c>
      <c r="E4" s="395">
        <f>IF(C4&gt;50,1,0)</f>
        <v>1</v>
      </c>
      <c r="F4" s="438">
        <f>$E4</f>
        <v>1</v>
      </c>
      <c r="G4" s="438">
        <f t="shared" ref="G4:Y4" si="0">$E4</f>
        <v>1</v>
      </c>
      <c r="H4" s="438">
        <f t="shared" si="0"/>
        <v>1</v>
      </c>
      <c r="I4" s="438">
        <f t="shared" si="0"/>
        <v>1</v>
      </c>
      <c r="J4" s="438">
        <f t="shared" si="0"/>
        <v>1</v>
      </c>
      <c r="K4" s="438">
        <f t="shared" si="0"/>
        <v>1</v>
      </c>
      <c r="L4" s="438">
        <f t="shared" si="0"/>
        <v>1</v>
      </c>
      <c r="M4" s="438"/>
      <c r="N4" s="438">
        <f t="shared" si="0"/>
        <v>1</v>
      </c>
      <c r="O4" s="438"/>
      <c r="P4" s="438"/>
      <c r="Q4" s="438">
        <f t="shared" si="0"/>
        <v>1</v>
      </c>
      <c r="R4" s="438"/>
      <c r="S4" s="438">
        <f t="shared" si="0"/>
        <v>1</v>
      </c>
      <c r="T4" s="438"/>
      <c r="U4" s="438"/>
      <c r="V4" s="438"/>
      <c r="W4" s="438">
        <f t="shared" si="0"/>
        <v>1</v>
      </c>
      <c r="X4" s="438"/>
      <c r="Y4" s="935">
        <f t="shared" si="0"/>
        <v>1</v>
      </c>
      <c r="Z4" s="438"/>
      <c r="AA4" s="438"/>
      <c r="AB4" s="438"/>
      <c r="AC4" s="438"/>
      <c r="AD4" s="438"/>
      <c r="AE4" s="438"/>
      <c r="AI4" s="652"/>
      <c r="BB4" s="438">
        <f>IF(C4&gt;65,1,0)</f>
        <v>0</v>
      </c>
      <c r="BN4" s="436">
        <f>IF($C$4&gt;50,1,0)</f>
        <v>1</v>
      </c>
      <c r="BO4" s="436">
        <f t="shared" ref="BO4:BP4" si="1">IF($C$4&gt;50,1,0)</f>
        <v>1</v>
      </c>
      <c r="BP4" s="436">
        <f t="shared" si="1"/>
        <v>1</v>
      </c>
      <c r="BS4" s="436">
        <f t="shared" ref="BS4" si="2">IF($C$4&gt;50,1,0)</f>
        <v>1</v>
      </c>
      <c r="BT4" s="700" t="s">
        <v>2008</v>
      </c>
      <c r="CH4" s="404">
        <f>IF(RRImmédiat!$G4&gt;1.2,1,0)</f>
        <v>0</v>
      </c>
    </row>
    <row r="5" spans="1:101">
      <c r="A5" s="407" t="s">
        <v>1018</v>
      </c>
      <c r="B5" s="625" t="str">
        <f>AUTOQUESTIONNAIRE!D5</f>
        <v>Quelle est votre origine ethnique principale ? (Européen(ne) ou Hispanique "0" , Asiatique ou Indien(ne) "1", Africain(e) ou AfroCarribéen(ne) "2", Ne souhaite pas répondre (défaut "0")) (Données utilisées pour les courbes de référence médicale)</v>
      </c>
      <c r="C5" s="394">
        <f>AUTOQUESTIONNAIRE!G5</f>
        <v>0</v>
      </c>
      <c r="F5" s="438"/>
      <c r="G5" s="438"/>
      <c r="H5" s="438"/>
      <c r="I5" s="438"/>
      <c r="J5" s="438"/>
      <c r="K5" s="438"/>
      <c r="L5" s="438"/>
      <c r="M5" s="438"/>
      <c r="N5" s="438"/>
      <c r="O5" s="438"/>
      <c r="P5" s="438"/>
      <c r="Q5" s="438"/>
      <c r="R5" s="438"/>
      <c r="S5" s="438"/>
      <c r="T5" s="438"/>
      <c r="U5" s="438"/>
      <c r="V5" s="438"/>
      <c r="W5" s="438"/>
      <c r="X5" s="438"/>
      <c r="Y5" s="935"/>
      <c r="Z5" s="438"/>
      <c r="AA5" s="438"/>
      <c r="AI5" s="652"/>
      <c r="BT5" s="700" t="s">
        <v>48</v>
      </c>
      <c r="CG5" s="404">
        <f>IF(RRImmédiat!$G5&gt;1.2,1,0)</f>
        <v>0</v>
      </c>
    </row>
    <row r="6" spans="1:101">
      <c r="A6" s="407" t="s">
        <v>1018</v>
      </c>
      <c r="B6" s="625" t="str">
        <f>AUTOQUESTIONNAIRE!D6</f>
        <v>Quelle est votre taille (en cm) ?</v>
      </c>
      <c r="C6" s="394"/>
      <c r="F6" s="438"/>
      <c r="G6" s="438"/>
      <c r="H6" s="438"/>
      <c r="I6" s="438"/>
      <c r="J6" s="438"/>
      <c r="K6" s="438"/>
      <c r="L6" s="438"/>
      <c r="M6" s="438"/>
      <c r="N6" s="438"/>
      <c r="O6" s="438"/>
      <c r="P6" s="438"/>
      <c r="Q6" s="438"/>
      <c r="R6" s="438"/>
      <c r="S6" s="438"/>
      <c r="T6" s="438"/>
      <c r="U6" s="438"/>
      <c r="V6" s="438"/>
      <c r="W6" s="438"/>
      <c r="X6" s="438"/>
      <c r="Y6" s="935"/>
      <c r="Z6" s="438"/>
      <c r="AA6" s="438"/>
      <c r="AI6" s="652"/>
      <c r="BT6" s="564" t="s">
        <v>897</v>
      </c>
      <c r="CH6" s="404">
        <f>IF(RRImmédiat!$G6&gt;1.2,1,0)</f>
        <v>1</v>
      </c>
    </row>
    <row r="7" spans="1:101">
      <c r="A7" s="407" t="s">
        <v>1018</v>
      </c>
      <c r="B7" s="625" t="str">
        <f>AUTOQUESTIONNAIRE!D7</f>
        <v>Quel est votre poids (en kg) ?</v>
      </c>
      <c r="C7" s="394">
        <f>AUTOQUESTIONNAIRE!H6</f>
        <v>0.37037037037037035</v>
      </c>
      <c r="D7" s="395" t="s">
        <v>0</v>
      </c>
      <c r="E7" s="395">
        <f>IF(C7&gt;0.28,1,0)</f>
        <v>1</v>
      </c>
      <c r="F7" s="438">
        <f>$E7</f>
        <v>1</v>
      </c>
      <c r="G7" s="438">
        <f t="shared" ref="G7:V7" si="3">$E7</f>
        <v>1</v>
      </c>
      <c r="H7" s="438">
        <f t="shared" si="3"/>
        <v>1</v>
      </c>
      <c r="I7" s="438">
        <f t="shared" si="3"/>
        <v>1</v>
      </c>
      <c r="J7" s="438">
        <f t="shared" si="3"/>
        <v>1</v>
      </c>
      <c r="K7" s="438">
        <f t="shared" si="3"/>
        <v>1</v>
      </c>
      <c r="L7" s="438">
        <f t="shared" si="3"/>
        <v>1</v>
      </c>
      <c r="M7" s="438"/>
      <c r="N7" s="438"/>
      <c r="O7" s="438"/>
      <c r="P7" s="438"/>
      <c r="Q7" s="438">
        <f t="shared" si="3"/>
        <v>1</v>
      </c>
      <c r="R7" s="438"/>
      <c r="S7" s="438">
        <f t="shared" si="3"/>
        <v>1</v>
      </c>
      <c r="T7" s="438"/>
      <c r="U7" s="438"/>
      <c r="V7" s="438">
        <f t="shared" si="3"/>
        <v>1</v>
      </c>
      <c r="W7" s="438"/>
      <c r="X7" s="438"/>
      <c r="Y7" s="935"/>
      <c r="Z7" s="438"/>
      <c r="AA7" s="438"/>
      <c r="AB7" s="438"/>
      <c r="AC7" s="438"/>
      <c r="AD7" s="438"/>
      <c r="AE7" s="438">
        <f>$E7</f>
        <v>1</v>
      </c>
      <c r="AI7" s="653"/>
      <c r="AQ7" s="438">
        <f>$E7</f>
        <v>1</v>
      </c>
      <c r="BT7" s="564" t="s">
        <v>898</v>
      </c>
    </row>
    <row r="8" spans="1:101">
      <c r="A8" s="408" t="s">
        <v>1102</v>
      </c>
      <c r="B8" s="311" t="str">
        <f>AUTOQUESTIONNAIRE!D8</f>
        <v>Avez-vous un rôle d’aidant ou des personnes à charge à la maison (enfants, personnes en situation de handicap ou âgées) ?  (non=0, oui=1)</v>
      </c>
      <c r="C8" s="394"/>
      <c r="F8" s="438"/>
      <c r="G8" s="438"/>
      <c r="H8" s="438"/>
      <c r="I8" s="438"/>
      <c r="J8" s="438"/>
      <c r="K8" s="438"/>
      <c r="L8" s="438"/>
      <c r="M8" s="438"/>
      <c r="N8" s="438"/>
      <c r="O8" s="438"/>
      <c r="P8" s="438"/>
      <c r="Q8" s="438"/>
      <c r="R8" s="438"/>
      <c r="S8" s="438"/>
      <c r="T8" s="438"/>
      <c r="U8" s="438"/>
      <c r="V8" s="438"/>
      <c r="W8" s="438"/>
      <c r="X8" s="438"/>
      <c r="Y8" s="935"/>
      <c r="Z8" s="438"/>
      <c r="AA8" s="438"/>
      <c r="AI8" s="652"/>
      <c r="BT8" s="611" t="s">
        <v>2011</v>
      </c>
    </row>
    <row r="9" spans="1:101">
      <c r="A9" s="408" t="s">
        <v>1102</v>
      </c>
      <c r="B9" s="311" t="str">
        <f>AUTOQUESTIONNAIRE!D9</f>
        <v>En cas de besoin, pouvez-vous compter sur quelqu’un de votre entourage proche pour vous aider ?  (non=0, oui=1)</v>
      </c>
      <c r="C9" s="394"/>
      <c r="F9" s="438"/>
      <c r="G9" s="438"/>
      <c r="H9" s="438"/>
      <c r="I9" s="438"/>
      <c r="J9" s="438"/>
      <c r="K9" s="438"/>
      <c r="L9" s="438"/>
      <c r="M9" s="438"/>
      <c r="N9" s="438"/>
      <c r="O9" s="438"/>
      <c r="P9" s="438"/>
      <c r="Q9" s="438"/>
      <c r="R9" s="438"/>
      <c r="S9" s="438"/>
      <c r="T9" s="438"/>
      <c r="U9" s="438"/>
      <c r="V9" s="438"/>
      <c r="W9" s="438"/>
      <c r="X9" s="438"/>
      <c r="Y9" s="935"/>
      <c r="Z9" s="438"/>
      <c r="AA9" s="438"/>
      <c r="AI9" s="652"/>
      <c r="BT9" s="611" t="s">
        <v>888</v>
      </c>
    </row>
    <row r="10" spans="1:101">
      <c r="A10" s="408" t="s">
        <v>1102</v>
      </c>
      <c r="B10" s="311" t="str">
        <f>AUTOQUESTIONNAIRE!D10</f>
        <v>Quelle est votre occupation ? Étudiant·e (0) ; Salarié·e (1) ; Indépendant·e (1); En congé (parental, médical, sabbatique) (1) ; Étudiant·e et salarié·e (1) ; Sans emploi (en recherche) (2) ; Retraité·e (3) ; Parent au foyer / aidant·e (4); Autre (5)</v>
      </c>
      <c r="C10" s="394"/>
      <c r="F10" s="438"/>
      <c r="G10" s="438"/>
      <c r="H10" s="438"/>
      <c r="I10" s="438"/>
      <c r="J10" s="438"/>
      <c r="K10" s="438"/>
      <c r="L10" s="438"/>
      <c r="M10" s="438"/>
      <c r="N10" s="438"/>
      <c r="O10" s="438"/>
      <c r="P10" s="438"/>
      <c r="Q10" s="438"/>
      <c r="R10" s="438"/>
      <c r="S10" s="438"/>
      <c r="T10" s="438"/>
      <c r="U10" s="438"/>
      <c r="V10" s="438"/>
      <c r="W10" s="438"/>
      <c r="X10" s="438"/>
      <c r="Y10" s="935"/>
      <c r="Z10" s="438"/>
      <c r="AA10" s="438"/>
      <c r="AI10" s="652"/>
      <c r="BT10" s="611" t="s">
        <v>889</v>
      </c>
      <c r="CE10" s="404">
        <f>IF(RRImmédiat!$G10&gt;1.2,1,0)</f>
        <v>0</v>
      </c>
    </row>
    <row r="11" spans="1:101">
      <c r="A11" s="408" t="s">
        <v>1102</v>
      </c>
      <c r="B11" s="311" t="str">
        <f>AUTOQUESTIONNAIRE!D11</f>
        <v>Vous habitez : 
(0=Seul·e; 1=Avec vos parents ou votre famille ; 1=Avec un·e partenaire ; 1=En colocation / logement partagé ; 1=Autre)</v>
      </c>
      <c r="C11" s="394"/>
      <c r="F11" s="438"/>
      <c r="G11" s="438"/>
      <c r="H11" s="438"/>
      <c r="I11" s="438"/>
      <c r="J11" s="438"/>
      <c r="K11" s="438"/>
      <c r="L11" s="438"/>
      <c r="M11" s="438"/>
      <c r="N11" s="438"/>
      <c r="O11" s="438"/>
      <c r="P11" s="438"/>
      <c r="Q11" s="438"/>
      <c r="R11" s="438"/>
      <c r="S11" s="438"/>
      <c r="T11" s="438"/>
      <c r="U11" s="438"/>
      <c r="V11" s="438"/>
      <c r="W11" s="438"/>
      <c r="X11" s="438"/>
      <c r="Y11" s="935"/>
      <c r="Z11" s="438"/>
      <c r="AA11" s="438"/>
      <c r="AI11" s="652"/>
      <c r="BT11" s="611" t="s">
        <v>1684</v>
      </c>
      <c r="CF11" s="404">
        <f>IF(RRImmédiat!$G11&gt;1.2,1,0)</f>
        <v>0</v>
      </c>
    </row>
    <row r="12" spans="1:101">
      <c r="A12" s="408" t="s">
        <v>1102</v>
      </c>
      <c r="B12" s="311" t="str">
        <f>AUTOQUESTIONNAIRE!D12</f>
        <v>Prévoyez-vous d’avoir un enfant dans les cinq prochaines années ? (oui=1, non=0, ne sais pas=2)</v>
      </c>
      <c r="C12" s="394"/>
      <c r="F12" s="438"/>
      <c r="G12" s="438"/>
      <c r="H12" s="438"/>
      <c r="I12" s="438"/>
      <c r="J12" s="438"/>
      <c r="K12" s="438"/>
      <c r="L12" s="438"/>
      <c r="M12" s="438"/>
      <c r="N12" s="438"/>
      <c r="O12" s="438"/>
      <c r="P12" s="438"/>
      <c r="Q12" s="438"/>
      <c r="R12" s="438"/>
      <c r="S12" s="438"/>
      <c r="T12" s="438"/>
      <c r="U12" s="438"/>
      <c r="V12" s="438"/>
      <c r="W12" s="438"/>
      <c r="X12" s="438"/>
      <c r="Y12" s="935"/>
      <c r="Z12" s="438"/>
      <c r="AA12" s="438"/>
      <c r="AI12" s="652"/>
      <c r="BT12" s="610" t="s">
        <v>2012</v>
      </c>
      <c r="CE12" s="404">
        <f>IF(RRImmédiat!$G12&gt;1.2,1,0)</f>
        <v>0</v>
      </c>
    </row>
    <row r="13" spans="1:101">
      <c r="A13" s="408" t="s">
        <v>1102</v>
      </c>
      <c r="B13" s="311" t="str">
        <f>AUTOQUESTIONNAIRE!D13</f>
        <v>Au cours des six derniers mois, avez-vous eu des contacts avec des proches ou des amis ? (non=0, oui=1)</v>
      </c>
      <c r="C13" s="394"/>
      <c r="F13" s="438"/>
      <c r="G13" s="438"/>
      <c r="H13" s="438"/>
      <c r="I13" s="438"/>
      <c r="J13" s="438"/>
      <c r="K13" s="438"/>
      <c r="L13" s="438"/>
      <c r="M13" s="438"/>
      <c r="N13" s="438"/>
      <c r="O13" s="438"/>
      <c r="P13" s="438"/>
      <c r="Q13" s="438"/>
      <c r="R13" s="438"/>
      <c r="S13" s="438"/>
      <c r="T13" s="438"/>
      <c r="U13" s="438"/>
      <c r="V13" s="438"/>
      <c r="W13" s="438"/>
      <c r="X13" s="438"/>
      <c r="Y13" s="935"/>
      <c r="Z13" s="438"/>
      <c r="AA13" s="438"/>
      <c r="AI13" s="652"/>
      <c r="BT13" s="610" t="s">
        <v>893</v>
      </c>
      <c r="CE13" s="404">
        <f>IF(RRImmédiat!$G13&gt;1.2,1,0)</f>
        <v>0</v>
      </c>
    </row>
    <row r="14" spans="1:101">
      <c r="A14" s="408" t="s">
        <v>1102</v>
      </c>
      <c r="B14" s="311" t="str">
        <f>AUTOQUESTIONNAIRE!D14</f>
        <v>Vos conditions de vie ou de travail sont-elles physiquement exigeantes ?  (non=0, oui=1)</v>
      </c>
      <c r="C14" s="394"/>
      <c r="F14" s="438"/>
      <c r="G14" s="438"/>
      <c r="H14" s="438"/>
      <c r="I14" s="438"/>
      <c r="J14" s="438"/>
      <c r="K14" s="438"/>
      <c r="L14" s="438"/>
      <c r="M14" s="438"/>
      <c r="N14" s="438"/>
      <c r="O14" s="438"/>
      <c r="P14" s="438"/>
      <c r="Q14" s="438"/>
      <c r="R14" s="438"/>
      <c r="S14" s="438"/>
      <c r="T14" s="438"/>
      <c r="U14" s="438"/>
      <c r="V14" s="438"/>
      <c r="W14" s="438"/>
      <c r="X14" s="438"/>
      <c r="Y14" s="935"/>
      <c r="Z14" s="438"/>
      <c r="AA14" s="438"/>
      <c r="AI14" s="652"/>
      <c r="BT14" s="610" t="s">
        <v>894</v>
      </c>
      <c r="CE14" s="404">
        <f>IF(RRImmédiat!$G14&gt;1.2,1,0)</f>
        <v>1</v>
      </c>
    </row>
    <row r="15" spans="1:101">
      <c r="A15" s="408" t="s">
        <v>1102</v>
      </c>
      <c r="B15" s="311" t="str">
        <f>AUTOQUESTIONNAIRE!D15</f>
        <v>Avez-vous un travail de nuit (entre 21h et 7h) ou en horaires décalés (en dehors de la tranche 7h-21h ou 3x8 ou 2x12) ?  (non=0, oui=1)</v>
      </c>
      <c r="C15" s="394"/>
      <c r="F15" s="438"/>
      <c r="G15" s="438"/>
      <c r="H15" s="438"/>
      <c r="I15" s="438"/>
      <c r="J15" s="438"/>
      <c r="K15" s="438"/>
      <c r="L15" s="438"/>
      <c r="M15" s="438"/>
      <c r="N15" s="438"/>
      <c r="O15" s="438"/>
      <c r="P15" s="438"/>
      <c r="Q15" s="438"/>
      <c r="R15" s="438"/>
      <c r="S15" s="438"/>
      <c r="T15" s="438"/>
      <c r="U15" s="438"/>
      <c r="V15" s="438"/>
      <c r="W15" s="438"/>
      <c r="X15" s="438"/>
      <c r="Y15" s="935"/>
      <c r="Z15" s="438"/>
      <c r="AA15" s="438"/>
      <c r="AI15" s="652"/>
      <c r="BT15" s="610" t="s">
        <v>2013</v>
      </c>
    </row>
    <row r="16" spans="1:101">
      <c r="A16" s="408" t="s">
        <v>1102</v>
      </c>
      <c r="B16" s="311" t="str">
        <f>AUTOQUESTIONNAIRE!D16</f>
        <v>Votre logement est-il adapté à votre état de santé ou de celle des personnes que vous accompagnez ?
(par ex. : accessible en cas de mobilité réduite, sécurisé pour prévenir les chutes chez les personnes âgées) (non=0, oui=1)</v>
      </c>
      <c r="C16" s="394"/>
      <c r="F16" s="438"/>
      <c r="G16" s="438"/>
      <c r="H16" s="438"/>
      <c r="I16" s="438"/>
      <c r="J16" s="438"/>
      <c r="K16" s="438"/>
      <c r="L16" s="438"/>
      <c r="M16" s="438"/>
      <c r="N16" s="438"/>
      <c r="O16" s="438"/>
      <c r="P16" s="438"/>
      <c r="Q16" s="438"/>
      <c r="R16" s="438"/>
      <c r="S16" s="438"/>
      <c r="T16" s="438"/>
      <c r="U16" s="438"/>
      <c r="V16" s="438"/>
      <c r="W16" s="438"/>
      <c r="X16" s="438"/>
      <c r="Y16" s="935"/>
      <c r="Z16" s="438"/>
      <c r="AA16" s="438"/>
      <c r="AI16" s="652"/>
      <c r="BT16" s="610" t="s">
        <v>2014</v>
      </c>
    </row>
    <row r="17" spans="1:90">
      <c r="A17" s="408" t="s">
        <v>1102</v>
      </c>
      <c r="B17" s="311" t="str">
        <f>AUTOQUESTIONNAIRE!D17</f>
        <v>Comment ressentez-vous le fait d’être à la retraite ou d’approcher de la retraite ? (Plutôt positivement=1 / Plutôt négativement=0 / Ne me concerne pas=2)</v>
      </c>
      <c r="C17" s="394"/>
      <c r="F17" s="438"/>
      <c r="G17" s="438"/>
      <c r="H17" s="438"/>
      <c r="I17" s="438"/>
      <c r="J17" s="438"/>
      <c r="K17" s="438"/>
      <c r="L17" s="438"/>
      <c r="M17" s="438"/>
      <c r="N17" s="438"/>
      <c r="O17" s="438"/>
      <c r="P17" s="438"/>
      <c r="Q17" s="438"/>
      <c r="R17" s="438"/>
      <c r="S17" s="438"/>
      <c r="T17" s="438"/>
      <c r="U17" s="438"/>
      <c r="V17" s="438"/>
      <c r="W17" s="438"/>
      <c r="X17" s="438"/>
      <c r="Y17" s="935"/>
      <c r="Z17" s="438"/>
      <c r="AA17" s="438"/>
      <c r="AI17" s="652"/>
      <c r="BT17" s="610" t="s">
        <v>896</v>
      </c>
    </row>
    <row r="18" spans="1:90">
      <c r="A18" s="408" t="s">
        <v>1102</v>
      </c>
      <c r="B18" s="311" t="str">
        <f>AUTOQUESTIONNAIRE!D18</f>
        <v>Avez-vous des limitations physiques qui restreignent votre mobilité ou vos activités quotidiennes ? (handicap) (non=0, oui=1)</v>
      </c>
      <c r="C18" s="394"/>
      <c r="F18" s="438"/>
      <c r="G18" s="438"/>
      <c r="H18" s="438"/>
      <c r="I18" s="438"/>
      <c r="J18" s="438"/>
      <c r="K18" s="438"/>
      <c r="L18" s="438"/>
      <c r="M18" s="438"/>
      <c r="N18" s="438"/>
      <c r="O18" s="438"/>
      <c r="P18" s="438"/>
      <c r="Q18" s="438"/>
      <c r="R18" s="438"/>
      <c r="S18" s="438"/>
      <c r="T18" s="438"/>
      <c r="U18" s="438"/>
      <c r="V18" s="438"/>
      <c r="W18" s="438"/>
      <c r="X18" s="438"/>
      <c r="Y18" s="935"/>
      <c r="Z18" s="438"/>
      <c r="AA18" s="438"/>
      <c r="AI18" s="652"/>
      <c r="BT18" s="611" t="s">
        <v>2015</v>
      </c>
    </row>
    <row r="19" spans="1:90">
      <c r="A19" s="408" t="s">
        <v>1102</v>
      </c>
      <c r="B19" s="311" t="str">
        <f>AUTOQUESTIONNAIRE!D19</f>
        <v>Avez-vous déjà été victime de violences physiques, sexuelles ou psychologiques (menaces, chantage, humiliation, agression, mutilation), de harcèlement ou de discrimination ? (non=0, oui=1)</v>
      </c>
      <c r="C19" s="394"/>
      <c r="F19" s="438"/>
      <c r="G19" s="438"/>
      <c r="H19" s="438"/>
      <c r="I19" s="438"/>
      <c r="J19" s="438"/>
      <c r="K19" s="438"/>
      <c r="L19" s="438"/>
      <c r="M19" s="438"/>
      <c r="N19" s="438"/>
      <c r="O19" s="438"/>
      <c r="P19" s="438"/>
      <c r="Q19" s="438"/>
      <c r="R19" s="438"/>
      <c r="S19" s="438"/>
      <c r="T19" s="438"/>
      <c r="U19" s="438"/>
      <c r="V19" s="438"/>
      <c r="W19" s="438"/>
      <c r="X19" s="438"/>
      <c r="Y19" s="935"/>
      <c r="Z19" s="438"/>
      <c r="AA19" s="438"/>
      <c r="AI19" s="652"/>
      <c r="BT19" s="704" t="s">
        <v>42</v>
      </c>
      <c r="CE19" s="404">
        <f>IF(RRImmédiat!$G19&gt;1.2,1,0)</f>
        <v>1</v>
      </c>
      <c r="CH19" s="404">
        <f>IF(RRImmédiat!$G19&gt;1.2,1,0)</f>
        <v>1</v>
      </c>
    </row>
    <row r="20" spans="1:90">
      <c r="A20" s="409"/>
      <c r="B20" s="626"/>
      <c r="C20" s="394"/>
      <c r="F20" s="438"/>
      <c r="G20" s="438"/>
      <c r="H20" s="438"/>
      <c r="I20" s="438"/>
      <c r="J20" s="438"/>
      <c r="K20" s="438"/>
      <c r="L20" s="438"/>
      <c r="M20" s="438"/>
      <c r="N20" s="438"/>
      <c r="O20" s="438"/>
      <c r="P20" s="438"/>
      <c r="Q20" s="438"/>
      <c r="R20" s="438"/>
      <c r="S20" s="438"/>
      <c r="T20" s="438"/>
      <c r="U20" s="438"/>
      <c r="V20" s="438"/>
      <c r="W20" s="438"/>
      <c r="X20" s="438"/>
      <c r="Y20" s="935"/>
      <c r="Z20" s="438"/>
      <c r="AA20" s="438"/>
      <c r="AI20" s="652"/>
      <c r="BT20" s="704" t="s">
        <v>2016</v>
      </c>
      <c r="CH20" s="404">
        <f>IF(RRImmédiat!$G20&gt;1.2,1,0)</f>
        <v>0</v>
      </c>
    </row>
    <row r="21" spans="1:90">
      <c r="A21" s="410" t="s">
        <v>1019</v>
      </c>
      <c r="B21" s="627" t="str">
        <f>AUTOQUESTIONNAIRE!D21</f>
        <v>Etes vous ménopausée? (non=0, oui=1)</v>
      </c>
      <c r="C21" s="394">
        <f>AUTOQUESTIONNAIRE!G21</f>
        <v>0</v>
      </c>
      <c r="F21" s="438">
        <f t="shared" ref="F21:Y36" si="4">$C21</f>
        <v>0</v>
      </c>
      <c r="G21" s="438">
        <f t="shared" si="4"/>
        <v>0</v>
      </c>
      <c r="H21" s="438">
        <f t="shared" si="4"/>
        <v>0</v>
      </c>
      <c r="I21" s="438">
        <f t="shared" si="4"/>
        <v>0</v>
      </c>
      <c r="J21" s="438">
        <f t="shared" si="4"/>
        <v>0</v>
      </c>
      <c r="K21" s="438">
        <f t="shared" si="4"/>
        <v>0</v>
      </c>
      <c r="L21" s="438">
        <f t="shared" si="4"/>
        <v>0</v>
      </c>
      <c r="M21" s="438">
        <f t="shared" si="4"/>
        <v>0</v>
      </c>
      <c r="N21" s="438"/>
      <c r="O21" s="438"/>
      <c r="P21" s="438">
        <f t="shared" si="4"/>
        <v>0</v>
      </c>
      <c r="Q21" s="438">
        <f t="shared" si="4"/>
        <v>0</v>
      </c>
      <c r="R21" s="438"/>
      <c r="S21" s="438">
        <f t="shared" si="4"/>
        <v>0</v>
      </c>
      <c r="T21" s="438"/>
      <c r="U21" s="438"/>
      <c r="V21" s="438">
        <f t="shared" si="4"/>
        <v>0</v>
      </c>
      <c r="W21" s="438"/>
      <c r="X21" s="438"/>
      <c r="Y21" s="935"/>
      <c r="Z21" s="438"/>
      <c r="AA21" s="438"/>
      <c r="AB21" s="438"/>
      <c r="AC21" s="438"/>
      <c r="AD21" s="438"/>
      <c r="AE21" s="438"/>
      <c r="AI21" s="652"/>
      <c r="BT21" s="704" t="s">
        <v>44</v>
      </c>
      <c r="CH21" s="404">
        <f>IF(RRImmédiat!$G21&gt;1.2,1,0)</f>
        <v>1</v>
      </c>
    </row>
    <row r="22" spans="1:90">
      <c r="A22" s="410" t="s">
        <v>1019</v>
      </c>
      <c r="B22" s="627" t="str">
        <f>AUTOQUESTIONNAIRE!D22</f>
        <v>Avez-vous déjà eu un cancer ? (non=0, oui=1)</v>
      </c>
      <c r="C22" s="394">
        <f>AUTOQUESTIONNAIRE!G22</f>
        <v>0</v>
      </c>
      <c r="F22" s="438">
        <f t="shared" si="4"/>
        <v>0</v>
      </c>
      <c r="G22" s="438"/>
      <c r="H22" s="438"/>
      <c r="I22" s="438">
        <f t="shared" si="4"/>
        <v>0</v>
      </c>
      <c r="J22" s="438">
        <f t="shared" si="4"/>
        <v>0</v>
      </c>
      <c r="K22" s="438"/>
      <c r="L22" s="438"/>
      <c r="M22" s="438">
        <f t="shared" si="4"/>
        <v>0</v>
      </c>
      <c r="N22" s="438"/>
      <c r="O22" s="438">
        <f t="shared" si="4"/>
        <v>0</v>
      </c>
      <c r="P22" s="438">
        <f t="shared" si="4"/>
        <v>0</v>
      </c>
      <c r="Q22" s="438">
        <f t="shared" si="4"/>
        <v>0</v>
      </c>
      <c r="R22" s="438"/>
      <c r="S22" s="438">
        <f t="shared" si="4"/>
        <v>0</v>
      </c>
      <c r="T22" s="438"/>
      <c r="U22" s="438"/>
      <c r="V22" s="438"/>
      <c r="W22" s="438"/>
      <c r="X22" s="438"/>
      <c r="Y22" s="935">
        <f t="shared" si="4"/>
        <v>0</v>
      </c>
      <c r="Z22" s="438"/>
      <c r="AA22" s="438">
        <f t="shared" ref="AA22:AB74" si="5">$C22</f>
        <v>0</v>
      </c>
      <c r="AB22" s="438">
        <f t="shared" si="5"/>
        <v>0</v>
      </c>
      <c r="AC22" s="438"/>
      <c r="AD22" s="438"/>
      <c r="AE22" s="438"/>
      <c r="AI22" s="652"/>
      <c r="BT22" s="612" t="s">
        <v>2017</v>
      </c>
      <c r="CL22" s="404">
        <f>IF(RRImmédiat!$G22&gt;1.2,1,0)</f>
        <v>0</v>
      </c>
    </row>
    <row r="23" spans="1:90" s="917" customFormat="1">
      <c r="A23" s="914" t="s">
        <v>1019</v>
      </c>
      <c r="B23" s="915" t="str">
        <f>AUTOQUESTIONNAIRE!D23</f>
        <v>Avez-vous déjà eu un cancer de la prostate ? (non=0, oui=1)</v>
      </c>
      <c r="C23" s="916">
        <f>AUTOQUESTIONNAIRE!G23</f>
        <v>0</v>
      </c>
      <c r="F23" s="918"/>
      <c r="G23" s="918"/>
      <c r="H23" s="918"/>
      <c r="I23" s="918"/>
      <c r="J23" s="918"/>
      <c r="K23" s="918">
        <f t="shared" si="4"/>
        <v>0</v>
      </c>
      <c r="L23" s="918"/>
      <c r="M23" s="918">
        <f t="shared" si="4"/>
        <v>0</v>
      </c>
      <c r="N23" s="918">
        <f t="shared" si="4"/>
        <v>0</v>
      </c>
      <c r="O23" s="918"/>
      <c r="P23" s="918"/>
      <c r="Q23" s="918"/>
      <c r="R23" s="918"/>
      <c r="S23" s="918"/>
      <c r="T23" s="918"/>
      <c r="U23" s="918"/>
      <c r="V23" s="918"/>
      <c r="W23" s="918"/>
      <c r="X23" s="918"/>
      <c r="Y23" s="935"/>
      <c r="Z23" s="918"/>
      <c r="AA23" s="918"/>
      <c r="AB23" s="919"/>
      <c r="AC23" s="919"/>
      <c r="AD23" s="919"/>
      <c r="AE23" s="919"/>
      <c r="AF23" s="919"/>
      <c r="AG23" s="919"/>
      <c r="AH23" s="919"/>
      <c r="AI23" s="919"/>
      <c r="AJ23" s="919"/>
      <c r="AK23" s="919"/>
      <c r="AL23" s="919"/>
      <c r="AM23" s="918"/>
      <c r="AN23" s="918"/>
      <c r="AO23" s="918"/>
      <c r="AP23" s="918"/>
      <c r="AQ23" s="918"/>
      <c r="AR23" s="918"/>
      <c r="AS23" s="918"/>
      <c r="AT23" s="918"/>
      <c r="AU23" s="918"/>
      <c r="AV23" s="918"/>
      <c r="AW23" s="918"/>
      <c r="AX23" s="918"/>
      <c r="AY23" s="918"/>
      <c r="AZ23" s="918"/>
      <c r="BA23" s="919"/>
      <c r="BB23" s="919"/>
      <c r="BC23" s="919"/>
      <c r="BD23" s="919"/>
      <c r="BE23" s="919"/>
      <c r="BF23" s="919"/>
      <c r="BG23" s="919"/>
      <c r="BH23" s="919"/>
      <c r="BI23" s="919"/>
      <c r="BJ23" s="919"/>
      <c r="BK23" s="919"/>
      <c r="BL23" s="919"/>
      <c r="BM23" s="919"/>
      <c r="BN23" s="919"/>
      <c r="BO23" s="919"/>
      <c r="BP23" s="919"/>
      <c r="BQ23" s="919"/>
      <c r="BR23" s="919"/>
      <c r="BS23" s="919"/>
      <c r="BT23" s="920" t="s">
        <v>1943</v>
      </c>
      <c r="CD23" s="917">
        <f>IF(RRImmédiat!$G23&gt;1.2,1,0)</f>
        <v>0</v>
      </c>
    </row>
    <row r="24" spans="1:90" s="917" customFormat="1">
      <c r="A24" s="914" t="s">
        <v>1019</v>
      </c>
      <c r="B24" s="915" t="str">
        <f>AUTOQUESTIONNAIRE!D24</f>
        <v>Avez-vous déjà eu un cancer du côlon ou des polypes du côlon ? (non=0, oui=1)</v>
      </c>
      <c r="C24" s="916">
        <f>AUTOQUESTIONNAIRE!G24</f>
        <v>0</v>
      </c>
      <c r="F24" s="918"/>
      <c r="G24" s="918"/>
      <c r="H24" s="918"/>
      <c r="I24" s="918"/>
      <c r="J24" s="918"/>
      <c r="K24" s="918"/>
      <c r="L24" s="918"/>
      <c r="M24" s="918"/>
      <c r="N24" s="918"/>
      <c r="O24" s="918"/>
      <c r="P24" s="918"/>
      <c r="Q24" s="918"/>
      <c r="R24" s="918"/>
      <c r="S24" s="918"/>
      <c r="T24" s="918"/>
      <c r="U24" s="918"/>
      <c r="V24" s="918"/>
      <c r="W24" s="918"/>
      <c r="X24" s="918"/>
      <c r="Y24" s="935"/>
      <c r="Z24" s="918"/>
      <c r="AA24" s="918"/>
      <c r="AB24" s="919"/>
      <c r="AC24" s="919"/>
      <c r="AD24" s="919"/>
      <c r="AE24" s="919"/>
      <c r="AF24" s="919"/>
      <c r="AG24" s="919"/>
      <c r="AH24" s="919"/>
      <c r="AI24" s="919"/>
      <c r="AJ24" s="919"/>
      <c r="AK24" s="919"/>
      <c r="AL24" s="919"/>
      <c r="AM24" s="918"/>
      <c r="AN24" s="918"/>
      <c r="AO24" s="918"/>
      <c r="AP24" s="918"/>
      <c r="AQ24" s="918"/>
      <c r="AR24" s="918"/>
      <c r="AS24" s="918"/>
      <c r="AT24" s="918"/>
      <c r="AU24" s="918"/>
      <c r="AV24" s="918"/>
      <c r="AW24" s="918"/>
      <c r="AX24" s="918"/>
      <c r="AY24" s="918"/>
      <c r="AZ24" s="918"/>
      <c r="BA24" s="919"/>
      <c r="BB24" s="919"/>
      <c r="BC24" s="919"/>
      <c r="BD24" s="919"/>
      <c r="BE24" s="919"/>
      <c r="BF24" s="919"/>
      <c r="BG24" s="919"/>
      <c r="BH24" s="919"/>
      <c r="BI24" s="919"/>
      <c r="BJ24" s="919"/>
      <c r="BK24" s="919"/>
      <c r="BL24" s="919"/>
      <c r="BM24" s="919"/>
      <c r="BN24" s="919"/>
      <c r="BO24" s="919"/>
      <c r="BP24" s="919"/>
      <c r="BQ24" s="919"/>
      <c r="BR24" s="919"/>
      <c r="BS24" s="919"/>
      <c r="BT24" s="920" t="s">
        <v>907</v>
      </c>
      <c r="CE24" s="917">
        <f>IF(RRImmédiat!$G24&gt;1.2,1,0)</f>
        <v>0</v>
      </c>
    </row>
    <row r="25" spans="1:90" s="917" customFormat="1">
      <c r="A25" s="914" t="s">
        <v>1019</v>
      </c>
      <c r="B25" s="915" t="str">
        <f>AUTOQUESTIONNAIRE!D25</f>
        <v>Avez-vous déjà eu un mélanome ou un autre type de cancer de la peau ? (non=0, oui=1)</v>
      </c>
      <c r="C25" s="916">
        <f>AUTOQUESTIONNAIRE!G25</f>
        <v>0</v>
      </c>
      <c r="F25" s="918"/>
      <c r="G25" s="918"/>
      <c r="H25" s="918"/>
      <c r="I25" s="918"/>
      <c r="J25" s="918"/>
      <c r="K25" s="918"/>
      <c r="L25" s="918"/>
      <c r="M25" s="918"/>
      <c r="N25" s="918"/>
      <c r="O25" s="918"/>
      <c r="P25" s="918"/>
      <c r="Q25" s="918"/>
      <c r="R25" s="918"/>
      <c r="S25" s="918"/>
      <c r="T25" s="918"/>
      <c r="U25" s="918"/>
      <c r="V25" s="918"/>
      <c r="W25" s="918"/>
      <c r="X25" s="918"/>
      <c r="Y25" s="935"/>
      <c r="Z25" s="918"/>
      <c r="AA25" s="918"/>
      <c r="AB25" s="919"/>
      <c r="AC25" s="919"/>
      <c r="AD25" s="919"/>
      <c r="AE25" s="919"/>
      <c r="AF25" s="919"/>
      <c r="AG25" s="919"/>
      <c r="AH25" s="919"/>
      <c r="AI25" s="919"/>
      <c r="AJ25" s="919"/>
      <c r="AK25" s="919"/>
      <c r="AL25" s="919"/>
      <c r="AM25" s="918"/>
      <c r="AN25" s="918"/>
      <c r="AO25" s="918"/>
      <c r="AP25" s="918"/>
      <c r="AQ25" s="918"/>
      <c r="AR25" s="918"/>
      <c r="AS25" s="918"/>
      <c r="AT25" s="918"/>
      <c r="AU25" s="918"/>
      <c r="AV25" s="918"/>
      <c r="AW25" s="918"/>
      <c r="AX25" s="918"/>
      <c r="AY25" s="918"/>
      <c r="AZ25" s="918"/>
      <c r="BA25" s="919"/>
      <c r="BB25" s="919"/>
      <c r="BC25" s="919"/>
      <c r="BD25" s="919"/>
      <c r="BE25" s="919"/>
      <c r="BF25" s="919"/>
      <c r="BG25" s="919"/>
      <c r="BH25" s="919"/>
      <c r="BI25" s="919"/>
      <c r="BJ25" s="919"/>
      <c r="BK25" s="919"/>
      <c r="BL25" s="919"/>
      <c r="BM25" s="919"/>
      <c r="BN25" s="919"/>
      <c r="BO25" s="919"/>
      <c r="BP25" s="919"/>
      <c r="BQ25" s="919"/>
      <c r="BR25" s="919"/>
      <c r="BS25" s="919"/>
      <c r="BT25" s="920" t="s">
        <v>908</v>
      </c>
    </row>
    <row r="26" spans="1:90" s="917" customFormat="1">
      <c r="A26" s="914" t="s">
        <v>1019</v>
      </c>
      <c r="B26" s="915" t="str">
        <f>AUTOQUESTIONNAIRE!D26</f>
        <v>Avez-vous déjà eu un cancer du poumon ? (non=0, oui=1)</v>
      </c>
      <c r="C26" s="916">
        <f>AUTOQUESTIONNAIRE!G26</f>
        <v>0</v>
      </c>
      <c r="F26" s="918"/>
      <c r="G26" s="918"/>
      <c r="H26" s="918"/>
      <c r="I26" s="918"/>
      <c r="J26" s="918"/>
      <c r="K26" s="918"/>
      <c r="L26" s="918"/>
      <c r="M26" s="918"/>
      <c r="N26" s="918"/>
      <c r="O26" s="918"/>
      <c r="P26" s="918"/>
      <c r="Q26" s="918"/>
      <c r="R26" s="918"/>
      <c r="S26" s="918"/>
      <c r="T26" s="918"/>
      <c r="U26" s="918"/>
      <c r="V26" s="918"/>
      <c r="W26" s="438">
        <f t="shared" si="4"/>
        <v>0</v>
      </c>
      <c r="X26" s="918"/>
      <c r="Y26" s="935"/>
      <c r="Z26" s="918"/>
      <c r="AA26" s="918"/>
      <c r="AB26" s="919"/>
      <c r="AC26" s="919"/>
      <c r="AD26" s="919"/>
      <c r="AE26" s="919"/>
      <c r="AF26" s="919"/>
      <c r="AG26" s="919"/>
      <c r="AH26" s="919"/>
      <c r="AI26" s="919"/>
      <c r="AJ26" s="919"/>
      <c r="AK26" s="919"/>
      <c r="AL26" s="919"/>
      <c r="AM26" s="918"/>
      <c r="AN26" s="918"/>
      <c r="AO26" s="918"/>
      <c r="AP26" s="918"/>
      <c r="AQ26" s="918"/>
      <c r="AR26" s="918"/>
      <c r="AS26" s="918"/>
      <c r="AT26" s="918"/>
      <c r="AU26" s="918"/>
      <c r="AV26" s="918"/>
      <c r="AW26" s="918"/>
      <c r="AX26" s="918"/>
      <c r="AY26" s="918"/>
      <c r="AZ26" s="918"/>
      <c r="BA26" s="919"/>
      <c r="BB26" s="919"/>
      <c r="BC26" s="919"/>
      <c r="BD26" s="919"/>
      <c r="BE26" s="919"/>
      <c r="BF26" s="919"/>
      <c r="BG26" s="919"/>
      <c r="BH26" s="919"/>
      <c r="BI26" s="919"/>
      <c r="BJ26" s="919"/>
      <c r="BK26" s="919"/>
      <c r="BL26" s="919"/>
      <c r="BM26" s="919"/>
      <c r="BN26" s="919"/>
      <c r="BO26" s="919"/>
      <c r="BP26" s="919"/>
      <c r="BQ26" s="919"/>
      <c r="BR26" s="919"/>
      <c r="BS26" s="919"/>
      <c r="BT26" s="920" t="s">
        <v>909</v>
      </c>
      <c r="CE26" s="917">
        <f>IF(RRImmédiat!$G26&gt;1.2,1,0)</f>
        <v>0</v>
      </c>
    </row>
    <row r="27" spans="1:90" s="917" customFormat="1">
      <c r="A27" s="914" t="s">
        <v>1019</v>
      </c>
      <c r="B27" s="915" t="str">
        <f>AUTOQUESTIONNAIRE!D27</f>
        <v>Avez-vous déjà eu un cancer du sein ? (non=0, oui=1)</v>
      </c>
      <c r="C27" s="916">
        <f>AUTOQUESTIONNAIRE!G27</f>
        <v>0</v>
      </c>
      <c r="F27" s="918"/>
      <c r="G27" s="918"/>
      <c r="H27" s="918"/>
      <c r="I27" s="918"/>
      <c r="J27" s="918"/>
      <c r="K27" s="918"/>
      <c r="L27" s="438">
        <f t="shared" si="4"/>
        <v>0</v>
      </c>
      <c r="M27" s="918"/>
      <c r="N27" s="918"/>
      <c r="O27" s="918"/>
      <c r="P27" s="918"/>
      <c r="Q27" s="918"/>
      <c r="R27" s="918"/>
      <c r="S27" s="918"/>
      <c r="T27" s="918"/>
      <c r="U27" s="918"/>
      <c r="V27" s="918"/>
      <c r="W27" s="918"/>
      <c r="X27" s="918"/>
      <c r="Y27" s="935"/>
      <c r="Z27" s="918"/>
      <c r="AA27" s="918"/>
      <c r="AB27" s="919"/>
      <c r="AC27" s="919"/>
      <c r="AD27" s="919"/>
      <c r="AE27" s="919"/>
      <c r="AF27" s="919"/>
      <c r="AG27" s="919"/>
      <c r="AH27" s="919"/>
      <c r="AI27" s="919"/>
      <c r="AJ27" s="919"/>
      <c r="AK27" s="919"/>
      <c r="AL27" s="919"/>
      <c r="AM27" s="918"/>
      <c r="AN27" s="918"/>
      <c r="AO27" s="918"/>
      <c r="AP27" s="918"/>
      <c r="AQ27" s="918"/>
      <c r="AR27" s="918"/>
      <c r="AS27" s="918"/>
      <c r="AT27" s="918"/>
      <c r="AU27" s="918"/>
      <c r="AV27" s="918"/>
      <c r="AW27" s="918"/>
      <c r="AX27" s="918"/>
      <c r="AY27" s="918"/>
      <c r="AZ27" s="918"/>
      <c r="BA27" s="919"/>
      <c r="BB27" s="919"/>
      <c r="BC27" s="919"/>
      <c r="BD27" s="919"/>
      <c r="BE27" s="919"/>
      <c r="BF27" s="919"/>
      <c r="BG27" s="919"/>
      <c r="BH27" s="919"/>
      <c r="BI27" s="919"/>
      <c r="BJ27" s="919"/>
      <c r="BK27" s="919"/>
      <c r="BL27" s="919"/>
      <c r="BM27" s="919"/>
      <c r="BN27" s="919"/>
      <c r="BO27" s="919"/>
      <c r="BP27" s="919"/>
      <c r="BQ27" s="919"/>
      <c r="BR27" s="919"/>
      <c r="BS27" s="919"/>
      <c r="BT27" s="920" t="s">
        <v>910</v>
      </c>
    </row>
    <row r="28" spans="1:90" s="917" customFormat="1">
      <c r="A28" s="914" t="s">
        <v>1019</v>
      </c>
      <c r="B28" s="915" t="str">
        <f>AUTOQUESTIONNAIRE!D28</f>
        <v>Avez-vous déjà eu un cancer gynécologique (utérus ou ovaires) ? (non=0, oui=1)</v>
      </c>
      <c r="C28" s="916">
        <f>AUTOQUESTIONNAIRE!G28</f>
        <v>0</v>
      </c>
      <c r="F28" s="918"/>
      <c r="G28" s="918"/>
      <c r="H28" s="918"/>
      <c r="I28" s="918"/>
      <c r="J28" s="918"/>
      <c r="K28" s="918"/>
      <c r="L28" s="438">
        <f t="shared" si="4"/>
        <v>0</v>
      </c>
      <c r="M28" s="918"/>
      <c r="N28" s="918"/>
      <c r="O28" s="918"/>
      <c r="P28" s="918"/>
      <c r="Q28" s="918"/>
      <c r="R28" s="918"/>
      <c r="S28" s="918"/>
      <c r="T28" s="918"/>
      <c r="U28" s="918"/>
      <c r="V28" s="918"/>
      <c r="W28" s="918"/>
      <c r="X28" s="918"/>
      <c r="Y28" s="935"/>
      <c r="Z28" s="918"/>
      <c r="AA28" s="918"/>
      <c r="AB28" s="919"/>
      <c r="AC28" s="919"/>
      <c r="AD28" s="919"/>
      <c r="AE28" s="919"/>
      <c r="AF28" s="919"/>
      <c r="AG28" s="919"/>
      <c r="AH28" s="919"/>
      <c r="AI28" s="919"/>
      <c r="AJ28" s="919"/>
      <c r="AK28" s="919"/>
      <c r="AL28" s="919"/>
      <c r="AM28" s="918"/>
      <c r="AN28" s="918"/>
      <c r="AO28" s="918"/>
      <c r="AP28" s="918"/>
      <c r="AQ28" s="918"/>
      <c r="AR28" s="918"/>
      <c r="AS28" s="918"/>
      <c r="AT28" s="918"/>
      <c r="AU28" s="918"/>
      <c r="AV28" s="918"/>
      <c r="AW28" s="918"/>
      <c r="AX28" s="918"/>
      <c r="AY28" s="918"/>
      <c r="AZ28" s="918"/>
      <c r="BA28" s="919"/>
      <c r="BB28" s="919"/>
      <c r="BC28" s="919"/>
      <c r="BD28" s="919"/>
      <c r="BE28" s="919"/>
      <c r="BF28" s="919"/>
      <c r="BG28" s="919"/>
      <c r="BH28" s="919"/>
      <c r="BI28" s="919"/>
      <c r="BJ28" s="919"/>
      <c r="BK28" s="919"/>
      <c r="BL28" s="919"/>
      <c r="BM28" s="919"/>
      <c r="BN28" s="919"/>
      <c r="BO28" s="919"/>
      <c r="BP28" s="919"/>
      <c r="BQ28" s="919"/>
      <c r="BR28" s="919"/>
      <c r="BS28" s="919"/>
      <c r="BT28" s="920" t="s">
        <v>1686</v>
      </c>
    </row>
    <row r="29" spans="1:90" s="917" customFormat="1">
      <c r="A29" s="914" t="s">
        <v>1019</v>
      </c>
      <c r="B29" s="915" t="str">
        <f>AUTOQUESTIONNAIRE!D29</f>
        <v>Avez-vous déjà eu un cancer du rein ? (non=0, oui=1)</v>
      </c>
      <c r="C29" s="916">
        <f>AUTOQUESTIONNAIRE!G29</f>
        <v>0</v>
      </c>
      <c r="F29" s="918"/>
      <c r="G29" s="918"/>
      <c r="H29" s="918"/>
      <c r="I29" s="918"/>
      <c r="J29" s="918"/>
      <c r="K29" s="918"/>
      <c r="L29" s="918"/>
      <c r="M29" s="918"/>
      <c r="N29" s="918"/>
      <c r="O29" s="918"/>
      <c r="P29" s="918"/>
      <c r="Q29" s="918"/>
      <c r="R29" s="918"/>
      <c r="S29" s="918"/>
      <c r="T29" s="918"/>
      <c r="U29" s="918"/>
      <c r="V29" s="918"/>
      <c r="W29" s="918"/>
      <c r="X29" s="918"/>
      <c r="Y29" s="935"/>
      <c r="Z29" s="918"/>
      <c r="AA29" s="918"/>
      <c r="AB29" s="919"/>
      <c r="AC29" s="919"/>
      <c r="AD29" s="919"/>
      <c r="AE29" s="919"/>
      <c r="AF29" s="919"/>
      <c r="AG29" s="919"/>
      <c r="AH29" s="919"/>
      <c r="AI29" s="919"/>
      <c r="AJ29" s="919"/>
      <c r="AK29" s="919"/>
      <c r="AL29" s="919"/>
      <c r="AM29" s="918"/>
      <c r="AN29" s="918"/>
      <c r="AO29" s="918"/>
      <c r="AP29" s="918"/>
      <c r="AQ29" s="918"/>
      <c r="AR29" s="918"/>
      <c r="AS29" s="918"/>
      <c r="AT29" s="918"/>
      <c r="AU29" s="918"/>
      <c r="AV29" s="918"/>
      <c r="AW29" s="918"/>
      <c r="AX29" s="918"/>
      <c r="AY29" s="918"/>
      <c r="AZ29" s="918"/>
      <c r="BA29" s="919"/>
      <c r="BB29" s="919"/>
      <c r="BC29" s="919"/>
      <c r="BD29" s="919"/>
      <c r="BE29" s="919"/>
      <c r="BF29" s="919"/>
      <c r="BG29" s="919"/>
      <c r="BH29" s="919"/>
      <c r="BI29" s="919"/>
      <c r="BJ29" s="919"/>
      <c r="BK29" s="919"/>
      <c r="BL29" s="919"/>
      <c r="BM29" s="919"/>
      <c r="BN29" s="919"/>
      <c r="BO29" s="919"/>
      <c r="BP29" s="919"/>
      <c r="BQ29" s="919"/>
      <c r="BR29" s="919"/>
      <c r="BS29" s="919"/>
      <c r="BT29" s="920" t="s">
        <v>911</v>
      </c>
    </row>
    <row r="30" spans="1:90" s="917" customFormat="1">
      <c r="A30" s="914" t="s">
        <v>1019</v>
      </c>
      <c r="B30" s="915" t="str">
        <f>AUTOQUESTIONNAIRE!D30</f>
        <v>Avez-vous déjà eu un cancer de l’estomac ? (non=0, oui=1)</v>
      </c>
      <c r="C30" s="916">
        <f>AUTOQUESTIONNAIRE!G30</f>
        <v>0</v>
      </c>
      <c r="F30" s="918"/>
      <c r="G30" s="918"/>
      <c r="H30" s="918"/>
      <c r="I30" s="918"/>
      <c r="J30" s="918"/>
      <c r="K30" s="918"/>
      <c r="L30" s="918"/>
      <c r="M30" s="918"/>
      <c r="N30" s="918"/>
      <c r="O30" s="918"/>
      <c r="P30" s="918"/>
      <c r="Q30" s="918"/>
      <c r="R30" s="918"/>
      <c r="S30" s="918"/>
      <c r="T30" s="918"/>
      <c r="U30" s="918"/>
      <c r="V30" s="918"/>
      <c r="W30" s="918"/>
      <c r="X30" s="918"/>
      <c r="Y30" s="935"/>
      <c r="Z30" s="918"/>
      <c r="AA30" s="918"/>
      <c r="AB30" s="919"/>
      <c r="AC30" s="919"/>
      <c r="AD30" s="919"/>
      <c r="AE30" s="919"/>
      <c r="AF30" s="919"/>
      <c r="AG30" s="919"/>
      <c r="AH30" s="919"/>
      <c r="AI30" s="919"/>
      <c r="AJ30" s="919"/>
      <c r="AK30" s="919"/>
      <c r="AL30" s="919"/>
      <c r="AM30" s="918"/>
      <c r="AN30" s="918"/>
      <c r="AO30" s="918"/>
      <c r="AP30" s="918"/>
      <c r="AQ30" s="918"/>
      <c r="AR30" s="918"/>
      <c r="AS30" s="918"/>
      <c r="AT30" s="918"/>
      <c r="AU30" s="918"/>
      <c r="AV30" s="918"/>
      <c r="AW30" s="918"/>
      <c r="AX30" s="918"/>
      <c r="AY30" s="918"/>
      <c r="AZ30" s="918"/>
      <c r="BA30" s="919"/>
      <c r="BB30" s="919"/>
      <c r="BC30" s="919"/>
      <c r="BD30" s="919"/>
      <c r="BE30" s="919"/>
      <c r="BF30" s="919"/>
      <c r="BG30" s="919"/>
      <c r="BH30" s="919"/>
      <c r="BI30" s="919"/>
      <c r="BJ30" s="919"/>
      <c r="BK30" s="919"/>
      <c r="BL30" s="919"/>
      <c r="BM30" s="919"/>
      <c r="BN30" s="919"/>
      <c r="BO30" s="919"/>
      <c r="BP30" s="919"/>
      <c r="BQ30" s="919"/>
      <c r="BR30" s="919"/>
      <c r="BS30" s="919"/>
      <c r="BT30" s="920" t="s">
        <v>1177</v>
      </c>
    </row>
    <row r="31" spans="1:90" s="917" customFormat="1">
      <c r="A31" s="914" t="s">
        <v>1019</v>
      </c>
      <c r="B31" s="915" t="str">
        <f>AUTOQUESTIONNAIRE!D31</f>
        <v>Avez-vous déjà eu un cancer ORL (langue, gorge, larynx, sinus) ? (non=0, oui=1)</v>
      </c>
      <c r="C31" s="916">
        <f>AUTOQUESTIONNAIRE!G31</f>
        <v>0</v>
      </c>
      <c r="F31" s="918"/>
      <c r="G31" s="918"/>
      <c r="H31" s="918"/>
      <c r="I31" s="918"/>
      <c r="J31" s="918"/>
      <c r="K31" s="918"/>
      <c r="L31" s="918"/>
      <c r="M31" s="918"/>
      <c r="N31" s="918"/>
      <c r="O31" s="918"/>
      <c r="P31" s="918"/>
      <c r="Q31" s="918"/>
      <c r="R31" s="918"/>
      <c r="S31" s="918"/>
      <c r="T31" s="918"/>
      <c r="U31" s="918"/>
      <c r="V31" s="918"/>
      <c r="W31" s="918"/>
      <c r="X31" s="918"/>
      <c r="Y31" s="935"/>
      <c r="Z31" s="918"/>
      <c r="AA31" s="918"/>
      <c r="AB31" s="919"/>
      <c r="AC31" s="919"/>
      <c r="AD31" s="919"/>
      <c r="AE31" s="919"/>
      <c r="AF31" s="919"/>
      <c r="AG31" s="919"/>
      <c r="AH31" s="919"/>
      <c r="AI31" s="919"/>
      <c r="AJ31" s="919"/>
      <c r="AK31" s="919"/>
      <c r="AL31" s="919"/>
      <c r="AM31" s="918"/>
      <c r="AN31" s="918"/>
      <c r="AO31" s="918"/>
      <c r="AP31" s="918"/>
      <c r="AQ31" s="918"/>
      <c r="AR31" s="918"/>
      <c r="AS31" s="918"/>
      <c r="AT31" s="918"/>
      <c r="AU31" s="918"/>
      <c r="AV31" s="918"/>
      <c r="AW31" s="918"/>
      <c r="AX31" s="918"/>
      <c r="AY31" s="918"/>
      <c r="AZ31" s="918"/>
      <c r="BA31" s="919"/>
      <c r="BB31" s="919"/>
      <c r="BC31" s="919"/>
      <c r="BD31" s="919"/>
      <c r="BE31" s="919"/>
      <c r="BF31" s="919"/>
      <c r="BG31" s="919"/>
      <c r="BH31" s="919"/>
      <c r="BI31" s="919"/>
      <c r="BJ31" s="919"/>
      <c r="BK31" s="919"/>
      <c r="BL31" s="919"/>
      <c r="BM31" s="919"/>
      <c r="BN31" s="919"/>
      <c r="BO31" s="919"/>
      <c r="BP31" s="919"/>
      <c r="BQ31" s="919"/>
      <c r="BR31" s="919"/>
      <c r="BS31" s="919"/>
      <c r="BT31" s="920" t="s">
        <v>2073</v>
      </c>
    </row>
    <row r="32" spans="1:90" s="917" customFormat="1">
      <c r="A32" s="914" t="s">
        <v>1019</v>
      </c>
      <c r="B32" s="915" t="str">
        <f>AUTOQUESTIONNAIRE!D32</f>
        <v>Avez-vous déjà eu une tumeur de la vessie ou de l’uretère (appareil urinaire) ? (non=0, oui=1)</v>
      </c>
      <c r="C32" s="916">
        <f>AUTOQUESTIONNAIRE!G32</f>
        <v>0</v>
      </c>
      <c r="F32" s="918"/>
      <c r="G32" s="918"/>
      <c r="H32" s="918"/>
      <c r="I32" s="918"/>
      <c r="J32" s="918"/>
      <c r="K32" s="918"/>
      <c r="L32" s="918"/>
      <c r="M32" s="918"/>
      <c r="N32" s="918"/>
      <c r="O32" s="918"/>
      <c r="P32" s="918"/>
      <c r="Q32" s="918"/>
      <c r="R32" s="918"/>
      <c r="S32" s="918"/>
      <c r="T32" s="918"/>
      <c r="U32" s="918"/>
      <c r="V32" s="918"/>
      <c r="W32" s="438">
        <f t="shared" si="4"/>
        <v>0</v>
      </c>
      <c r="X32" s="918"/>
      <c r="Y32" s="935"/>
      <c r="Z32" s="918"/>
      <c r="AA32" s="918"/>
      <c r="AB32" s="919"/>
      <c r="AC32" s="919"/>
      <c r="AD32" s="919"/>
      <c r="AE32" s="919"/>
      <c r="AF32" s="919"/>
      <c r="AG32" s="919"/>
      <c r="AH32" s="919"/>
      <c r="AI32" s="919"/>
      <c r="AJ32" s="919"/>
      <c r="AK32" s="919"/>
      <c r="AL32" s="919"/>
      <c r="AM32" s="918"/>
      <c r="AN32" s="918"/>
      <c r="AO32" s="918"/>
      <c r="AP32" s="918"/>
      <c r="AQ32" s="918"/>
      <c r="AR32" s="918"/>
      <c r="AS32" s="918"/>
      <c r="AT32" s="918"/>
      <c r="AU32" s="918"/>
      <c r="AV32" s="918"/>
      <c r="AW32" s="918"/>
      <c r="AX32" s="918"/>
      <c r="AY32" s="918"/>
      <c r="AZ32" s="918"/>
      <c r="BA32" s="919"/>
      <c r="BB32" s="919"/>
      <c r="BC32" s="919"/>
      <c r="BD32" s="919"/>
      <c r="BE32" s="919"/>
      <c r="BF32" s="919"/>
      <c r="BG32" s="919"/>
      <c r="BH32" s="919"/>
      <c r="BI32" s="919"/>
      <c r="BJ32" s="919"/>
      <c r="BK32" s="919"/>
      <c r="BL32" s="919"/>
      <c r="BM32" s="919"/>
      <c r="BN32" s="919"/>
      <c r="BO32" s="919"/>
      <c r="BP32" s="919"/>
      <c r="BQ32" s="919"/>
      <c r="BR32" s="919"/>
      <c r="BS32" s="919"/>
      <c r="BT32" s="920" t="s">
        <v>1688</v>
      </c>
    </row>
    <row r="33" spans="1:86">
      <c r="A33" s="410" t="s">
        <v>1019</v>
      </c>
      <c r="B33" s="627" t="str">
        <f>AUTOQUESTIONNAIRE!D33</f>
        <v>Avez-vous déjà eu un anévrisme ou une artériopathie des membres inférieurs ? (non=0, oui=1)</v>
      </c>
      <c r="C33" s="394">
        <f>AUTOQUESTIONNAIRE!G33</f>
        <v>0</v>
      </c>
      <c r="F33" s="438"/>
      <c r="G33" s="438"/>
      <c r="H33" s="438"/>
      <c r="I33" s="438"/>
      <c r="J33" s="438"/>
      <c r="K33" s="438"/>
      <c r="L33" s="438"/>
      <c r="M33" s="438"/>
      <c r="N33" s="438"/>
      <c r="O33" s="438"/>
      <c r="P33" s="438"/>
      <c r="Q33" s="438"/>
      <c r="R33" s="438"/>
      <c r="S33" s="438"/>
      <c r="T33" s="438"/>
      <c r="U33" s="438"/>
      <c r="V33" s="438"/>
      <c r="W33" s="438"/>
      <c r="X33" s="438"/>
      <c r="Y33" s="935"/>
      <c r="Z33" s="438"/>
      <c r="AA33" s="438"/>
      <c r="AI33" s="652"/>
      <c r="BT33" s="609" t="s">
        <v>1831</v>
      </c>
    </row>
    <row r="34" spans="1:86">
      <c r="A34" s="410" t="s">
        <v>1019</v>
      </c>
      <c r="B34" s="627" t="str">
        <f>AUTOQUESTIONNAIRE!D34</f>
        <v>Avez-vous eu des calculs biliaires ou une ablation de la vésicule biliaire ? (non=0, oui=1)</v>
      </c>
      <c r="C34" s="394">
        <f>AUTOQUESTIONNAIRE!G34</f>
        <v>1</v>
      </c>
      <c r="F34" s="438"/>
      <c r="G34" s="438"/>
      <c r="H34" s="438">
        <f t="shared" si="4"/>
        <v>1</v>
      </c>
      <c r="I34" s="438"/>
      <c r="J34" s="438">
        <f t="shared" si="4"/>
        <v>1</v>
      </c>
      <c r="K34" s="438"/>
      <c r="L34" s="438"/>
      <c r="M34" s="438"/>
      <c r="N34" s="438"/>
      <c r="O34" s="438"/>
      <c r="P34" s="438"/>
      <c r="Q34" s="438"/>
      <c r="R34" s="438"/>
      <c r="S34" s="438"/>
      <c r="T34" s="438"/>
      <c r="U34" s="438"/>
      <c r="V34" s="438"/>
      <c r="W34" s="438"/>
      <c r="X34" s="438"/>
      <c r="Y34" s="935"/>
      <c r="Z34" s="438"/>
      <c r="AA34" s="438"/>
      <c r="AI34" s="652"/>
      <c r="BT34" s="621" t="s">
        <v>887</v>
      </c>
    </row>
    <row r="35" spans="1:86">
      <c r="A35" s="410" t="s">
        <v>1019</v>
      </c>
      <c r="B35" s="627" t="str">
        <f>AUTOQUESTIONNAIRE!D35</f>
        <v>Avez-vous déjà eu un ulcère de l’estomac ou du duodénum ? (non=0, oui=1)</v>
      </c>
      <c r="C35" s="394">
        <f>AUTOQUESTIONNAIRE!G35</f>
        <v>0</v>
      </c>
      <c r="F35" s="438">
        <f t="shared" si="4"/>
        <v>0</v>
      </c>
      <c r="G35" s="438"/>
      <c r="H35" s="438"/>
      <c r="I35" s="438"/>
      <c r="J35" s="438"/>
      <c r="K35" s="438"/>
      <c r="L35" s="438"/>
      <c r="M35" s="438"/>
      <c r="N35" s="438"/>
      <c r="O35" s="438"/>
      <c r="P35" s="438"/>
      <c r="Q35" s="438"/>
      <c r="R35" s="438"/>
      <c r="S35" s="438"/>
      <c r="T35" s="438"/>
      <c r="U35" s="438"/>
      <c r="V35" s="438"/>
      <c r="W35" s="438"/>
      <c r="X35" s="438"/>
      <c r="Y35" s="935"/>
      <c r="Z35" s="438"/>
      <c r="AA35" s="438"/>
      <c r="AI35" s="652"/>
      <c r="BR35" s="438">
        <f t="shared" ref="BR35" si="6">$C35</f>
        <v>0</v>
      </c>
      <c r="BT35" s="708" t="s">
        <v>38</v>
      </c>
      <c r="BX35" s="404">
        <f>IF(RRImmédiat!$G35&gt;1.2,1,0)</f>
        <v>1</v>
      </c>
      <c r="BY35" s="404">
        <f>IF(RRImmédiat!$G35&gt;1.2,1,0)</f>
        <v>1</v>
      </c>
      <c r="BZ35" s="404">
        <f>IF(RRImmédiat!$G35&gt;1.2,1,0)</f>
        <v>1</v>
      </c>
      <c r="CA35" s="404">
        <f>IF(RRImmédiat!$G35&gt;1.2,1,0)</f>
        <v>1</v>
      </c>
      <c r="CB35" s="404">
        <f>IF(RRImmédiat!$G35&gt;1.2,1,0)</f>
        <v>1</v>
      </c>
    </row>
    <row r="36" spans="1:86">
      <c r="A36" s="410" t="s">
        <v>1019</v>
      </c>
      <c r="B36" s="627" t="str">
        <f>AUTOQUESTIONNAIRE!D36</f>
        <v>Avez-vous déjà eu une crise cardiaque ou un AVC (accident cardiovasculaire célébral) ? (non=0, oui=1)</v>
      </c>
      <c r="C36" s="394">
        <f>AUTOQUESTIONNAIRE!G36</f>
        <v>0</v>
      </c>
      <c r="F36" s="438">
        <f t="shared" si="4"/>
        <v>0</v>
      </c>
      <c r="G36" s="438"/>
      <c r="H36" s="438"/>
      <c r="I36" s="438"/>
      <c r="J36" s="438"/>
      <c r="K36" s="438"/>
      <c r="L36" s="438"/>
      <c r="M36" s="438"/>
      <c r="N36" s="438"/>
      <c r="O36" s="438"/>
      <c r="P36" s="438"/>
      <c r="Q36" s="438"/>
      <c r="R36" s="438"/>
      <c r="S36" s="438"/>
      <c r="T36" s="438"/>
      <c r="U36" s="438"/>
      <c r="V36" s="438"/>
      <c r="W36" s="438"/>
      <c r="X36" s="438"/>
      <c r="Y36" s="935"/>
      <c r="Z36" s="438"/>
      <c r="AA36" s="438"/>
      <c r="AI36" s="652"/>
      <c r="BT36" s="613" t="s">
        <v>903</v>
      </c>
      <c r="BX36" s="404">
        <f>IF(RRImmédiat!$G36&gt;1.2,1,0)</f>
        <v>0</v>
      </c>
      <c r="BY36" s="404">
        <f>IF(RRImmédiat!$G36&gt;1.2,1,0)</f>
        <v>0</v>
      </c>
      <c r="BZ36" s="404">
        <f>IF(RRImmédiat!$G36&gt;1.2,1,0)</f>
        <v>0</v>
      </c>
      <c r="CA36" s="404">
        <f>IF(RRImmédiat!$G36&gt;1.2,1,0)</f>
        <v>0</v>
      </c>
      <c r="CB36" s="404">
        <f>IF(RRImmédiat!$G36&gt;1.2,1,0)</f>
        <v>0</v>
      </c>
    </row>
    <row r="37" spans="1:86">
      <c r="A37" s="410" t="s">
        <v>1019</v>
      </c>
      <c r="B37" s="627" t="str">
        <f>AUTOQUESTIONNAIRE!D37</f>
        <v>Avez-vous des problèmes de fertilité ? (non=0, oui=1)</v>
      </c>
      <c r="C37" s="394">
        <f>AUTOQUESTIONNAIRE!G37</f>
        <v>0</v>
      </c>
      <c r="F37" s="438"/>
      <c r="G37" s="438"/>
      <c r="H37" s="438"/>
      <c r="I37" s="438"/>
      <c r="J37" s="438"/>
      <c r="K37" s="438">
        <f t="shared" ref="I37:L48" si="7">$C37</f>
        <v>0</v>
      </c>
      <c r="L37" s="438">
        <f t="shared" si="7"/>
        <v>0</v>
      </c>
      <c r="M37" s="438"/>
      <c r="N37" s="438"/>
      <c r="O37" s="438"/>
      <c r="P37" s="438"/>
      <c r="Q37" s="438">
        <f t="shared" ref="Q37" si="8">$C37</f>
        <v>0</v>
      </c>
      <c r="R37" s="438"/>
      <c r="S37" s="438"/>
      <c r="T37" s="438"/>
      <c r="U37" s="438"/>
      <c r="V37" s="438"/>
      <c r="W37" s="438"/>
      <c r="X37" s="438">
        <f t="shared" ref="X37" si="9">$C37</f>
        <v>0</v>
      </c>
      <c r="Y37" s="935"/>
      <c r="Z37" s="438"/>
      <c r="AA37" s="438"/>
      <c r="AI37" s="652"/>
      <c r="BT37" s="613" t="s">
        <v>904</v>
      </c>
    </row>
    <row r="38" spans="1:86">
      <c r="A38" s="410" t="s">
        <v>1019</v>
      </c>
      <c r="B38" s="627" t="str">
        <f>AUTOQUESTIONNAIRE!D38</f>
        <v>Avez-vous eu des calculs rénaux ou des coliques néphrétiques ? (non=0, oui=1)</v>
      </c>
      <c r="C38" s="394">
        <f>AUTOQUESTIONNAIRE!G38</f>
        <v>1</v>
      </c>
      <c r="F38" s="438"/>
      <c r="G38" s="438"/>
      <c r="H38" s="438"/>
      <c r="I38" s="438"/>
      <c r="J38" s="438"/>
      <c r="K38" s="438"/>
      <c r="L38" s="438"/>
      <c r="M38" s="438"/>
      <c r="N38" s="438"/>
      <c r="O38" s="438"/>
      <c r="P38" s="438"/>
      <c r="Q38" s="438"/>
      <c r="R38" s="438"/>
      <c r="S38" s="438"/>
      <c r="T38" s="438"/>
      <c r="U38" s="438"/>
      <c r="V38" s="438"/>
      <c r="W38" s="438"/>
      <c r="X38" s="438"/>
      <c r="Y38" s="935"/>
      <c r="Z38" s="438"/>
      <c r="AA38" s="438"/>
      <c r="AI38" s="652"/>
      <c r="BT38" s="613" t="s">
        <v>905</v>
      </c>
    </row>
    <row r="39" spans="1:86">
      <c r="A39" s="410" t="s">
        <v>1019</v>
      </c>
      <c r="B39" s="627" t="str">
        <f>AUTOQUESTIONNAIRE!D39</f>
        <v>Avez-vous déjà eu des caillots sanguins (phlébite/thrombose ou embolie pulmonaire) ou une déficience en protéine S ? (non=0, oui=1)</v>
      </c>
      <c r="C39" s="394">
        <f>AUTOQUESTIONNAIRE!G39</f>
        <v>0</v>
      </c>
      <c r="F39" s="438">
        <f t="shared" ref="F39:F48" si="10">$C39</f>
        <v>0</v>
      </c>
      <c r="G39" s="438"/>
      <c r="H39" s="438"/>
      <c r="I39" s="438"/>
      <c r="J39" s="438"/>
      <c r="K39" s="438"/>
      <c r="L39" s="438"/>
      <c r="M39" s="438"/>
      <c r="N39" s="438"/>
      <c r="O39" s="438"/>
      <c r="P39" s="438"/>
      <c r="Q39" s="438"/>
      <c r="R39" s="438"/>
      <c r="S39" s="438"/>
      <c r="T39" s="438"/>
      <c r="U39" s="438"/>
      <c r="V39" s="438"/>
      <c r="W39" s="438"/>
      <c r="X39" s="438"/>
      <c r="Y39" s="935"/>
      <c r="Z39" s="438"/>
      <c r="AA39" s="438"/>
      <c r="AI39" s="652"/>
      <c r="BT39" s="709" t="s">
        <v>2019</v>
      </c>
      <c r="CH39" s="404">
        <f>IF(RRImmédiat!$G39&gt;1.2,1,0)</f>
        <v>1</v>
      </c>
    </row>
    <row r="40" spans="1:86">
      <c r="A40" s="410" t="s">
        <v>1019</v>
      </c>
      <c r="B40" s="627" t="str">
        <f>AUTOQUESTIONNAIRE!D40</f>
        <v>Avez-vous une maladie inflammatoire chronique de l’intestin (maladie de Crohn, rectocolite hémorragique) ? (non=0, oui=1)</v>
      </c>
      <c r="C40" s="394">
        <f>AUTOQUESTIONNAIRE!G40</f>
        <v>0</v>
      </c>
      <c r="F40" s="438">
        <f t="shared" si="10"/>
        <v>0</v>
      </c>
      <c r="G40" s="438"/>
      <c r="H40" s="438"/>
      <c r="I40" s="438">
        <f t="shared" si="7"/>
        <v>0</v>
      </c>
      <c r="J40" s="438"/>
      <c r="K40" s="438"/>
      <c r="L40" s="438"/>
      <c r="M40" s="438">
        <f t="shared" ref="M40" si="11">$C40</f>
        <v>0</v>
      </c>
      <c r="N40" s="438"/>
      <c r="O40" s="438">
        <f t="shared" ref="O40" si="12">$C40</f>
        <v>0</v>
      </c>
      <c r="P40" s="438"/>
      <c r="Q40" s="438"/>
      <c r="R40" s="438"/>
      <c r="S40" s="438"/>
      <c r="T40" s="438"/>
      <c r="U40" s="438"/>
      <c r="V40" s="438">
        <f t="shared" ref="V40" si="13">$C40</f>
        <v>0</v>
      </c>
      <c r="W40" s="438"/>
      <c r="X40" s="438"/>
      <c r="Y40" s="935"/>
      <c r="Z40" s="438"/>
      <c r="AA40" s="438"/>
      <c r="AI40" s="652"/>
      <c r="BT40" s="618" t="s">
        <v>899</v>
      </c>
    </row>
    <row r="41" spans="1:86">
      <c r="A41" s="410" t="s">
        <v>1019</v>
      </c>
      <c r="B41" s="627" t="str">
        <f>AUTOQUESTIONNAIRE!D41</f>
        <v>Souffrez-vous d’arthrose ou de maladie rhumatismale ? (non=0, oui=1)</v>
      </c>
      <c r="C41" s="394">
        <f>AUTOQUESTIONNAIRE!G41</f>
        <v>0</v>
      </c>
      <c r="F41" s="438">
        <f t="shared" si="10"/>
        <v>0</v>
      </c>
      <c r="G41" s="438"/>
      <c r="H41" s="438"/>
      <c r="I41" s="438">
        <f t="shared" si="7"/>
        <v>0</v>
      </c>
      <c r="J41" s="438"/>
      <c r="K41" s="438"/>
      <c r="L41" s="438"/>
      <c r="M41" s="438"/>
      <c r="N41" s="438"/>
      <c r="O41" s="438"/>
      <c r="P41" s="438"/>
      <c r="Q41" s="438"/>
      <c r="R41" s="438"/>
      <c r="S41" s="438"/>
      <c r="T41" s="438"/>
      <c r="U41" s="438"/>
      <c r="V41" s="438"/>
      <c r="W41" s="438"/>
      <c r="X41" s="438"/>
      <c r="Y41" s="935"/>
      <c r="Z41" s="438"/>
      <c r="AA41" s="438"/>
      <c r="AI41" s="652"/>
      <c r="BT41" s="618" t="s">
        <v>900</v>
      </c>
    </row>
    <row r="42" spans="1:86">
      <c r="A42" s="410" t="s">
        <v>1019</v>
      </c>
      <c r="B42" s="627" t="str">
        <f>AUTOQUESTIONNAIRE!D42</f>
        <v>Avez-vous eu une fracture ostéoporotique de la colonne vertébrale ou de la hanche ? (non=0, oui=1)</v>
      </c>
      <c r="C42" s="394">
        <f>AUTOQUESTIONNAIRE!G42</f>
        <v>0</v>
      </c>
      <c r="F42" s="438"/>
      <c r="G42" s="438"/>
      <c r="H42" s="438"/>
      <c r="I42" s="438"/>
      <c r="J42" s="438"/>
      <c r="K42" s="438">
        <f t="shared" ref="K42:L42" si="14">$C42</f>
        <v>0</v>
      </c>
      <c r="L42" s="438">
        <f t="shared" si="14"/>
        <v>0</v>
      </c>
      <c r="M42" s="438">
        <f t="shared" ref="M42" si="15">$C42</f>
        <v>0</v>
      </c>
      <c r="N42" s="438"/>
      <c r="O42" s="438"/>
      <c r="P42" s="438"/>
      <c r="Q42" s="438"/>
      <c r="R42" s="438"/>
      <c r="S42" s="438"/>
      <c r="T42" s="438"/>
      <c r="U42" s="438"/>
      <c r="V42" s="438">
        <f t="shared" ref="V42" si="16">$C42</f>
        <v>0</v>
      </c>
      <c r="W42" s="438"/>
      <c r="X42" s="438"/>
      <c r="Y42" s="935"/>
      <c r="Z42" s="438"/>
      <c r="AA42" s="438"/>
      <c r="AI42" s="652"/>
      <c r="BT42" s="618" t="s">
        <v>2020</v>
      </c>
    </row>
    <row r="43" spans="1:86" ht="72">
      <c r="A43" s="410" t="s">
        <v>1019</v>
      </c>
      <c r="B43" s="627" t="str">
        <f>AUTOQUESTIONNAIRE!D43</f>
        <v>Avez-vous déjà eu une maladie respiratoire (comme l’asthme ou la BPCO) ou des allergies respiratoires, telles qu’une pollinose (par exemple le rhume des foins) ? (non=0, oui=1)</v>
      </c>
      <c r="C43" s="394">
        <f>AUTOQUESTIONNAIRE!G43</f>
        <v>0</v>
      </c>
      <c r="F43" s="438">
        <f t="shared" si="10"/>
        <v>0</v>
      </c>
      <c r="G43" s="438"/>
      <c r="H43" s="438"/>
      <c r="I43" s="438">
        <f t="shared" si="7"/>
        <v>0</v>
      </c>
      <c r="J43" s="438"/>
      <c r="K43" s="438"/>
      <c r="L43" s="438"/>
      <c r="M43" s="438"/>
      <c r="N43" s="438"/>
      <c r="O43" s="438"/>
      <c r="P43" s="438"/>
      <c r="Q43" s="438"/>
      <c r="R43" s="438"/>
      <c r="S43" s="438"/>
      <c r="T43" s="438"/>
      <c r="U43" s="438"/>
      <c r="V43" s="438"/>
      <c r="W43" s="438"/>
      <c r="X43" s="438"/>
      <c r="Y43" s="935"/>
      <c r="Z43" s="438">
        <f t="shared" ref="Z43:Z45" si="17">$C43</f>
        <v>0</v>
      </c>
      <c r="AA43" s="438"/>
      <c r="AI43" s="652"/>
      <c r="AN43" s="438">
        <f t="shared" ref="AN43:AN45" si="18">$C43</f>
        <v>0</v>
      </c>
      <c r="BT43" s="698" t="s">
        <v>2094</v>
      </c>
    </row>
    <row r="44" spans="1:86">
      <c r="A44" s="410" t="s">
        <v>1019</v>
      </c>
      <c r="B44" s="627" t="str">
        <f>AUTOQUESTIONNAIRE!D44</f>
        <v>Avez-vous déjà eu une atopie ou des allergies cutanées (par exemple aux métaux, au latex) ? (non=0, oui=1)</v>
      </c>
      <c r="C44" s="394">
        <f>AUTOQUESTIONNAIRE!G44</f>
        <v>0</v>
      </c>
      <c r="F44" s="438">
        <f t="shared" si="10"/>
        <v>0</v>
      </c>
      <c r="G44" s="438"/>
      <c r="H44" s="438"/>
      <c r="I44" s="438">
        <f t="shared" si="7"/>
        <v>0</v>
      </c>
      <c r="J44" s="438"/>
      <c r="K44" s="438"/>
      <c r="L44" s="438"/>
      <c r="M44" s="438"/>
      <c r="N44" s="438"/>
      <c r="O44" s="438"/>
      <c r="P44" s="438"/>
      <c r="Q44" s="438"/>
      <c r="R44" s="438"/>
      <c r="S44" s="438"/>
      <c r="T44" s="438"/>
      <c r="U44" s="438"/>
      <c r="V44" s="438"/>
      <c r="W44" s="438"/>
      <c r="X44" s="438"/>
      <c r="Y44" s="935"/>
      <c r="Z44" s="438"/>
      <c r="AA44" s="438"/>
      <c r="AI44" s="652"/>
      <c r="BT44" s="615" t="s">
        <v>881</v>
      </c>
      <c r="CC44" s="404">
        <f>IF(RRImmédiat!$G44&gt;1.2,1,0)</f>
        <v>0</v>
      </c>
    </row>
    <row r="45" spans="1:86">
      <c r="A45" s="410" t="s">
        <v>1019</v>
      </c>
      <c r="B45" s="627" t="str">
        <f>AUTOQUESTIONNAIRE!D45</f>
        <v>Avez-vous une allergie au latex ou à des aliments (par exemple kiwi, avocat, châtaigne, sarrasin) ? (non=0, oui=1)</v>
      </c>
      <c r="C45" s="394">
        <f>AUTOQUESTIONNAIRE!G45</f>
        <v>0</v>
      </c>
      <c r="F45" s="438">
        <f t="shared" si="10"/>
        <v>0</v>
      </c>
      <c r="G45" s="438"/>
      <c r="H45" s="438"/>
      <c r="I45" s="438"/>
      <c r="J45" s="438"/>
      <c r="K45" s="438"/>
      <c r="L45" s="438"/>
      <c r="M45" s="438"/>
      <c r="N45" s="438"/>
      <c r="O45" s="438"/>
      <c r="P45" s="438"/>
      <c r="Q45" s="438"/>
      <c r="R45" s="438"/>
      <c r="S45" s="438"/>
      <c r="T45" s="438"/>
      <c r="U45" s="438"/>
      <c r="V45" s="438"/>
      <c r="W45" s="438"/>
      <c r="X45" s="438"/>
      <c r="Y45" s="935"/>
      <c r="Z45" s="438">
        <f t="shared" si="17"/>
        <v>0</v>
      </c>
      <c r="AA45" s="438"/>
      <c r="AI45" s="652"/>
      <c r="AN45" s="438">
        <f t="shared" si="18"/>
        <v>0</v>
      </c>
      <c r="BT45" s="615" t="s">
        <v>882</v>
      </c>
    </row>
    <row r="46" spans="1:86">
      <c r="A46" s="410" t="s">
        <v>1019</v>
      </c>
      <c r="B46" s="627" t="str">
        <f>AUTOQUESTIONNAIRE!D46</f>
        <v>Avez-vous une intolérance alimentaire (gluten ou lactose) ? (non=0, oui=1)</v>
      </c>
      <c r="C46" s="394">
        <f>AUTOQUESTIONNAIRE!G46</f>
        <v>0</v>
      </c>
      <c r="F46" s="438">
        <f t="shared" si="10"/>
        <v>0</v>
      </c>
      <c r="G46" s="438"/>
      <c r="H46" s="438"/>
      <c r="I46" s="438"/>
      <c r="J46" s="438"/>
      <c r="K46" s="438"/>
      <c r="L46" s="438"/>
      <c r="M46" s="438"/>
      <c r="N46" s="438"/>
      <c r="O46" s="438"/>
      <c r="P46" s="438"/>
      <c r="Q46" s="438"/>
      <c r="R46" s="438"/>
      <c r="S46" s="438"/>
      <c r="T46" s="438"/>
      <c r="U46" s="438"/>
      <c r="V46" s="438"/>
      <c r="W46" s="438"/>
      <c r="X46" s="438"/>
      <c r="Y46" s="935"/>
      <c r="Z46" s="438"/>
      <c r="AA46" s="438"/>
      <c r="AI46" s="652"/>
      <c r="AU46" s="438">
        <f t="shared" ref="AU46" si="19">$C46</f>
        <v>0</v>
      </c>
      <c r="BT46" s="710" t="s">
        <v>1683</v>
      </c>
    </row>
    <row r="47" spans="1:86">
      <c r="A47" s="410" t="s">
        <v>1019</v>
      </c>
      <c r="B47" s="627" t="str">
        <f>AUTOQUESTIONNAIRE!D47</f>
        <v>Avez-vous des varices aux jambes ? (non=0, oui=1)</v>
      </c>
      <c r="C47" s="394">
        <f>AUTOQUESTIONNAIRE!G47</f>
        <v>0</v>
      </c>
      <c r="F47" s="438"/>
      <c r="G47" s="438"/>
      <c r="H47" s="438"/>
      <c r="I47" s="438"/>
      <c r="J47" s="438"/>
      <c r="K47" s="438"/>
      <c r="L47" s="438"/>
      <c r="M47" s="438"/>
      <c r="N47" s="438"/>
      <c r="O47" s="438"/>
      <c r="P47" s="438"/>
      <c r="Q47" s="438"/>
      <c r="R47" s="438"/>
      <c r="S47" s="438"/>
      <c r="T47" s="438"/>
      <c r="U47" s="438"/>
      <c r="V47" s="438"/>
      <c r="W47" s="438"/>
      <c r="X47" s="438"/>
      <c r="Y47" s="935"/>
      <c r="Z47" s="438"/>
      <c r="AA47" s="438"/>
      <c r="AI47" s="652"/>
      <c r="BT47" s="710" t="s">
        <v>2021</v>
      </c>
      <c r="CC47" s="404">
        <f>IF(RRImmédiat!$G47&gt;1.2,1,0)</f>
        <v>0</v>
      </c>
    </row>
    <row r="48" spans="1:86">
      <c r="A48" s="410" t="s">
        <v>1019</v>
      </c>
      <c r="B48" s="627" t="str">
        <f>AUTOQUESTIONNAIRE!D48</f>
        <v>Avez-vous déjà eu une infection sexuellement transmissible (IST) ? (non=0, oui=1)</v>
      </c>
      <c r="C48" s="394">
        <f>AUTOQUESTIONNAIRE!G48</f>
        <v>0</v>
      </c>
      <c r="F48" s="438">
        <f t="shared" si="10"/>
        <v>0</v>
      </c>
      <c r="G48" s="438"/>
      <c r="H48" s="438"/>
      <c r="I48" s="438">
        <f t="shared" si="7"/>
        <v>0</v>
      </c>
      <c r="J48" s="438"/>
      <c r="K48" s="438"/>
      <c r="L48" s="438"/>
      <c r="M48" s="438"/>
      <c r="N48" s="438"/>
      <c r="O48" s="438"/>
      <c r="P48" s="438"/>
      <c r="Q48" s="438"/>
      <c r="R48" s="438"/>
      <c r="S48" s="438"/>
      <c r="T48" s="438"/>
      <c r="U48" s="438"/>
      <c r="V48" s="438"/>
      <c r="W48" s="438"/>
      <c r="X48" s="438">
        <f t="shared" ref="X48" si="20">$C48</f>
        <v>0</v>
      </c>
      <c r="Y48" s="935"/>
      <c r="Z48" s="438"/>
      <c r="AA48" s="438"/>
      <c r="AI48" s="652"/>
      <c r="BT48" s="614" t="s">
        <v>2022</v>
      </c>
    </row>
    <row r="49" spans="1:89">
      <c r="A49" s="410" t="s">
        <v>1019</v>
      </c>
      <c r="B49" s="627" t="str">
        <f>AUTOQUESTIONNAIRE!D49</f>
        <v>Avez-vous déjà subi une intervention chirurgicale ? (non=0, oui=1)</v>
      </c>
      <c r="C49" s="394">
        <f>AUTOQUESTIONNAIRE!G49</f>
        <v>0</v>
      </c>
      <c r="F49" s="438"/>
      <c r="G49" s="438"/>
      <c r="H49" s="438"/>
      <c r="I49" s="438"/>
      <c r="J49" s="438"/>
      <c r="K49" s="438"/>
      <c r="L49" s="438"/>
      <c r="M49" s="438"/>
      <c r="N49" s="438"/>
      <c r="O49" s="438"/>
      <c r="P49" s="438"/>
      <c r="Q49" s="438"/>
      <c r="R49" s="438"/>
      <c r="S49" s="438"/>
      <c r="T49" s="438"/>
      <c r="U49" s="438"/>
      <c r="V49" s="438"/>
      <c r="W49" s="438"/>
      <c r="X49" s="438"/>
      <c r="Y49" s="935"/>
      <c r="Z49" s="438"/>
      <c r="AA49" s="438"/>
      <c r="AI49" s="652"/>
      <c r="BT49" s="615" t="s">
        <v>906</v>
      </c>
    </row>
    <row r="50" spans="1:89">
      <c r="A50" s="411"/>
      <c r="B50" s="628"/>
      <c r="C50" s="394"/>
      <c r="F50" s="438"/>
      <c r="G50" s="438"/>
      <c r="H50" s="438"/>
      <c r="I50" s="438"/>
      <c r="J50" s="438"/>
      <c r="K50" s="438"/>
      <c r="L50" s="438"/>
      <c r="M50" s="438"/>
      <c r="N50" s="438"/>
      <c r="O50" s="438"/>
      <c r="P50" s="438"/>
      <c r="Q50" s="438"/>
      <c r="R50" s="438"/>
      <c r="S50" s="438"/>
      <c r="T50" s="438"/>
      <c r="U50" s="438"/>
      <c r="V50" s="438"/>
      <c r="W50" s="438"/>
      <c r="X50" s="438"/>
      <c r="Y50" s="935"/>
      <c r="Z50" s="438"/>
      <c r="AA50" s="438"/>
      <c r="AI50" s="652"/>
      <c r="BT50" s="711" t="s">
        <v>2023</v>
      </c>
      <c r="CJ50" s="404">
        <f>IF(RRImmédiat!$G50&gt;1.2,1,0)</f>
        <v>0</v>
      </c>
    </row>
    <row r="51" spans="1:89">
      <c r="A51" s="406"/>
      <c r="B51" s="311"/>
      <c r="F51" s="437"/>
      <c r="G51" s="437"/>
      <c r="H51" s="437"/>
      <c r="I51" s="437"/>
      <c r="J51" s="437"/>
      <c r="K51" s="437"/>
      <c r="L51" s="437"/>
      <c r="M51" s="437"/>
      <c r="N51" s="437"/>
      <c r="O51" s="437"/>
      <c r="P51" s="437"/>
      <c r="Q51" s="437"/>
      <c r="R51" s="437"/>
      <c r="S51" s="437"/>
      <c r="T51" s="437"/>
      <c r="U51" s="437"/>
      <c r="V51" s="437"/>
      <c r="W51" s="437"/>
      <c r="X51" s="437"/>
      <c r="Y51" s="934"/>
      <c r="Z51" s="437"/>
      <c r="AA51" s="437"/>
      <c r="AB51" s="437"/>
      <c r="AC51" s="437"/>
      <c r="AD51" s="437"/>
      <c r="AE51" s="437"/>
      <c r="AF51" s="437"/>
      <c r="AG51" s="437"/>
      <c r="AH51" s="437"/>
      <c r="AI51" s="648"/>
      <c r="AJ51" s="648"/>
      <c r="AK51" s="648"/>
      <c r="AL51" s="648"/>
      <c r="AM51" s="649"/>
      <c r="AN51" s="649"/>
      <c r="AO51" s="649"/>
      <c r="AP51" s="649"/>
      <c r="AQ51" s="649"/>
      <c r="AR51" s="649"/>
      <c r="AS51" s="649"/>
      <c r="AT51" s="649"/>
      <c r="AU51" s="649"/>
      <c r="AV51" s="649"/>
      <c r="AW51" s="649"/>
      <c r="AX51" s="650"/>
      <c r="AY51" s="650"/>
      <c r="AZ51" s="650"/>
      <c r="BA51" s="650"/>
      <c r="BB51" s="651"/>
      <c r="BC51" s="651"/>
      <c r="BD51" s="651"/>
      <c r="BE51" s="651"/>
      <c r="BF51" s="651"/>
      <c r="BG51" s="651"/>
      <c r="BH51" s="651"/>
      <c r="BI51" s="651"/>
      <c r="BJ51" s="651"/>
      <c r="BK51" s="651"/>
      <c r="BL51" s="651"/>
      <c r="BM51" s="651"/>
      <c r="BN51" s="437"/>
      <c r="BO51" s="437"/>
      <c r="BP51" s="437"/>
      <c r="BQ51" s="437"/>
      <c r="BR51" s="437"/>
      <c r="BS51" s="437"/>
      <c r="BT51" s="620" t="s">
        <v>884</v>
      </c>
      <c r="BU51" s="809"/>
      <c r="BV51" s="809"/>
      <c r="BW51" s="809"/>
      <c r="BX51" s="809"/>
      <c r="BY51" s="809"/>
      <c r="BZ51" s="809"/>
      <c r="CA51" s="809"/>
      <c r="CB51" s="809"/>
      <c r="CC51" s="809"/>
      <c r="CD51" s="809"/>
      <c r="CE51" s="809"/>
      <c r="CK51" s="404">
        <f>IF(RRImmédiat!$G51&gt;1.2,1,0)</f>
        <v>0</v>
      </c>
    </row>
    <row r="52" spans="1:89">
      <c r="A52" s="412" t="s">
        <v>1133</v>
      </c>
      <c r="B52" s="629" t="str">
        <f>AUTOQUESTIONNAIRE!D52</f>
        <v>Au cours des deux dernières années, avez-vous passé un scanner thoracique ou une radiographie des poumons ? (non=0, oui=1)</v>
      </c>
      <c r="C52" s="394">
        <f>AUTOQUESTIONNAIRE!G52</f>
        <v>1</v>
      </c>
      <c r="F52" s="646"/>
      <c r="G52" s="646"/>
      <c r="H52" s="646"/>
      <c r="I52" s="646"/>
      <c r="J52" s="646"/>
      <c r="K52" s="646"/>
      <c r="L52" s="646"/>
      <c r="M52" s="646"/>
      <c r="N52" s="646"/>
      <c r="O52" s="646"/>
      <c r="P52" s="646"/>
      <c r="Q52" s="646"/>
      <c r="R52" s="646"/>
      <c r="S52" s="646"/>
      <c r="T52" s="646"/>
      <c r="U52" s="646"/>
      <c r="V52" s="646"/>
      <c r="W52" s="646"/>
      <c r="X52" s="646"/>
      <c r="Y52" s="935"/>
      <c r="Z52" s="646"/>
      <c r="AA52" s="646"/>
      <c r="AB52" s="647"/>
      <c r="AC52" s="647"/>
      <c r="AD52" s="647"/>
      <c r="AE52" s="647"/>
      <c r="AF52" s="647"/>
      <c r="AG52" s="647"/>
      <c r="AH52" s="647"/>
      <c r="AI52" s="647"/>
      <c r="AJ52" s="647"/>
      <c r="AK52" s="647"/>
      <c r="AL52" s="647"/>
      <c r="AM52" s="646"/>
      <c r="AN52" s="646"/>
      <c r="AO52" s="646"/>
      <c r="AP52" s="646"/>
      <c r="AQ52" s="646"/>
      <c r="AR52" s="646"/>
      <c r="AS52" s="646"/>
      <c r="AT52" s="646"/>
      <c r="AU52" s="646"/>
      <c r="AV52" s="646"/>
      <c r="AW52" s="646"/>
      <c r="AX52" s="646"/>
      <c r="AY52" s="646"/>
      <c r="AZ52" s="646"/>
      <c r="BA52" s="647"/>
      <c r="BB52" s="647"/>
      <c r="BC52" s="647"/>
      <c r="BD52" s="647"/>
      <c r="BE52" s="647"/>
      <c r="BF52" s="647"/>
      <c r="BG52" s="647"/>
      <c r="BH52" s="647"/>
      <c r="BI52" s="647"/>
      <c r="BJ52" s="647"/>
      <c r="BK52" s="647"/>
      <c r="BL52" s="647"/>
      <c r="BM52" s="647"/>
      <c r="BN52" s="647"/>
      <c r="BO52" s="647"/>
      <c r="BP52" s="647"/>
      <c r="BQ52" s="647"/>
      <c r="BR52" s="647"/>
      <c r="BS52" s="647"/>
      <c r="BT52" s="620" t="s">
        <v>885</v>
      </c>
    </row>
    <row r="53" spans="1:89">
      <c r="A53" s="412" t="s">
        <v>1133</v>
      </c>
      <c r="B53" s="629" t="str">
        <f>AUTOQUESTIONNAIRE!D53</f>
        <v>Au cours des deux dernières années, avez-vous passé une IRM de la prostate ? (non=0, oui=1)</v>
      </c>
      <c r="C53" s="394">
        <f>AUTOQUESTIONNAIRE!G53</f>
        <v>1</v>
      </c>
      <c r="F53" s="646"/>
      <c r="G53" s="646"/>
      <c r="H53" s="646"/>
      <c r="I53" s="646"/>
      <c r="J53" s="646"/>
      <c r="K53" s="646"/>
      <c r="L53" s="646"/>
      <c r="M53" s="646"/>
      <c r="N53" s="646"/>
      <c r="O53" s="646"/>
      <c r="P53" s="646"/>
      <c r="Q53" s="646"/>
      <c r="R53" s="646"/>
      <c r="S53" s="646"/>
      <c r="T53" s="646"/>
      <c r="U53" s="646"/>
      <c r="V53" s="646"/>
      <c r="W53" s="646"/>
      <c r="X53" s="646"/>
      <c r="Y53" s="935"/>
      <c r="Z53" s="646"/>
      <c r="AA53" s="646"/>
      <c r="AB53" s="647"/>
      <c r="AC53" s="647"/>
      <c r="AD53" s="647"/>
      <c r="AE53" s="647"/>
      <c r="AF53" s="647"/>
      <c r="AG53" s="647"/>
      <c r="AH53" s="647"/>
      <c r="AI53" s="647"/>
      <c r="AJ53" s="647"/>
      <c r="AK53" s="647"/>
      <c r="AL53" s="647"/>
      <c r="AM53" s="646"/>
      <c r="AN53" s="646"/>
      <c r="AO53" s="646"/>
      <c r="AP53" s="646"/>
      <c r="AQ53" s="646"/>
      <c r="AR53" s="646"/>
      <c r="AS53" s="646"/>
      <c r="AT53" s="646"/>
      <c r="AU53" s="646"/>
      <c r="AV53" s="646"/>
      <c r="AW53" s="646"/>
      <c r="AX53" s="646"/>
      <c r="AY53" s="646"/>
      <c r="AZ53" s="646"/>
      <c r="BA53" s="647"/>
      <c r="BB53" s="647"/>
      <c r="BC53" s="647"/>
      <c r="BD53" s="647"/>
      <c r="BE53" s="647"/>
      <c r="BF53" s="647"/>
      <c r="BG53" s="647"/>
      <c r="BH53" s="647"/>
      <c r="BI53" s="647"/>
      <c r="BJ53" s="647"/>
      <c r="BK53" s="647"/>
      <c r="BL53" s="647"/>
      <c r="BM53" s="647"/>
      <c r="BN53" s="647"/>
      <c r="BO53" s="647"/>
      <c r="BP53" s="647"/>
      <c r="BQ53" s="647"/>
      <c r="BR53" s="647"/>
      <c r="BS53" s="647"/>
      <c r="BT53" s="620" t="s">
        <v>886</v>
      </c>
    </row>
    <row r="54" spans="1:89">
      <c r="A54" s="412" t="s">
        <v>1133</v>
      </c>
      <c r="B54" s="629" t="str">
        <f>AUTOQUESTIONNAIRE!D54</f>
        <v>Au cours des deux dernières années, avez-vous effectué un dépistage du cancer du sein par mammographie ? (non=0, oui=1)</v>
      </c>
      <c r="C54" s="394">
        <f>AUTOQUESTIONNAIRE!G54</f>
        <v>1</v>
      </c>
      <c r="F54" s="646"/>
      <c r="G54" s="646"/>
      <c r="H54" s="646"/>
      <c r="I54" s="646"/>
      <c r="J54" s="646"/>
      <c r="K54" s="646"/>
      <c r="L54" s="646"/>
      <c r="M54" s="646"/>
      <c r="N54" s="646"/>
      <c r="O54" s="646"/>
      <c r="P54" s="646"/>
      <c r="Q54" s="646"/>
      <c r="R54" s="646"/>
      <c r="S54" s="646"/>
      <c r="T54" s="646"/>
      <c r="U54" s="646"/>
      <c r="V54" s="646"/>
      <c r="W54" s="646"/>
      <c r="X54" s="646"/>
      <c r="Y54" s="935"/>
      <c r="Z54" s="646"/>
      <c r="AA54" s="646"/>
      <c r="AB54" s="647"/>
      <c r="AC54" s="647"/>
      <c r="AD54" s="647"/>
      <c r="AE54" s="647"/>
      <c r="AF54" s="647"/>
      <c r="AG54" s="647"/>
      <c r="AH54" s="647"/>
      <c r="AI54" s="647"/>
      <c r="AJ54" s="647"/>
      <c r="AK54" s="647"/>
      <c r="AL54" s="647"/>
      <c r="AM54" s="646"/>
      <c r="AN54" s="646"/>
      <c r="AO54" s="646"/>
      <c r="AP54" s="646"/>
      <c r="AQ54" s="646"/>
      <c r="AR54" s="646"/>
      <c r="AS54" s="646"/>
      <c r="AT54" s="646"/>
      <c r="AU54" s="646"/>
      <c r="AV54" s="646"/>
      <c r="AW54" s="646"/>
      <c r="AX54" s="646"/>
      <c r="AY54" s="646"/>
      <c r="AZ54" s="646"/>
      <c r="BA54" s="647"/>
      <c r="BB54" s="647"/>
      <c r="BC54" s="647"/>
      <c r="BD54" s="647"/>
      <c r="BE54" s="647"/>
      <c r="BF54" s="647"/>
      <c r="BG54" s="647"/>
      <c r="BH54" s="647"/>
      <c r="BI54" s="647"/>
      <c r="BJ54" s="647"/>
      <c r="BK54" s="647"/>
      <c r="BL54" s="647"/>
      <c r="BM54" s="647"/>
      <c r="BN54" s="646"/>
      <c r="BO54" s="647"/>
      <c r="BP54" s="647"/>
      <c r="BQ54" s="647"/>
      <c r="BR54" s="647"/>
      <c r="BS54" s="647"/>
      <c r="BT54" s="617" t="s">
        <v>883</v>
      </c>
      <c r="CD54" s="404">
        <f>IF(RRImmédiat!$G54&gt;1.2,1,0)</f>
        <v>0</v>
      </c>
    </row>
    <row r="55" spans="1:89">
      <c r="A55" s="412" t="s">
        <v>1133</v>
      </c>
      <c r="B55" s="629" t="str">
        <f>AUTOQUESTIONNAIRE!D55</f>
        <v>Au cours des cinq dernières années, avez-vous effectué un dépistage du cancer du col de l’utérus ou été vacciné(e) contre le HPV ? (non=0, oui=1)</v>
      </c>
      <c r="C55" s="394">
        <f>AUTOQUESTIONNAIRE!G55</f>
        <v>1</v>
      </c>
      <c r="F55" s="646"/>
      <c r="G55" s="646"/>
      <c r="H55" s="646"/>
      <c r="I55" s="646"/>
      <c r="J55" s="646"/>
      <c r="K55" s="646"/>
      <c r="L55" s="646"/>
      <c r="M55" s="646"/>
      <c r="N55" s="646"/>
      <c r="O55" s="646"/>
      <c r="P55" s="646"/>
      <c r="Q55" s="646"/>
      <c r="R55" s="646"/>
      <c r="S55" s="646"/>
      <c r="T55" s="646"/>
      <c r="U55" s="646"/>
      <c r="V55" s="646"/>
      <c r="W55" s="646"/>
      <c r="X55" s="646"/>
      <c r="Y55" s="935"/>
      <c r="Z55" s="646"/>
      <c r="AA55" s="646"/>
      <c r="AB55" s="647"/>
      <c r="AC55" s="647"/>
      <c r="AD55" s="647"/>
      <c r="AE55" s="647"/>
      <c r="AF55" s="647"/>
      <c r="AG55" s="647"/>
      <c r="AH55" s="647"/>
      <c r="AI55" s="647"/>
      <c r="AJ55" s="647"/>
      <c r="AK55" s="647"/>
      <c r="AL55" s="647"/>
      <c r="AM55" s="646"/>
      <c r="AN55" s="646"/>
      <c r="AO55" s="646"/>
      <c r="AP55" s="646"/>
      <c r="AQ55" s="646"/>
      <c r="AR55" s="646"/>
      <c r="AS55" s="646"/>
      <c r="AT55" s="646"/>
      <c r="AU55" s="646"/>
      <c r="AV55" s="646"/>
      <c r="AW55" s="646"/>
      <c r="AX55" s="646"/>
      <c r="AY55" s="646"/>
      <c r="AZ55" s="646"/>
      <c r="BA55" s="647"/>
      <c r="BB55" s="647"/>
      <c r="BC55" s="647"/>
      <c r="BD55" s="647"/>
      <c r="BE55" s="647"/>
      <c r="BF55" s="647"/>
      <c r="BG55" s="646">
        <f t="shared" ref="BG55" si="21">$C55</f>
        <v>1</v>
      </c>
      <c r="BH55" s="646"/>
      <c r="BI55" s="646"/>
      <c r="BJ55" s="646"/>
      <c r="BK55" s="646"/>
      <c r="BL55" s="646"/>
      <c r="BM55" s="646"/>
      <c r="BN55" s="647"/>
      <c r="BO55" s="647"/>
      <c r="BP55" s="647"/>
      <c r="BQ55" s="647"/>
      <c r="BR55" s="647"/>
      <c r="BS55" s="647"/>
      <c r="BT55" s="711" t="s">
        <v>2024</v>
      </c>
      <c r="CF55" s="404">
        <f>IF(RRImmédiat!$G55&gt;1.2,1,0)</f>
        <v>0</v>
      </c>
    </row>
    <row r="56" spans="1:89">
      <c r="A56" s="412" t="s">
        <v>1133</v>
      </c>
      <c r="B56" s="629" t="str">
        <f>AUTOQUESTIONNAIRE!D56</f>
        <v>Au cours des deux dernières années, avez-vous réalisé une épreuve d’effort ou un scanner coronaire ? (non=0, oui=1)</v>
      </c>
      <c r="C56" s="394">
        <f>AUTOQUESTIONNAIRE!G56</f>
        <v>1</v>
      </c>
      <c r="F56" s="646"/>
      <c r="G56" s="646"/>
      <c r="H56" s="646"/>
      <c r="I56" s="646"/>
      <c r="J56" s="646"/>
      <c r="K56" s="646"/>
      <c r="L56" s="646"/>
      <c r="M56" s="646"/>
      <c r="N56" s="646"/>
      <c r="O56" s="646"/>
      <c r="P56" s="646"/>
      <c r="Q56" s="646"/>
      <c r="R56" s="646"/>
      <c r="S56" s="646"/>
      <c r="T56" s="646"/>
      <c r="U56" s="646"/>
      <c r="V56" s="646"/>
      <c r="W56" s="646"/>
      <c r="X56" s="646"/>
      <c r="Y56" s="935"/>
      <c r="Z56" s="646"/>
      <c r="AA56" s="646"/>
      <c r="AB56" s="647"/>
      <c r="AC56" s="647"/>
      <c r="AD56" s="647"/>
      <c r="AE56" s="647"/>
      <c r="AF56" s="647"/>
      <c r="AG56" s="647"/>
      <c r="AH56" s="647"/>
      <c r="AI56" s="647"/>
      <c r="AJ56" s="647"/>
      <c r="AK56" s="647"/>
      <c r="AL56" s="647"/>
      <c r="AM56" s="646"/>
      <c r="AN56" s="646"/>
      <c r="AO56" s="646"/>
      <c r="AP56" s="646"/>
      <c r="AQ56" s="646"/>
      <c r="AR56" s="646"/>
      <c r="AS56" s="646"/>
      <c r="AT56" s="646"/>
      <c r="AU56" s="646"/>
      <c r="AV56" s="646"/>
      <c r="AW56" s="646"/>
      <c r="AX56" s="646"/>
      <c r="AY56" s="646"/>
      <c r="AZ56" s="646"/>
      <c r="BA56" s="647"/>
      <c r="BB56" s="647"/>
      <c r="BC56" s="647"/>
      <c r="BD56" s="647"/>
      <c r="BE56" s="647"/>
      <c r="BF56" s="647"/>
      <c r="BG56" s="647"/>
      <c r="BH56" s="647"/>
      <c r="BI56" s="647"/>
      <c r="BJ56" s="647"/>
      <c r="BK56" s="647"/>
      <c r="BL56" s="647"/>
      <c r="BM56" s="647"/>
      <c r="BN56" s="647"/>
      <c r="BO56" s="647"/>
      <c r="BP56" s="647"/>
      <c r="BQ56" s="647"/>
      <c r="BR56" s="647"/>
      <c r="BS56" s="647"/>
      <c r="BT56" s="616" t="s">
        <v>54</v>
      </c>
      <c r="CI56" s="404">
        <f>IF(RRImmédiat!$G56&gt;1.2,1,0)</f>
        <v>1</v>
      </c>
    </row>
    <row r="57" spans="1:89">
      <c r="A57" s="412" t="s">
        <v>1133</v>
      </c>
      <c r="B57" s="629" t="str">
        <f>AUTOQUESTIONNAIRE!D57</f>
        <v>Au cours des deux dernières années, avez-vous passé un scanner abdominal ou une échographie abdominale ?  (non=0, oui=1)</v>
      </c>
      <c r="C57" s="394">
        <f>AUTOQUESTIONNAIRE!G57</f>
        <v>1</v>
      </c>
      <c r="F57" s="646"/>
      <c r="G57" s="646"/>
      <c r="H57" s="646"/>
      <c r="I57" s="646"/>
      <c r="J57" s="646"/>
      <c r="K57" s="646"/>
      <c r="L57" s="646"/>
      <c r="M57" s="646"/>
      <c r="N57" s="646"/>
      <c r="O57" s="646"/>
      <c r="P57" s="646"/>
      <c r="Q57" s="646"/>
      <c r="R57" s="646"/>
      <c r="S57" s="646"/>
      <c r="T57" s="646"/>
      <c r="U57" s="646"/>
      <c r="V57" s="646"/>
      <c r="W57" s="646"/>
      <c r="X57" s="646"/>
      <c r="Y57" s="935"/>
      <c r="Z57" s="646"/>
      <c r="AA57" s="646"/>
      <c r="AB57" s="647"/>
      <c r="AC57" s="647"/>
      <c r="AD57" s="647"/>
      <c r="AE57" s="647"/>
      <c r="AF57" s="647"/>
      <c r="AG57" s="647"/>
      <c r="AH57" s="647"/>
      <c r="AI57" s="647"/>
      <c r="AJ57" s="647"/>
      <c r="AK57" s="647"/>
      <c r="AL57" s="647"/>
      <c r="AM57" s="646"/>
      <c r="AN57" s="646"/>
      <c r="AO57" s="646"/>
      <c r="AP57" s="646"/>
      <c r="AQ57" s="646"/>
      <c r="AR57" s="646"/>
      <c r="AS57" s="646"/>
      <c r="AT57" s="646"/>
      <c r="AU57" s="646"/>
      <c r="AV57" s="646"/>
      <c r="AW57" s="646"/>
      <c r="AX57" s="646"/>
      <c r="AY57" s="646"/>
      <c r="AZ57" s="646"/>
      <c r="BA57" s="647"/>
      <c r="BB57" s="647"/>
      <c r="BC57" s="647"/>
      <c r="BD57" s="647"/>
      <c r="BE57" s="647"/>
      <c r="BF57" s="647"/>
      <c r="BG57" s="647"/>
      <c r="BH57" s="647"/>
      <c r="BI57" s="647"/>
      <c r="BJ57" s="647"/>
      <c r="BK57" s="647"/>
      <c r="BL57" s="647"/>
      <c r="BM57" s="647"/>
      <c r="BN57" s="647"/>
      <c r="BO57" s="646"/>
      <c r="BP57" s="647"/>
      <c r="BQ57" s="647"/>
      <c r="BR57" s="647"/>
      <c r="BS57" s="647"/>
      <c r="BT57" s="617" t="s">
        <v>890</v>
      </c>
      <c r="BU57" s="404">
        <f>IF(RRImmédiat!$G57&gt;1.2,1,0)</f>
        <v>0</v>
      </c>
      <c r="BV57" s="404">
        <f>IF(RRImmédiat!$G57&gt;1.2,1,0)</f>
        <v>0</v>
      </c>
      <c r="BW57" s="404">
        <f>IF(RRImmédiat!$G57&gt;1.2,1,0)</f>
        <v>0</v>
      </c>
    </row>
    <row r="58" spans="1:89">
      <c r="A58" s="412" t="s">
        <v>1133</v>
      </c>
      <c r="B58" s="629" t="str">
        <f>AUTOQUESTIONNAIRE!D58</f>
        <v>Au cours des deux dernières années, avez-vous effectué un dépistage du cancer colorectal (coloscopie ou test de sang dans les selles) ? (non=0, oui=1)</v>
      </c>
      <c r="C58" s="394">
        <f>AUTOQUESTIONNAIRE!G58</f>
        <v>1</v>
      </c>
      <c r="F58" s="646"/>
      <c r="G58" s="646"/>
      <c r="H58" s="646"/>
      <c r="I58" s="646"/>
      <c r="J58" s="646"/>
      <c r="K58" s="646"/>
      <c r="L58" s="646"/>
      <c r="M58" s="646"/>
      <c r="N58" s="646"/>
      <c r="O58" s="646"/>
      <c r="P58" s="646"/>
      <c r="Q58" s="646"/>
      <c r="R58" s="646"/>
      <c r="S58" s="646"/>
      <c r="T58" s="646"/>
      <c r="U58" s="646"/>
      <c r="V58" s="646"/>
      <c r="W58" s="646"/>
      <c r="X58" s="646"/>
      <c r="Y58" s="935"/>
      <c r="Z58" s="646"/>
      <c r="AA58" s="646"/>
      <c r="AB58" s="647"/>
      <c r="AC58" s="647"/>
      <c r="AD58" s="647"/>
      <c r="AE58" s="647"/>
      <c r="AF58" s="647"/>
      <c r="AG58" s="647"/>
      <c r="AH58" s="647"/>
      <c r="AI58" s="647"/>
      <c r="AJ58" s="647"/>
      <c r="AK58" s="646"/>
      <c r="AL58" s="647"/>
      <c r="AM58" s="646"/>
      <c r="AN58" s="646"/>
      <c r="AO58" s="646"/>
      <c r="AP58" s="646"/>
      <c r="AQ58" s="646"/>
      <c r="AR58" s="646"/>
      <c r="AS58" s="646"/>
      <c r="AT58" s="646"/>
      <c r="AU58" s="646"/>
      <c r="AV58" s="646"/>
      <c r="AW58" s="646"/>
      <c r="AX58" s="646"/>
      <c r="AY58" s="646"/>
      <c r="AZ58" s="646"/>
      <c r="BA58" s="647"/>
      <c r="BB58" s="647"/>
      <c r="BC58" s="647"/>
      <c r="BD58" s="647"/>
      <c r="BE58" s="647"/>
      <c r="BF58" s="647"/>
      <c r="BG58" s="647"/>
      <c r="BH58" s="647"/>
      <c r="BI58" s="647"/>
      <c r="BJ58" s="647"/>
      <c r="BK58" s="647"/>
      <c r="BL58" s="647"/>
      <c r="BM58" s="647"/>
      <c r="BN58" s="647"/>
      <c r="BO58" s="647"/>
      <c r="BP58" s="647"/>
      <c r="BQ58" s="647"/>
      <c r="BR58" s="647"/>
      <c r="BS58" s="647"/>
      <c r="BT58" s="711" t="s">
        <v>891</v>
      </c>
      <c r="CD58" s="404">
        <f>IF(RRImmédiat!$G58&gt;1.2,1,0)</f>
        <v>1</v>
      </c>
    </row>
    <row r="59" spans="1:89">
      <c r="A59" s="412" t="s">
        <v>1133</v>
      </c>
      <c r="B59" s="629" t="str">
        <f>AUTOQUESTIONNAIRE!D59</f>
        <v>Avez-vous consulté un dentiste au cours des 12 derniers mois ? (non=0, oui=1)</v>
      </c>
      <c r="C59" s="394">
        <f>AUTOQUESTIONNAIRE!G59</f>
        <v>1</v>
      </c>
      <c r="F59" s="646"/>
      <c r="G59" s="646"/>
      <c r="H59" s="646"/>
      <c r="I59" s="646"/>
      <c r="J59" s="646"/>
      <c r="K59" s="646"/>
      <c r="L59" s="646"/>
      <c r="M59" s="646"/>
      <c r="N59" s="646"/>
      <c r="O59" s="646"/>
      <c r="P59" s="646"/>
      <c r="Q59" s="646"/>
      <c r="R59" s="646"/>
      <c r="S59" s="646"/>
      <c r="T59" s="646"/>
      <c r="U59" s="646"/>
      <c r="V59" s="646"/>
      <c r="W59" s="646"/>
      <c r="X59" s="646"/>
      <c r="Y59" s="935"/>
      <c r="Z59" s="646"/>
      <c r="AA59" s="646"/>
      <c r="AB59" s="647"/>
      <c r="AC59" s="647"/>
      <c r="AD59" s="647"/>
      <c r="AE59" s="647"/>
      <c r="AF59" s="647"/>
      <c r="AG59" s="647"/>
      <c r="AH59" s="647"/>
      <c r="AI59" s="647"/>
      <c r="AJ59" s="647"/>
      <c r="AK59" s="647">
        <f>C59</f>
        <v>1</v>
      </c>
      <c r="AL59" s="647"/>
      <c r="AM59" s="646"/>
      <c r="AN59" s="646"/>
      <c r="AO59" s="646"/>
      <c r="AP59" s="646"/>
      <c r="AQ59" s="646"/>
      <c r="AR59" s="646"/>
      <c r="AS59" s="646"/>
      <c r="AT59" s="646"/>
      <c r="AU59" s="646"/>
      <c r="AV59" s="646"/>
      <c r="AW59" s="646"/>
      <c r="AX59" s="646"/>
      <c r="AY59" s="646"/>
      <c r="AZ59" s="646"/>
      <c r="BA59" s="647"/>
      <c r="BB59" s="647"/>
      <c r="BC59" s="647"/>
      <c r="BD59" s="647"/>
      <c r="BE59" s="647"/>
      <c r="BF59" s="647"/>
      <c r="BG59" s="647"/>
      <c r="BH59" s="647"/>
      <c r="BI59" s="647"/>
      <c r="BJ59" s="647"/>
      <c r="BK59" s="647"/>
      <c r="BL59" s="647"/>
      <c r="BM59" s="647"/>
      <c r="BN59" s="647"/>
      <c r="BO59" s="647"/>
      <c r="BP59" s="647"/>
      <c r="BQ59" s="647"/>
      <c r="BR59" s="647"/>
      <c r="BS59" s="647"/>
      <c r="BT59" s="711" t="s">
        <v>2025</v>
      </c>
      <c r="CD59" s="404">
        <f>IF(RRImmédiat!$G59&gt;1.2,1,0)</f>
        <v>1</v>
      </c>
    </row>
    <row r="60" spans="1:89">
      <c r="A60" s="412" t="s">
        <v>1133</v>
      </c>
      <c r="B60" s="629" t="str">
        <f>AUTOQUESTIONNAIRE!D60</f>
        <v>Avez-vous réalisé une analyse de sang ou d’urine au cours des 12 derniers mois ? (non=0, oui=1)</v>
      </c>
      <c r="C60" s="394">
        <f>AUTOQUESTIONNAIRE!G60</f>
        <v>0</v>
      </c>
      <c r="F60" s="646"/>
      <c r="G60" s="646"/>
      <c r="H60" s="646"/>
      <c r="I60" s="646"/>
      <c r="J60" s="646"/>
      <c r="K60" s="646"/>
      <c r="L60" s="646"/>
      <c r="M60" s="646"/>
      <c r="N60" s="646"/>
      <c r="O60" s="646"/>
      <c r="P60" s="646"/>
      <c r="Q60" s="646"/>
      <c r="R60" s="646"/>
      <c r="S60" s="646"/>
      <c r="T60" s="646"/>
      <c r="U60" s="646"/>
      <c r="V60" s="646"/>
      <c r="W60" s="646"/>
      <c r="X60" s="646"/>
      <c r="Y60" s="935"/>
      <c r="Z60" s="646"/>
      <c r="AA60" s="646"/>
      <c r="AB60" s="647"/>
      <c r="AC60" s="647"/>
      <c r="AD60" s="647"/>
      <c r="AE60" s="647"/>
      <c r="AF60" s="647"/>
      <c r="AG60" s="647"/>
      <c r="AH60" s="647"/>
      <c r="AI60" s="647"/>
      <c r="AJ60" s="647"/>
      <c r="AK60" s="647"/>
      <c r="AL60" s="647"/>
      <c r="AM60" s="646"/>
      <c r="AN60" s="646"/>
      <c r="AO60" s="646"/>
      <c r="AP60" s="646"/>
      <c r="AQ60" s="646"/>
      <c r="AR60" s="646"/>
      <c r="AS60" s="646"/>
      <c r="AT60" s="646"/>
      <c r="AU60" s="646"/>
      <c r="AV60" s="646"/>
      <c r="AW60" s="646"/>
      <c r="AX60" s="646"/>
      <c r="AY60" s="646"/>
      <c r="AZ60" s="646"/>
      <c r="BA60" s="647"/>
      <c r="BB60" s="647"/>
      <c r="BC60" s="647"/>
      <c r="BD60" s="647"/>
      <c r="BE60" s="647"/>
      <c r="BF60" s="647"/>
      <c r="BG60" s="647"/>
      <c r="BH60" s="647"/>
      <c r="BI60" s="647"/>
      <c r="BJ60" s="647"/>
      <c r="BK60" s="647"/>
      <c r="BL60" s="647"/>
      <c r="BM60" s="647"/>
      <c r="BN60" s="647"/>
      <c r="BO60" s="647"/>
      <c r="BP60" s="647"/>
      <c r="BQ60" s="647"/>
      <c r="BR60" s="647"/>
      <c r="BS60" s="647"/>
      <c r="BT60" s="617" t="s">
        <v>1663</v>
      </c>
      <c r="CD60" s="404">
        <f>IF(RRImmédiat!$G60&gt;1.2,1,0)</f>
        <v>0</v>
      </c>
    </row>
    <row r="61" spans="1:89">
      <c r="A61" s="412" t="s">
        <v>1133</v>
      </c>
      <c r="B61" s="629" t="str">
        <f>AUTOQUESTIONNAIRE!D61</f>
        <v>Avez-vous déjà réalisé un test de dépistage d’infections sexuellement transmissibles au cours des 12 derniers mois? (non=0, oui=1)</v>
      </c>
      <c r="C61" s="394">
        <f>AUTOQUESTIONNAIRE!G52</f>
        <v>1</v>
      </c>
      <c r="F61" s="646"/>
      <c r="G61" s="646"/>
      <c r="H61" s="646"/>
      <c r="I61" s="646"/>
      <c r="J61" s="646"/>
      <c r="K61" s="646"/>
      <c r="L61" s="646"/>
      <c r="M61" s="646"/>
      <c r="N61" s="646"/>
      <c r="O61" s="646"/>
      <c r="P61" s="646"/>
      <c r="Q61" s="646"/>
      <c r="R61" s="646"/>
      <c r="S61" s="646"/>
      <c r="T61" s="646"/>
      <c r="U61" s="646"/>
      <c r="V61" s="646"/>
      <c r="W61" s="646"/>
      <c r="X61" s="646"/>
      <c r="Y61" s="935"/>
      <c r="Z61" s="646"/>
      <c r="AA61" s="646"/>
      <c r="AB61" s="647"/>
      <c r="AC61" s="647"/>
      <c r="AD61" s="647"/>
      <c r="AE61" s="647"/>
      <c r="AF61" s="647"/>
      <c r="AG61" s="647"/>
      <c r="AH61" s="647"/>
      <c r="AI61" s="647"/>
      <c r="AJ61" s="647"/>
      <c r="AK61" s="647"/>
      <c r="AL61" s="647"/>
      <c r="AM61" s="646"/>
      <c r="AN61" s="646"/>
      <c r="AO61" s="646"/>
      <c r="AP61" s="646"/>
      <c r="AQ61" s="646"/>
      <c r="AR61" s="646"/>
      <c r="AS61" s="646"/>
      <c r="AT61" s="646"/>
      <c r="AU61" s="646"/>
      <c r="AV61" s="646"/>
      <c r="AW61" s="646"/>
      <c r="AX61" s="646"/>
      <c r="AY61" s="646"/>
      <c r="AZ61" s="646"/>
      <c r="BA61" s="647"/>
      <c r="BB61" s="647"/>
      <c r="BC61" s="647"/>
      <c r="BD61" s="647"/>
      <c r="BE61" s="647"/>
      <c r="BF61" s="647"/>
      <c r="BG61" s="647"/>
      <c r="BH61" s="647"/>
      <c r="BI61" s="647"/>
      <c r="BJ61" s="647"/>
      <c r="BK61" s="647"/>
      <c r="BL61" s="647"/>
      <c r="BM61" s="647"/>
      <c r="BN61" s="647"/>
      <c r="BO61" s="647"/>
      <c r="BP61" s="647"/>
      <c r="BQ61" s="647"/>
      <c r="BR61" s="647"/>
      <c r="BS61" s="647"/>
      <c r="BT61" s="617" t="s">
        <v>2026</v>
      </c>
      <c r="CH61" s="404">
        <f>IF(RRImmédiat!$G61&gt;1.2,1,0)</f>
        <v>0</v>
      </c>
    </row>
    <row r="62" spans="1:89">
      <c r="A62" s="412" t="s">
        <v>1133</v>
      </c>
      <c r="B62" s="629" t="str">
        <f>AUTOQUESTIONNAIRE!D62</f>
        <v>Avez-vous été vacciné(e) contre la grippe cette année ou l’année dernière ? (non=0, oui=1)</v>
      </c>
      <c r="C62" s="394">
        <f>AUTOQUESTIONNAIRE!G62</f>
        <v>1</v>
      </c>
      <c r="F62" s="646"/>
      <c r="G62" s="646"/>
      <c r="H62" s="646"/>
      <c r="I62" s="646"/>
      <c r="J62" s="646"/>
      <c r="K62" s="646"/>
      <c r="L62" s="646"/>
      <c r="M62" s="646"/>
      <c r="N62" s="646"/>
      <c r="O62" s="646"/>
      <c r="P62" s="646"/>
      <c r="Q62" s="646"/>
      <c r="R62" s="646"/>
      <c r="S62" s="646"/>
      <c r="T62" s="646"/>
      <c r="U62" s="646"/>
      <c r="V62" s="646"/>
      <c r="W62" s="646"/>
      <c r="X62" s="646"/>
      <c r="Y62" s="935"/>
      <c r="Z62" s="646"/>
      <c r="AA62" s="646"/>
      <c r="AB62" s="647"/>
      <c r="AC62" s="647"/>
      <c r="AD62" s="647"/>
      <c r="AE62" s="647"/>
      <c r="AF62" s="647"/>
      <c r="AG62" s="647"/>
      <c r="AH62" s="647"/>
      <c r="AI62" s="647"/>
      <c r="AJ62" s="647"/>
      <c r="AK62" s="647"/>
      <c r="AL62" s="647"/>
      <c r="AM62" s="646"/>
      <c r="AN62" s="646"/>
      <c r="AO62" s="646"/>
      <c r="AP62" s="646"/>
      <c r="AQ62" s="646"/>
      <c r="AR62" s="646"/>
      <c r="AS62" s="646"/>
      <c r="AT62" s="646"/>
      <c r="AU62" s="646"/>
      <c r="AV62" s="646"/>
      <c r="AW62" s="646"/>
      <c r="AX62" s="646"/>
      <c r="AY62" s="646"/>
      <c r="AZ62" s="646"/>
      <c r="BA62" s="647"/>
      <c r="BB62" s="647"/>
      <c r="BC62" s="647"/>
      <c r="BD62" s="646">
        <f>$C62</f>
        <v>1</v>
      </c>
      <c r="BE62" s="646"/>
      <c r="BF62" s="646"/>
      <c r="BG62" s="647"/>
      <c r="BH62" s="647"/>
      <c r="BI62" s="647"/>
      <c r="BJ62" s="647"/>
      <c r="BK62" s="647"/>
      <c r="BL62" s="647"/>
      <c r="BM62" s="647"/>
      <c r="BN62" s="647"/>
      <c r="BO62" s="647"/>
      <c r="BP62" s="647"/>
      <c r="BQ62" s="647"/>
      <c r="BR62" s="647"/>
      <c r="BS62" s="647"/>
      <c r="BT62" s="617" t="s">
        <v>784</v>
      </c>
      <c r="CK62" s="404">
        <f>IF(RRImmédiat!$G62&gt;1.2,1,0)</f>
        <v>0</v>
      </c>
    </row>
    <row r="63" spans="1:89">
      <c r="A63" s="412" t="s">
        <v>1133</v>
      </c>
      <c r="B63" s="629" t="str">
        <f>AUTOQUESTIONNAIRE!D63</f>
        <v>Avez-vous reçu le vaccin contre le zona ?  (oui=1, non=0, ne sais pas=2)</v>
      </c>
      <c r="C63" s="394">
        <f>AUTOQUESTIONNAIRE!G63</f>
        <v>1</v>
      </c>
      <c r="F63" s="646"/>
      <c r="G63" s="646"/>
      <c r="H63" s="646"/>
      <c r="I63" s="646"/>
      <c r="J63" s="646"/>
      <c r="K63" s="646"/>
      <c r="L63" s="646"/>
      <c r="M63" s="646"/>
      <c r="N63" s="646"/>
      <c r="O63" s="646"/>
      <c r="P63" s="646"/>
      <c r="Q63" s="646"/>
      <c r="R63" s="646"/>
      <c r="S63" s="646"/>
      <c r="T63" s="646"/>
      <c r="U63" s="646"/>
      <c r="V63" s="646"/>
      <c r="W63" s="646"/>
      <c r="X63" s="646"/>
      <c r="Y63" s="935"/>
      <c r="Z63" s="646"/>
      <c r="AA63" s="646"/>
      <c r="AB63" s="647"/>
      <c r="AC63" s="647"/>
      <c r="AD63" s="647"/>
      <c r="AE63" s="647"/>
      <c r="AF63" s="647"/>
      <c r="AG63" s="647"/>
      <c r="AH63" s="647"/>
      <c r="AI63" s="647"/>
      <c r="AJ63" s="647"/>
      <c r="AK63" s="647"/>
      <c r="AL63" s="647"/>
      <c r="AM63" s="646"/>
      <c r="AN63" s="646"/>
      <c r="AO63" s="646"/>
      <c r="AP63" s="646"/>
      <c r="AQ63" s="646"/>
      <c r="AR63" s="646"/>
      <c r="AS63" s="646"/>
      <c r="AT63" s="646"/>
      <c r="AU63" s="646"/>
      <c r="AV63" s="646"/>
      <c r="AW63" s="646"/>
      <c r="AX63" s="646"/>
      <c r="AY63" s="646"/>
      <c r="AZ63" s="646"/>
      <c r="BA63" s="647"/>
      <c r="BB63" s="646">
        <f>$C63</f>
        <v>1</v>
      </c>
      <c r="BC63" s="647"/>
      <c r="BD63" s="647"/>
      <c r="BE63" s="647"/>
      <c r="BF63" s="647"/>
      <c r="BG63" s="647"/>
      <c r="BH63" s="647"/>
      <c r="BI63" s="647"/>
      <c r="BJ63" s="647"/>
      <c r="BK63" s="647"/>
      <c r="BL63" s="647"/>
      <c r="BM63" s="647"/>
      <c r="BN63" s="647"/>
      <c r="BO63" s="647"/>
      <c r="BP63" s="647"/>
      <c r="BQ63" s="647"/>
      <c r="BR63" s="647"/>
      <c r="BS63" s="647"/>
      <c r="BT63" s="617" t="s">
        <v>2027</v>
      </c>
      <c r="CK63" s="404">
        <f>IF(RRImmédiat!$G61&gt;1.2,1,0)</f>
        <v>0</v>
      </c>
    </row>
    <row r="64" spans="1:89">
      <c r="A64" s="412" t="s">
        <v>1133</v>
      </c>
      <c r="B64" s="629" t="str">
        <f>AUTOQUESTIONNAIRE!D64</f>
        <v>Êtes-vous à jour dans vos vaccinations et rappels contre le tétanos (un rappel est recommandé tous les 10 ans) ?  (oui=1, non=0, ne sais pas=2)</v>
      </c>
      <c r="C64" s="394">
        <f>AUTOQUESTIONNAIRE!G64</f>
        <v>1</v>
      </c>
      <c r="F64" s="646"/>
      <c r="G64" s="646"/>
      <c r="H64" s="646"/>
      <c r="I64" s="646"/>
      <c r="J64" s="646"/>
      <c r="K64" s="646"/>
      <c r="L64" s="646"/>
      <c r="M64" s="646"/>
      <c r="N64" s="646"/>
      <c r="O64" s="646"/>
      <c r="P64" s="646"/>
      <c r="Q64" s="646"/>
      <c r="R64" s="646"/>
      <c r="S64" s="646"/>
      <c r="T64" s="646"/>
      <c r="U64" s="646"/>
      <c r="V64" s="646"/>
      <c r="W64" s="646"/>
      <c r="X64" s="646"/>
      <c r="Y64" s="935"/>
      <c r="Z64" s="646"/>
      <c r="AA64" s="646"/>
      <c r="AB64" s="647"/>
      <c r="AC64" s="647"/>
      <c r="AD64" s="647"/>
      <c r="AE64" s="647"/>
      <c r="AF64" s="647"/>
      <c r="AG64" s="647"/>
      <c r="AH64" s="647"/>
      <c r="AI64" s="647"/>
      <c r="AJ64" s="647"/>
      <c r="AK64" s="647"/>
      <c r="AL64" s="647"/>
      <c r="AM64" s="646"/>
      <c r="AN64" s="646"/>
      <c r="AO64" s="646"/>
      <c r="AP64" s="646"/>
      <c r="AQ64" s="646"/>
      <c r="AR64" s="646"/>
      <c r="AS64" s="646"/>
      <c r="AT64" s="646"/>
      <c r="AU64" s="646"/>
      <c r="AV64" s="646"/>
      <c r="AW64" s="646"/>
      <c r="AX64" s="646"/>
      <c r="AY64" s="646"/>
      <c r="AZ64" s="646"/>
      <c r="BA64" s="647"/>
      <c r="BB64" s="647"/>
      <c r="BC64" s="646">
        <f>$C64</f>
        <v>1</v>
      </c>
      <c r="BD64" s="647"/>
      <c r="BE64" s="647"/>
      <c r="BF64" s="647"/>
      <c r="BG64" s="647"/>
      <c r="BH64" s="647"/>
      <c r="BI64" s="647"/>
      <c r="BJ64" s="647"/>
      <c r="BK64" s="647"/>
      <c r="BL64" s="647"/>
      <c r="BM64" s="647"/>
      <c r="BN64" s="647"/>
      <c r="BO64" s="647"/>
      <c r="BP64" s="647"/>
      <c r="BQ64" s="647"/>
      <c r="BR64" s="647"/>
      <c r="BS64" s="647"/>
      <c r="BT64" s="617" t="s">
        <v>2031</v>
      </c>
    </row>
    <row r="65" spans="1:90">
      <c r="A65" s="412" t="s">
        <v>1133</v>
      </c>
      <c r="B65" s="629" t="str">
        <f>AUTOQUESTIONNAIRE!D65</f>
        <v>Avez-vous consulté un gynécologue ou un urologue au cours des 12 derniers mois ? (non=0, oui=1)</v>
      </c>
      <c r="C65" s="394">
        <f>AUTOQUESTIONNAIRE!G65</f>
        <v>1</v>
      </c>
      <c r="F65" s="646"/>
      <c r="G65" s="646"/>
      <c r="H65" s="646"/>
      <c r="I65" s="646"/>
      <c r="J65" s="646"/>
      <c r="K65" s="646"/>
      <c r="L65" s="646"/>
      <c r="M65" s="646"/>
      <c r="N65" s="646"/>
      <c r="O65" s="646"/>
      <c r="P65" s="646"/>
      <c r="Q65" s="646"/>
      <c r="R65" s="646"/>
      <c r="S65" s="646"/>
      <c r="T65" s="646"/>
      <c r="U65" s="646"/>
      <c r="V65" s="646"/>
      <c r="W65" s="646"/>
      <c r="X65" s="646"/>
      <c r="Y65" s="935"/>
      <c r="Z65" s="646"/>
      <c r="AA65" s="646"/>
      <c r="AB65" s="647"/>
      <c r="AC65" s="647"/>
      <c r="AD65" s="647"/>
      <c r="AE65" s="647"/>
      <c r="AF65" s="647"/>
      <c r="AG65" s="647"/>
      <c r="AH65" s="647"/>
      <c r="AI65" s="647"/>
      <c r="AJ65" s="647"/>
      <c r="AK65" s="647"/>
      <c r="AL65" s="647"/>
      <c r="AM65" s="646"/>
      <c r="AN65" s="646"/>
      <c r="AO65" s="646"/>
      <c r="AP65" s="646">
        <f>C65</f>
        <v>1</v>
      </c>
      <c r="AQ65" s="646"/>
      <c r="AR65" s="646"/>
      <c r="AS65" s="646"/>
      <c r="AT65" s="646"/>
      <c r="AU65" s="646"/>
      <c r="AV65" s="646"/>
      <c r="AW65" s="646"/>
      <c r="AX65" s="646"/>
      <c r="AY65" s="646"/>
      <c r="AZ65" s="646"/>
      <c r="BA65" s="647"/>
      <c r="BB65" s="647"/>
      <c r="BC65" s="647"/>
      <c r="BD65" s="647"/>
      <c r="BE65" s="647"/>
      <c r="BF65" s="647"/>
      <c r="BG65" s="647"/>
      <c r="BH65" s="647"/>
      <c r="BI65" s="647"/>
      <c r="BJ65" s="647"/>
      <c r="BK65" s="647"/>
      <c r="BL65" s="647"/>
      <c r="BM65" s="647"/>
      <c r="BN65" s="647"/>
      <c r="BO65" s="647"/>
      <c r="BP65" s="647"/>
      <c r="BQ65" s="647"/>
      <c r="BR65" s="647"/>
      <c r="BS65" s="647"/>
      <c r="BT65" s="617" t="s">
        <v>2030</v>
      </c>
    </row>
    <row r="66" spans="1:90">
      <c r="A66" s="412" t="s">
        <v>1133</v>
      </c>
      <c r="B66" s="629" t="str">
        <f>AUTOQUESTIONNAIRE!D66</f>
        <v>Avez-vous été vacciné(e) contre l’hépatite B ?  (oui=1, non=0, ne sais pas=2)</v>
      </c>
      <c r="C66" s="394">
        <f>AUTOQUESTIONNAIRE!G66</f>
        <v>0</v>
      </c>
      <c r="F66" s="438"/>
      <c r="G66" s="438"/>
      <c r="H66" s="438"/>
      <c r="I66" s="438"/>
      <c r="J66" s="438"/>
      <c r="K66" s="438"/>
      <c r="L66" s="438"/>
      <c r="M66" s="438"/>
      <c r="N66" s="438"/>
      <c r="O66" s="438"/>
      <c r="P66" s="438"/>
      <c r="Q66" s="438"/>
      <c r="R66" s="438"/>
      <c r="S66" s="438"/>
      <c r="T66" s="438"/>
      <c r="U66" s="438"/>
      <c r="V66" s="438"/>
      <c r="W66" s="438"/>
      <c r="X66" s="438"/>
      <c r="Y66" s="935"/>
      <c r="Z66" s="438"/>
      <c r="AA66" s="438"/>
      <c r="BH66" s="646">
        <f t="shared" ref="BF66:BH67" si="22">$C66</f>
        <v>0</v>
      </c>
    </row>
    <row r="67" spans="1:90">
      <c r="A67" s="412" t="s">
        <v>1133</v>
      </c>
      <c r="B67" s="629" t="str">
        <f>AUTOQUESTIONNAIRE!D67</f>
        <v>Etes vous vacciné contre la COVID 19 l'an dernier ?  (oui=1, non=0)</v>
      </c>
      <c r="C67" s="394">
        <f>AUTOQUESTIONNAIRE!G67</f>
        <v>1</v>
      </c>
      <c r="F67" s="437"/>
      <c r="G67" s="437"/>
      <c r="H67" s="437"/>
      <c r="I67" s="437"/>
      <c r="J67" s="437"/>
      <c r="K67" s="437"/>
      <c r="L67" s="437"/>
      <c r="M67" s="437"/>
      <c r="N67" s="437"/>
      <c r="O67" s="437"/>
      <c r="P67" s="437"/>
      <c r="Q67" s="437"/>
      <c r="R67" s="437"/>
      <c r="S67" s="437"/>
      <c r="T67" s="437"/>
      <c r="U67" s="437"/>
      <c r="V67" s="437"/>
      <c r="W67" s="437"/>
      <c r="X67" s="437"/>
      <c r="Y67" s="934"/>
      <c r="Z67" s="437"/>
      <c r="AA67" s="437"/>
      <c r="AB67" s="437"/>
      <c r="AC67" s="437"/>
      <c r="AD67" s="437"/>
      <c r="AE67" s="437"/>
      <c r="AF67" s="437"/>
      <c r="AG67" s="437"/>
      <c r="AH67" s="437"/>
      <c r="AI67" s="648"/>
      <c r="AJ67" s="648"/>
      <c r="AK67" s="648"/>
      <c r="AL67" s="648"/>
      <c r="AM67" s="649"/>
      <c r="AN67" s="649"/>
      <c r="AO67" s="649"/>
      <c r="AP67" s="649"/>
      <c r="AQ67" s="649"/>
      <c r="AR67" s="649"/>
      <c r="AS67" s="649"/>
      <c r="AT67" s="649"/>
      <c r="AU67" s="649"/>
      <c r="AV67" s="649"/>
      <c r="AW67" s="649"/>
      <c r="AX67" s="650"/>
      <c r="AY67" s="650"/>
      <c r="AZ67" s="650"/>
      <c r="BA67" s="650"/>
      <c r="BB67" s="651"/>
      <c r="BC67" s="651"/>
      <c r="BD67" s="651"/>
      <c r="BE67" s="651"/>
      <c r="BF67" s="646">
        <f t="shared" si="22"/>
        <v>1</v>
      </c>
      <c r="BG67" s="651"/>
      <c r="BH67" s="651"/>
      <c r="BI67" s="651"/>
      <c r="BJ67" s="651"/>
      <c r="BK67" s="651"/>
      <c r="BL67" s="651"/>
      <c r="BM67" s="651"/>
      <c r="BN67" s="437"/>
      <c r="BO67" s="437"/>
      <c r="BP67" s="437"/>
      <c r="BQ67" s="437"/>
      <c r="BR67" s="437"/>
      <c r="BS67" s="437"/>
      <c r="BU67" s="809"/>
      <c r="BV67" s="809"/>
      <c r="BW67" s="809"/>
      <c r="BX67" s="809"/>
      <c r="BY67" s="809"/>
      <c r="BZ67" s="809"/>
      <c r="CA67" s="809"/>
      <c r="CB67" s="809"/>
      <c r="CC67" s="809"/>
      <c r="CD67" s="809"/>
      <c r="CE67" s="809"/>
    </row>
    <row r="68" spans="1:90">
      <c r="A68" s="396" t="s">
        <v>1024</v>
      </c>
      <c r="B68" s="630" t="str">
        <f>AUTOQUESTIONNAIRE!D68</f>
        <v>Fumez-vous des cigarettes, des cigares ou la pipe ?
(Non-fumeur·se "0" // Fumeur·se actuel·le ou ancien·ne  fumeur·se depuis moins de 5 ans "1" // Ancien·ne fumeur·se depuis plus de 5 ans "0")</v>
      </c>
      <c r="C68" s="394">
        <f>AUTOQUESTIONNAIRE!H68</f>
        <v>0</v>
      </c>
      <c r="F68" s="438">
        <f t="shared" ref="F68:AB78" si="23">$C68</f>
        <v>0</v>
      </c>
      <c r="G68" s="438"/>
      <c r="H68" s="438">
        <f t="shared" si="23"/>
        <v>0</v>
      </c>
      <c r="I68" s="438">
        <f t="shared" si="23"/>
        <v>0</v>
      </c>
      <c r="J68" s="438"/>
      <c r="K68" s="438">
        <f t="shared" si="23"/>
        <v>0</v>
      </c>
      <c r="L68" s="438">
        <f t="shared" si="23"/>
        <v>0</v>
      </c>
      <c r="M68" s="438">
        <f t="shared" si="23"/>
        <v>0</v>
      </c>
      <c r="N68" s="438"/>
      <c r="O68" s="438"/>
      <c r="P68" s="438">
        <f t="shared" si="23"/>
        <v>0</v>
      </c>
      <c r="Q68" s="438">
        <f t="shared" si="23"/>
        <v>0</v>
      </c>
      <c r="R68" s="438"/>
      <c r="S68" s="438">
        <f t="shared" si="23"/>
        <v>0</v>
      </c>
      <c r="T68" s="438"/>
      <c r="U68" s="438">
        <f t="shared" si="23"/>
        <v>0</v>
      </c>
      <c r="V68" s="438"/>
      <c r="W68" s="438">
        <f t="shared" si="23"/>
        <v>0</v>
      </c>
      <c r="X68" s="438"/>
      <c r="Y68" s="935"/>
      <c r="Z68" s="438"/>
      <c r="AA68" s="438">
        <f t="shared" si="5"/>
        <v>0</v>
      </c>
      <c r="AB68" s="438">
        <f t="shared" si="23"/>
        <v>0</v>
      </c>
      <c r="AC68" s="438"/>
      <c r="AD68" s="438"/>
      <c r="AE68" s="438"/>
      <c r="AI68" s="652"/>
      <c r="AJ68" s="438">
        <f t="shared" ref="AJ68" si="24">$C68</f>
        <v>0</v>
      </c>
      <c r="BQ68" s="438">
        <f t="shared" ref="BQ68" si="25">$C68</f>
        <v>0</v>
      </c>
    </row>
    <row r="69" spans="1:90">
      <c r="A69" s="396" t="s">
        <v>1024</v>
      </c>
      <c r="B69" s="630" t="str">
        <f>AUTOQUESTIONNAIRE!D69</f>
        <v>Avez-vous déjà exercé un métier exposé à des risques professionnels (par exemple : production de teintures, pigments, caoutchouc, plastiques, câbles, encres, explosifs, aluminium, médicaments, engrais ou pesticides ; substances radioactives ou rayonnements ionisants ; laboratoires d’analyses médicales, de radiologie ou de médecine nucléaire ; sidérurgie, cokerie, fonderie, industrie textile ou verrière ; ramonage ; manipulation d’huiles usées ou de solvants) ? (non=0, oui=1)</v>
      </c>
      <c r="C69" s="394">
        <f>AUTOQUESTIONNAIRE!H69</f>
        <v>0</v>
      </c>
      <c r="F69" s="438">
        <f t="shared" si="23"/>
        <v>0</v>
      </c>
      <c r="G69" s="438"/>
      <c r="H69" s="438"/>
      <c r="I69" s="438">
        <f t="shared" si="23"/>
        <v>0</v>
      </c>
      <c r="J69" s="438"/>
      <c r="K69" s="438"/>
      <c r="L69" s="438"/>
      <c r="M69" s="438"/>
      <c r="N69" s="438"/>
      <c r="O69" s="438"/>
      <c r="P69" s="438"/>
      <c r="Q69" s="438">
        <f t="shared" si="23"/>
        <v>0</v>
      </c>
      <c r="R69" s="438"/>
      <c r="S69" s="438"/>
      <c r="T69" s="438"/>
      <c r="U69" s="438"/>
      <c r="V69" s="438"/>
      <c r="W69" s="438"/>
      <c r="X69" s="438"/>
      <c r="Y69" s="935"/>
      <c r="Z69" s="438"/>
      <c r="AA69" s="438">
        <f t="shared" si="5"/>
        <v>0</v>
      </c>
      <c r="AB69" s="438">
        <f t="shared" si="23"/>
        <v>0</v>
      </c>
      <c r="AC69" s="438"/>
      <c r="AD69" s="438"/>
      <c r="AE69" s="438"/>
      <c r="AI69" s="652"/>
    </row>
    <row r="70" spans="1:90">
      <c r="A70" s="396" t="s">
        <v>1024</v>
      </c>
      <c r="B70" s="630" t="str">
        <f>AUTOQUESTIONNAIRE!D70</f>
        <v>Votre logement est-il humide ou affecté par des moisissures ? (non=0, oui=1)</v>
      </c>
      <c r="C70" s="394">
        <f>AUTOQUESTIONNAIRE!H70</f>
        <v>0</v>
      </c>
      <c r="F70" s="438">
        <f t="shared" si="23"/>
        <v>0</v>
      </c>
      <c r="G70" s="438"/>
      <c r="H70" s="438"/>
      <c r="I70" s="438">
        <f t="shared" si="23"/>
        <v>0</v>
      </c>
      <c r="J70" s="438"/>
      <c r="K70" s="438"/>
      <c r="L70" s="438"/>
      <c r="M70" s="438"/>
      <c r="N70" s="438"/>
      <c r="O70" s="438"/>
      <c r="P70" s="438"/>
      <c r="Q70" s="438"/>
      <c r="R70" s="438"/>
      <c r="S70" s="438"/>
      <c r="T70" s="438"/>
      <c r="U70" s="438"/>
      <c r="V70" s="438"/>
      <c r="W70" s="438"/>
      <c r="X70" s="438"/>
      <c r="Y70" s="935"/>
      <c r="Z70" s="438"/>
      <c r="AA70" s="438"/>
      <c r="AB70" s="438"/>
      <c r="AC70" s="438"/>
      <c r="AD70" s="438"/>
      <c r="AE70" s="438"/>
      <c r="AI70" s="652"/>
    </row>
    <row r="71" spans="1:90">
      <c r="A71" s="396" t="s">
        <v>1024</v>
      </c>
      <c r="B71" s="630" t="str">
        <f>AUTOQUESTIONNAIRE!D71</f>
        <v>Consommez-vous régulièrement plus d’un demi verre de vin ou plus de deux bières par jour ? (non=0, oui=1)</v>
      </c>
      <c r="C71" s="394">
        <f>AUTOQUESTIONNAIRE!H71</f>
        <v>1</v>
      </c>
      <c r="F71" s="438">
        <f t="shared" si="23"/>
        <v>1</v>
      </c>
      <c r="G71" s="438"/>
      <c r="H71" s="438">
        <f t="shared" si="23"/>
        <v>1</v>
      </c>
      <c r="I71" s="438">
        <f t="shared" si="23"/>
        <v>1</v>
      </c>
      <c r="J71" s="438">
        <f t="shared" si="23"/>
        <v>1</v>
      </c>
      <c r="K71" s="438">
        <f t="shared" si="23"/>
        <v>1</v>
      </c>
      <c r="L71" s="438">
        <f t="shared" si="23"/>
        <v>1</v>
      </c>
      <c r="M71" s="438">
        <f t="shared" si="23"/>
        <v>1</v>
      </c>
      <c r="N71" s="438"/>
      <c r="O71" s="438"/>
      <c r="P71" s="438"/>
      <c r="Q71" s="438">
        <f t="shared" si="23"/>
        <v>1</v>
      </c>
      <c r="R71" s="438"/>
      <c r="S71" s="438"/>
      <c r="T71" s="438"/>
      <c r="U71" s="438"/>
      <c r="V71" s="438"/>
      <c r="W71" s="438"/>
      <c r="X71" s="438"/>
      <c r="Y71" s="935"/>
      <c r="Z71" s="438"/>
      <c r="AA71" s="438">
        <f t="shared" si="5"/>
        <v>1</v>
      </c>
      <c r="AB71" s="438">
        <f t="shared" si="23"/>
        <v>1</v>
      </c>
      <c r="AC71" s="438"/>
      <c r="AD71" s="438"/>
      <c r="AE71" s="438"/>
      <c r="AF71" s="438">
        <f t="shared" ref="AF71" si="26">$C71</f>
        <v>1</v>
      </c>
      <c r="AI71" s="652"/>
    </row>
    <row r="72" spans="1:90">
      <c r="A72" s="396" t="s">
        <v>1024</v>
      </c>
      <c r="B72" s="630" t="str">
        <f>AUTOQUESTIONNAIRE!D72</f>
        <v>Pratiquez-vous une activité physique (par ex. : sport, marche rapide) pendant plus de 30 minutes, plus de deux fois par semaine, ou bien marchez-vous en moyenne plus de 8 000 pas par jour ? (non=0, oui=1)</v>
      </c>
      <c r="C72" s="394">
        <f>AUTOQUESTIONNAIRE!H72</f>
        <v>1</v>
      </c>
      <c r="F72" s="438"/>
      <c r="G72" s="438"/>
      <c r="H72" s="438"/>
      <c r="I72" s="438"/>
      <c r="J72" s="438"/>
      <c r="K72" s="438"/>
      <c r="L72" s="438"/>
      <c r="M72" s="438"/>
      <c r="N72" s="438"/>
      <c r="O72" s="438"/>
      <c r="P72" s="438"/>
      <c r="Q72" s="438"/>
      <c r="R72" s="438"/>
      <c r="S72" s="438"/>
      <c r="T72" s="438"/>
      <c r="U72" s="438"/>
      <c r="V72" s="438"/>
      <c r="W72" s="438"/>
      <c r="X72" s="438"/>
      <c r="Y72" s="935"/>
      <c r="Z72" s="438"/>
      <c r="AA72" s="438"/>
      <c r="AB72" s="438"/>
      <c r="AC72" s="438"/>
      <c r="AD72" s="438"/>
      <c r="AE72" s="438"/>
      <c r="AI72" s="652"/>
    </row>
    <row r="73" spans="1:90">
      <c r="A73" s="396" t="s">
        <v>1024</v>
      </c>
      <c r="B73" s="630" t="str">
        <f>AUTOQUESTIONNAIRE!D73</f>
        <v>Consommez-vous régulièrement au moins cinq portions de fruits et légumes par jour ? (Exemples : 1 tomate, 1 poignée de haricots verts, 1 bol de soupe, 2 abricots, 5 fraises) (non=0, oui=1)</v>
      </c>
      <c r="C73" s="394">
        <f>AUTOQUESTIONNAIRE!H73</f>
        <v>1</v>
      </c>
      <c r="F73" s="438"/>
      <c r="G73" s="438"/>
      <c r="H73" s="438"/>
      <c r="I73" s="438"/>
      <c r="J73" s="438"/>
      <c r="K73" s="438"/>
      <c r="L73" s="438"/>
      <c r="M73" s="438"/>
      <c r="N73" s="438"/>
      <c r="O73" s="438"/>
      <c r="P73" s="438"/>
      <c r="Q73" s="438"/>
      <c r="R73" s="438"/>
      <c r="S73" s="438"/>
      <c r="T73" s="438"/>
      <c r="U73" s="438"/>
      <c r="V73" s="438"/>
      <c r="W73" s="438"/>
      <c r="X73" s="438"/>
      <c r="Y73" s="935"/>
      <c r="Z73" s="438"/>
      <c r="AA73" s="438"/>
      <c r="AB73" s="438"/>
      <c r="AC73" s="438"/>
      <c r="AD73" s="438"/>
      <c r="AE73" s="438"/>
      <c r="AI73" s="652"/>
    </row>
    <row r="74" spans="1:90">
      <c r="A74" s="396" t="s">
        <v>1024</v>
      </c>
      <c r="B74" s="630" t="str">
        <f>AUTOQUESTIONNAIRE!D74</f>
        <v>Au cours des 12 derniers mois, avez-vous consommé des substances récréatives telles que du cannabis (haschisch, marijuana, weed, joints) ou d’autres drogues (par ex. : ecstasy, cocaïne, héroïne) ? (non=0, oui=1)</v>
      </c>
      <c r="C74" s="394">
        <f>AUTOQUESTIONNAIRE!H74</f>
        <v>0</v>
      </c>
      <c r="F74" s="438">
        <f t="shared" ref="F74:I77" si="27">$C74</f>
        <v>0</v>
      </c>
      <c r="G74" s="438"/>
      <c r="H74" s="438"/>
      <c r="I74" s="438">
        <f t="shared" si="27"/>
        <v>0</v>
      </c>
      <c r="J74" s="438"/>
      <c r="K74" s="438"/>
      <c r="L74" s="438"/>
      <c r="M74" s="438"/>
      <c r="N74" s="438"/>
      <c r="O74" s="438"/>
      <c r="P74" s="438"/>
      <c r="Q74" s="438"/>
      <c r="R74" s="438"/>
      <c r="S74" s="438"/>
      <c r="T74" s="438"/>
      <c r="U74" s="438"/>
      <c r="V74" s="438"/>
      <c r="W74" s="438"/>
      <c r="X74" s="438"/>
      <c r="Y74" s="935"/>
      <c r="Z74" s="438"/>
      <c r="AA74" s="438">
        <f t="shared" si="5"/>
        <v>0</v>
      </c>
      <c r="AB74" s="438">
        <f t="shared" si="23"/>
        <v>0</v>
      </c>
      <c r="AC74" s="438"/>
      <c r="AD74" s="438"/>
      <c r="AE74" s="438"/>
      <c r="AG74" s="438">
        <f t="shared" ref="AG74" si="28">$C74</f>
        <v>0</v>
      </c>
      <c r="AI74" s="652"/>
      <c r="AJ74" s="438">
        <f t="shared" ref="AJ74:AJ75" si="29">$C74</f>
        <v>0</v>
      </c>
    </row>
    <row r="75" spans="1:90">
      <c r="A75" s="396" t="s">
        <v>1024</v>
      </c>
      <c r="B75" s="630" t="str">
        <f>AUTOQUESTIONNAIRE!D75</f>
        <v>Au cours des 12 derniers mois, avez-vous misé de l’argent dans des jeux d’argent (par ex. : loto, poker, paris sportifs, courses hippiques) ? (non=0, oui=1)</v>
      </c>
      <c r="C75" s="394">
        <f>AUTOQUESTIONNAIRE!H75</f>
        <v>0</v>
      </c>
      <c r="F75" s="438"/>
      <c r="G75" s="438"/>
      <c r="H75" s="438"/>
      <c r="I75" s="438"/>
      <c r="J75" s="438"/>
      <c r="K75" s="438"/>
      <c r="L75" s="438"/>
      <c r="M75" s="438"/>
      <c r="N75" s="438"/>
      <c r="O75" s="438"/>
      <c r="P75" s="438"/>
      <c r="Q75" s="438"/>
      <c r="R75" s="438"/>
      <c r="S75" s="438"/>
      <c r="T75" s="438"/>
      <c r="U75" s="438"/>
      <c r="V75" s="438"/>
      <c r="W75" s="438"/>
      <c r="X75" s="438"/>
      <c r="Y75" s="935"/>
      <c r="Z75" s="438"/>
      <c r="AA75" s="438"/>
      <c r="AB75" s="438"/>
      <c r="AC75" s="438"/>
      <c r="AD75" s="438"/>
      <c r="AE75" s="438"/>
      <c r="AI75" s="652"/>
      <c r="AJ75" s="438">
        <f t="shared" si="29"/>
        <v>0</v>
      </c>
    </row>
    <row r="76" spans="1:90">
      <c r="A76" s="396" t="s">
        <v>1024</v>
      </c>
      <c r="B76" s="630" t="str">
        <f>AUTOQUESTIONNAIRE!D76</f>
        <v>Souhaitez-vous aborder votre sexualité ? (non=0, oui=1)</v>
      </c>
      <c r="C76" s="394">
        <f>AUTOQUESTIONNAIRE!H76</f>
        <v>0</v>
      </c>
      <c r="D76" s="921"/>
      <c r="E76" s="921"/>
      <c r="F76" s="922"/>
      <c r="G76" s="922"/>
      <c r="H76" s="922"/>
      <c r="I76" s="922"/>
      <c r="J76" s="922"/>
      <c r="K76" s="922"/>
      <c r="L76" s="922"/>
      <c r="M76" s="922"/>
      <c r="N76" s="922"/>
      <c r="O76" s="922"/>
      <c r="P76" s="922"/>
      <c r="Q76" s="922"/>
      <c r="R76" s="922"/>
      <c r="S76" s="922"/>
      <c r="T76" s="922"/>
      <c r="U76" s="922"/>
      <c r="V76" s="922"/>
      <c r="W76" s="922"/>
      <c r="X76" s="922"/>
      <c r="Y76" s="935"/>
      <c r="Z76" s="922"/>
      <c r="AA76" s="922"/>
      <c r="AB76" s="922"/>
      <c r="AC76" s="922"/>
      <c r="AD76" s="922"/>
      <c r="AE76" s="922"/>
      <c r="AF76" s="923"/>
      <c r="AG76" s="923"/>
      <c r="AH76" s="923"/>
      <c r="AI76" s="923"/>
      <c r="AJ76" s="923"/>
      <c r="AK76" s="923"/>
      <c r="AL76" s="923"/>
      <c r="AM76" s="922"/>
      <c r="AN76" s="922"/>
      <c r="AO76" s="922"/>
      <c r="AP76" s="922"/>
      <c r="AQ76" s="922"/>
      <c r="AR76" s="922"/>
      <c r="AS76" s="922"/>
      <c r="AT76" s="922"/>
      <c r="AU76" s="922"/>
      <c r="AV76" s="922"/>
      <c r="AW76" s="922"/>
      <c r="AX76" s="922"/>
      <c r="AY76" s="922"/>
      <c r="AZ76" s="922"/>
      <c r="BA76" s="923"/>
      <c r="BB76" s="923"/>
      <c r="BC76" s="923"/>
      <c r="BD76" s="923"/>
      <c r="BE76" s="923"/>
      <c r="BF76" s="923"/>
      <c r="BG76" s="923"/>
      <c r="BH76" s="923"/>
      <c r="BI76" s="923"/>
      <c r="BJ76" s="923"/>
      <c r="BK76" s="923"/>
      <c r="BL76" s="923"/>
      <c r="BM76" s="923"/>
      <c r="BN76" s="923"/>
      <c r="BO76" s="923"/>
      <c r="BP76" s="923"/>
      <c r="BQ76" s="923"/>
      <c r="BR76" s="923"/>
      <c r="BS76" s="923"/>
      <c r="BT76" s="924"/>
      <c r="BU76" s="921"/>
      <c r="BV76" s="921"/>
      <c r="BW76" s="921"/>
      <c r="BX76" s="921"/>
      <c r="BY76" s="921"/>
      <c r="BZ76" s="921"/>
      <c r="CA76" s="921"/>
      <c r="CB76" s="921"/>
      <c r="CC76" s="921"/>
      <c r="CD76" s="921"/>
      <c r="CE76" s="921"/>
      <c r="CF76" s="921"/>
      <c r="CG76" s="921"/>
      <c r="CH76" s="921"/>
      <c r="CI76" s="921"/>
      <c r="CJ76" s="921"/>
      <c r="CK76" s="921"/>
      <c r="CL76" s="921"/>
    </row>
    <row r="77" spans="1:90">
      <c r="A77" s="396" t="s">
        <v>1024</v>
      </c>
      <c r="B77" s="630" t="str">
        <f>AUTOQUESTIONNAIRE!D77</f>
        <v>Avez-vous eu plus d’un·e partenaire sexuel·le au cours des 12 derniers mois ? (non=0, oui=1)</v>
      </c>
      <c r="C77" s="394">
        <f>AUTOQUESTIONNAIRE!H77</f>
        <v>0</v>
      </c>
      <c r="F77" s="438">
        <f t="shared" si="27"/>
        <v>0</v>
      </c>
      <c r="G77" s="438"/>
      <c r="H77" s="438"/>
      <c r="I77" s="438">
        <f t="shared" si="27"/>
        <v>0</v>
      </c>
      <c r="J77" s="438"/>
      <c r="K77" s="438"/>
      <c r="L77" s="438"/>
      <c r="M77" s="438"/>
      <c r="N77" s="438"/>
      <c r="O77" s="438"/>
      <c r="P77" s="438"/>
      <c r="Q77" s="438"/>
      <c r="R77" s="438"/>
      <c r="S77" s="438"/>
      <c r="T77" s="438"/>
      <c r="U77" s="438">
        <f t="shared" si="23"/>
        <v>0</v>
      </c>
      <c r="V77" s="438"/>
      <c r="W77" s="438"/>
      <c r="X77" s="438">
        <f t="shared" si="23"/>
        <v>0</v>
      </c>
      <c r="Y77" s="935"/>
      <c r="Z77" s="438"/>
      <c r="AA77" s="438"/>
      <c r="AB77" s="438"/>
      <c r="AC77" s="438"/>
      <c r="AD77" s="438"/>
      <c r="AE77" s="438"/>
      <c r="AI77" s="652"/>
    </row>
    <row r="78" spans="1:90">
      <c r="A78" s="396" t="s">
        <v>1024</v>
      </c>
      <c r="B78" s="630" t="str">
        <f>AUTOQUESTIONNAIRE!D78</f>
        <v>Votre partenaire sexuel·le a-t-il/elle été diagnostiqué·e avec une infection sexuellement transmissible (par exemple : VIH, chlamydia, gonorrhée, syphilis) au cours des 12 derniers mois ? (non=0, oui=1)</v>
      </c>
      <c r="C78" s="394">
        <f>AUTOQUESTIONNAIRE!H78</f>
        <v>0</v>
      </c>
      <c r="F78" s="438">
        <f t="shared" ref="F78:I78" si="30">$C78</f>
        <v>0</v>
      </c>
      <c r="G78" s="438"/>
      <c r="H78" s="438"/>
      <c r="I78" s="438">
        <f t="shared" si="30"/>
        <v>0</v>
      </c>
      <c r="J78" s="438"/>
      <c r="K78" s="438"/>
      <c r="L78" s="438"/>
      <c r="M78" s="438"/>
      <c r="N78" s="438"/>
      <c r="O78" s="438"/>
      <c r="P78" s="438"/>
      <c r="Q78" s="438"/>
      <c r="R78" s="438"/>
      <c r="S78" s="438"/>
      <c r="T78" s="438"/>
      <c r="U78" s="438">
        <f t="shared" si="23"/>
        <v>0</v>
      </c>
      <c r="V78" s="438"/>
      <c r="W78" s="438"/>
      <c r="X78" s="438">
        <f t="shared" si="23"/>
        <v>0</v>
      </c>
      <c r="Y78" s="935"/>
      <c r="Z78" s="438"/>
      <c r="AA78" s="438"/>
      <c r="AB78" s="438"/>
      <c r="AC78" s="438"/>
      <c r="AD78" s="438"/>
      <c r="AE78" s="438"/>
      <c r="AI78" s="652"/>
    </row>
    <row r="79" spans="1:90">
      <c r="A79" s="396" t="s">
        <v>1024</v>
      </c>
      <c r="B79" s="930" t="str">
        <f>AUTOQUESTIONNAIRE!D79</f>
        <v>Avez-vous vécu plus d’un an dans un pays fortement ensoleillé ? (ex. : Afrique, Moyen-Orient, DOM-TOM, sud des États-Unis, Australie, etc.) (non=0, oui=1)</v>
      </c>
      <c r="C79" s="926"/>
      <c r="D79" s="413" t="s">
        <v>2713</v>
      </c>
      <c r="E79" s="413">
        <f>AUTOQUESTIONNAIRE!M79</f>
        <v>0</v>
      </c>
      <c r="F79" s="438"/>
      <c r="G79" s="438"/>
      <c r="H79" s="438"/>
      <c r="I79" s="438"/>
      <c r="J79" s="438"/>
      <c r="K79" s="438"/>
      <c r="L79" s="438"/>
      <c r="M79" s="438"/>
      <c r="N79" s="438"/>
      <c r="O79" s="438"/>
      <c r="P79" s="438"/>
      <c r="Q79" s="438"/>
      <c r="R79" s="438"/>
      <c r="S79" s="438"/>
      <c r="T79" s="438"/>
      <c r="U79" s="438"/>
      <c r="V79" s="438"/>
      <c r="W79" s="438"/>
      <c r="X79" s="438"/>
      <c r="Y79" s="438"/>
      <c r="Z79" s="438"/>
      <c r="AA79" s="438"/>
      <c r="AB79" s="438"/>
      <c r="AC79" s="438"/>
      <c r="AD79" s="438"/>
      <c r="AE79" s="438"/>
      <c r="AT79" s="438">
        <f>E79</f>
        <v>0</v>
      </c>
      <c r="BU79" s="393"/>
      <c r="BV79" s="393"/>
      <c r="BW79" s="393"/>
      <c r="BX79" s="393"/>
      <c r="BY79" s="393"/>
      <c r="BZ79" s="393"/>
      <c r="CA79" s="393"/>
      <c r="CB79" s="393"/>
      <c r="CC79" s="393"/>
      <c r="CD79" s="393"/>
      <c r="CE79" s="393"/>
      <c r="CF79" s="393"/>
      <c r="CG79" s="393"/>
      <c r="CH79" s="393"/>
      <c r="CI79" s="393"/>
      <c r="CJ79" s="393"/>
      <c r="CK79" s="393"/>
      <c r="CL79" s="393"/>
    </row>
    <row r="80" spans="1:90">
      <c r="A80" s="396" t="s">
        <v>1024</v>
      </c>
      <c r="B80" s="930" t="str">
        <f>AUTOQUESTIONNAIRE!D80</f>
        <v>Avez-vous plus de 20 grains de beauté au total sur les bras ? (non=0, oui=1)</v>
      </c>
      <c r="C80" s="926"/>
      <c r="D80" s="921"/>
      <c r="E80" s="921"/>
      <c r="F80" s="922"/>
      <c r="G80" s="922"/>
      <c r="H80" s="922"/>
      <c r="I80" s="922"/>
      <c r="J80" s="922"/>
      <c r="K80" s="922"/>
      <c r="L80" s="922"/>
      <c r="M80" s="922"/>
      <c r="N80" s="922"/>
      <c r="O80" s="922"/>
      <c r="P80" s="922"/>
      <c r="Q80" s="922"/>
      <c r="R80" s="922"/>
      <c r="S80" s="922"/>
      <c r="T80" s="922"/>
      <c r="U80" s="922"/>
      <c r="V80" s="922"/>
      <c r="W80" s="922"/>
      <c r="X80" s="922"/>
      <c r="Y80" s="922"/>
      <c r="Z80" s="922"/>
      <c r="AA80" s="922"/>
      <c r="AB80" s="922"/>
      <c r="AC80" s="922"/>
      <c r="AD80" s="922"/>
      <c r="AE80" s="922"/>
      <c r="AF80" s="923"/>
      <c r="AG80" s="923"/>
      <c r="AH80" s="923"/>
      <c r="AI80" s="923"/>
      <c r="AJ80" s="923"/>
      <c r="AK80" s="923"/>
      <c r="AL80" s="923"/>
      <c r="AM80" s="922"/>
      <c r="AN80" s="922"/>
      <c r="AO80" s="922"/>
      <c r="AP80" s="922"/>
      <c r="AQ80" s="922"/>
      <c r="AR80" s="922"/>
      <c r="AS80" s="922"/>
      <c r="AT80" s="922"/>
      <c r="AU80" s="922"/>
      <c r="AV80" s="922"/>
      <c r="AW80" s="922"/>
      <c r="AX80" s="922"/>
      <c r="AY80" s="922"/>
      <c r="AZ80" s="922"/>
      <c r="BA80" s="923"/>
      <c r="BB80" s="923"/>
      <c r="BC80" s="923"/>
      <c r="BD80" s="923"/>
      <c r="BE80" s="923"/>
      <c r="BF80" s="923"/>
      <c r="BG80" s="923"/>
      <c r="BH80" s="923"/>
      <c r="BI80" s="923"/>
      <c r="BJ80" s="923"/>
      <c r="BK80" s="923"/>
      <c r="BL80" s="923"/>
      <c r="BM80" s="923"/>
      <c r="BN80" s="923"/>
      <c r="BO80" s="923"/>
      <c r="BP80" s="923"/>
      <c r="BQ80" s="923"/>
      <c r="BR80" s="923"/>
      <c r="BS80" s="923"/>
      <c r="BT80" s="924"/>
      <c r="BU80" s="921"/>
      <c r="BV80" s="921"/>
      <c r="BW80" s="921"/>
      <c r="BX80" s="921"/>
      <c r="BY80" s="921"/>
      <c r="BZ80" s="921"/>
      <c r="CA80" s="921"/>
      <c r="CB80" s="921"/>
      <c r="CC80" s="921"/>
      <c r="CD80" s="921"/>
      <c r="CE80" s="921"/>
      <c r="CF80" s="921"/>
      <c r="CG80" s="921"/>
      <c r="CH80" s="921"/>
      <c r="CI80" s="921"/>
      <c r="CJ80" s="921"/>
      <c r="CK80" s="921"/>
      <c r="CL80" s="921"/>
    </row>
    <row r="81" spans="1:90">
      <c r="A81" s="396" t="s">
        <v>1024</v>
      </c>
      <c r="B81" s="930" t="str">
        <f>AUTOQUESTIONNAIRE!D81</f>
        <v>Avez-vous déjà eu des coups de soleil sévères avec cloques douloureuses ? (non=0, oui=1)</v>
      </c>
      <c r="C81" s="926"/>
      <c r="D81" s="921"/>
      <c r="E81" s="921"/>
      <c r="F81" s="922"/>
      <c r="G81" s="922"/>
      <c r="H81" s="922"/>
      <c r="I81" s="922"/>
      <c r="J81" s="922"/>
      <c r="K81" s="922"/>
      <c r="L81" s="922"/>
      <c r="M81" s="922"/>
      <c r="N81" s="922"/>
      <c r="O81" s="922"/>
      <c r="P81" s="922"/>
      <c r="Q81" s="922"/>
      <c r="R81" s="922"/>
      <c r="S81" s="922"/>
      <c r="T81" s="922"/>
      <c r="U81" s="922"/>
      <c r="V81" s="922"/>
      <c r="W81" s="922"/>
      <c r="X81" s="922"/>
      <c r="Y81" s="922"/>
      <c r="Z81" s="922"/>
      <c r="AA81" s="922"/>
      <c r="AB81" s="922"/>
      <c r="AC81" s="922"/>
      <c r="AD81" s="922"/>
      <c r="AE81" s="922"/>
      <c r="AF81" s="923"/>
      <c r="AG81" s="923"/>
      <c r="AH81" s="923"/>
      <c r="AI81" s="923"/>
      <c r="AJ81" s="923"/>
      <c r="AK81" s="923"/>
      <c r="AL81" s="923"/>
      <c r="AM81" s="922"/>
      <c r="AN81" s="922"/>
      <c r="AO81" s="922"/>
      <c r="AP81" s="922"/>
      <c r="AQ81" s="922"/>
      <c r="AR81" s="922"/>
      <c r="AS81" s="922"/>
      <c r="AT81" s="922"/>
      <c r="AU81" s="922"/>
      <c r="AV81" s="922"/>
      <c r="AW81" s="922"/>
      <c r="AX81" s="922"/>
      <c r="AY81" s="922"/>
      <c r="AZ81" s="922"/>
      <c r="BA81" s="923"/>
      <c r="BB81" s="923"/>
      <c r="BC81" s="923"/>
      <c r="BD81" s="923"/>
      <c r="BE81" s="923"/>
      <c r="BF81" s="923"/>
      <c r="BG81" s="923"/>
      <c r="BH81" s="923"/>
      <c r="BI81" s="923"/>
      <c r="BJ81" s="923"/>
      <c r="BK81" s="923"/>
      <c r="BL81" s="923"/>
      <c r="BM81" s="923"/>
      <c r="BN81" s="923"/>
      <c r="BO81" s="923"/>
      <c r="BP81" s="923"/>
      <c r="BQ81" s="923"/>
      <c r="BR81" s="923"/>
      <c r="BS81" s="923"/>
      <c r="BT81" s="924"/>
      <c r="BU81" s="921"/>
      <c r="BV81" s="921"/>
      <c r="BW81" s="921"/>
      <c r="BX81" s="921"/>
      <c r="BY81" s="921"/>
      <c r="BZ81" s="921"/>
      <c r="CA81" s="921"/>
      <c r="CB81" s="921"/>
      <c r="CC81" s="921"/>
      <c r="CD81" s="921"/>
      <c r="CE81" s="921"/>
      <c r="CF81" s="921"/>
      <c r="CG81" s="921"/>
      <c r="CH81" s="921"/>
      <c r="CI81" s="921"/>
      <c r="CJ81" s="921"/>
      <c r="CK81" s="921"/>
      <c r="CL81" s="921"/>
    </row>
    <row r="82" spans="1:90">
      <c r="A82" s="396" t="s">
        <v>1024</v>
      </c>
      <c r="B82" s="930" t="str">
        <f>AUTOQUESTIONNAIRE!D82</f>
        <v>Avez-vous la peau très claire qui bronze difficilement ou qui présente facilement des taches de rousseur ? (non=0, oui=1)</v>
      </c>
      <c r="C82" s="926"/>
      <c r="D82" s="921"/>
      <c r="E82" s="921"/>
      <c r="F82" s="922"/>
      <c r="G82" s="922"/>
      <c r="H82" s="922"/>
      <c r="I82" s="922"/>
      <c r="J82" s="922"/>
      <c r="K82" s="922"/>
      <c r="L82" s="922"/>
      <c r="M82" s="922"/>
      <c r="N82" s="922"/>
      <c r="O82" s="922"/>
      <c r="P82" s="922"/>
      <c r="Q82" s="922"/>
      <c r="R82" s="922"/>
      <c r="S82" s="922"/>
      <c r="T82" s="922"/>
      <c r="U82" s="922"/>
      <c r="V82" s="922"/>
      <c r="W82" s="922"/>
      <c r="X82" s="922"/>
      <c r="Y82" s="922"/>
      <c r="Z82" s="922"/>
      <c r="AA82" s="922"/>
      <c r="AB82" s="922"/>
      <c r="AC82" s="922"/>
      <c r="AD82" s="922"/>
      <c r="AE82" s="922"/>
      <c r="AF82" s="923"/>
      <c r="AG82" s="923"/>
      <c r="AH82" s="923"/>
      <c r="AI82" s="923"/>
      <c r="AJ82" s="923"/>
      <c r="AK82" s="923"/>
      <c r="AL82" s="923"/>
      <c r="AM82" s="922"/>
      <c r="AN82" s="922"/>
      <c r="AO82" s="922"/>
      <c r="AP82" s="922"/>
      <c r="AQ82" s="922"/>
      <c r="AR82" s="922"/>
      <c r="AS82" s="922"/>
      <c r="AT82" s="922"/>
      <c r="AU82" s="922"/>
      <c r="AV82" s="922"/>
      <c r="AW82" s="922"/>
      <c r="AX82" s="922"/>
      <c r="AY82" s="922"/>
      <c r="AZ82" s="922"/>
      <c r="BA82" s="923"/>
      <c r="BB82" s="923"/>
      <c r="BC82" s="923"/>
      <c r="BD82" s="923"/>
      <c r="BE82" s="923"/>
      <c r="BF82" s="923"/>
      <c r="BG82" s="923"/>
      <c r="BH82" s="923"/>
      <c r="BI82" s="923"/>
      <c r="BJ82" s="923"/>
      <c r="BK82" s="923"/>
      <c r="BL82" s="923"/>
      <c r="BM82" s="923"/>
      <c r="BN82" s="923"/>
      <c r="BO82" s="923"/>
      <c r="BP82" s="923"/>
      <c r="BQ82" s="923"/>
      <c r="BR82" s="923"/>
      <c r="BS82" s="923"/>
      <c r="BT82" s="924"/>
      <c r="BU82" s="921"/>
      <c r="BV82" s="921"/>
      <c r="BW82" s="921"/>
      <c r="BX82" s="921"/>
      <c r="BY82" s="921"/>
      <c r="BZ82" s="921"/>
      <c r="CA82" s="921"/>
      <c r="CB82" s="921"/>
      <c r="CC82" s="921"/>
      <c r="CD82" s="921"/>
      <c r="CE82" s="921"/>
      <c r="CF82" s="921"/>
      <c r="CG82" s="921"/>
      <c r="CH82" s="921"/>
      <c r="CI82" s="921"/>
      <c r="CJ82" s="921"/>
      <c r="CK82" s="921"/>
      <c r="CL82" s="921"/>
    </row>
    <row r="83" spans="1:90">
      <c r="A83" s="396" t="s">
        <v>1024</v>
      </c>
      <c r="B83" s="630" t="str">
        <f>AUTOQUESTIONNAIRE!D83</f>
        <v>Suivez-vous un régime végan ? (Exclut tous les produits d’origine animale : pas de viande, poisson, produits laitiers, œufs, ni miel) (non=0, oui=1)</v>
      </c>
      <c r="C83" s="394">
        <f>AUTOQUESTIONNAIRE!H83</f>
        <v>0</v>
      </c>
      <c r="D83" s="937" t="s">
        <v>2714</v>
      </c>
      <c r="F83" s="438">
        <f t="shared" ref="F83" si="31">$C83</f>
        <v>0</v>
      </c>
      <c r="G83" s="438"/>
      <c r="H83" s="438"/>
      <c r="I83" s="438"/>
      <c r="J83" s="438"/>
      <c r="K83" s="438"/>
      <c r="L83" s="438"/>
      <c r="M83" s="438">
        <f t="shared" ref="M83" si="32">$C83</f>
        <v>0</v>
      </c>
      <c r="N83" s="438"/>
      <c r="O83" s="438">
        <f t="shared" ref="O83" si="33">$C83</f>
        <v>0</v>
      </c>
      <c r="P83" s="438"/>
      <c r="Q83" s="438">
        <f t="shared" ref="Q83" si="34">$C83</f>
        <v>0</v>
      </c>
      <c r="R83" s="438"/>
      <c r="S83" s="438"/>
      <c r="T83" s="438"/>
      <c r="U83" s="438"/>
      <c r="V83" s="438"/>
      <c r="W83" s="438"/>
      <c r="X83" s="438"/>
      <c r="Y83" s="935"/>
      <c r="Z83" s="438"/>
      <c r="AA83" s="438"/>
      <c r="AB83" s="438"/>
      <c r="AC83" s="438"/>
      <c r="AD83" s="438"/>
      <c r="AE83" s="438">
        <f>$C83</f>
        <v>0</v>
      </c>
      <c r="AI83" s="652"/>
      <c r="AX83" s="438">
        <f t="shared" ref="AX83:AZ83" si="35">$C83</f>
        <v>0</v>
      </c>
      <c r="AY83" s="438">
        <f t="shared" si="35"/>
        <v>0</v>
      </c>
      <c r="AZ83" s="438">
        <f t="shared" si="35"/>
        <v>0</v>
      </c>
    </row>
    <row r="84" spans="1:90">
      <c r="A84" s="396" t="s">
        <v>1024</v>
      </c>
      <c r="B84" s="930" t="str">
        <f>AUTOQUESTIONNAIRE!D84</f>
        <v>Consommez-vous du porc, du bœuf, du veau, de l’agneau ou du mouton ? (0 = Une fois par mois ou jamais ; 1 = Une fois par semaine ; 2 = Plusieurs fois par semaine ; 3 = Plusieurs fois par jour)</v>
      </c>
      <c r="C84" s="926"/>
      <c r="D84" s="921"/>
      <c r="E84" s="921"/>
      <c r="F84" s="922"/>
      <c r="G84" s="922"/>
      <c r="H84" s="922"/>
      <c r="I84" s="922"/>
      <c r="J84" s="922"/>
      <c r="K84" s="922"/>
      <c r="L84" s="922"/>
      <c r="M84" s="922"/>
      <c r="N84" s="922"/>
      <c r="O84" s="922"/>
      <c r="P84" s="922"/>
      <c r="Q84" s="922"/>
      <c r="R84" s="922"/>
      <c r="S84" s="922"/>
      <c r="T84" s="922"/>
      <c r="U84" s="922"/>
      <c r="V84" s="922"/>
      <c r="W84" s="922"/>
      <c r="X84" s="922"/>
      <c r="Y84" s="922"/>
      <c r="Z84" s="922"/>
      <c r="AA84" s="922"/>
      <c r="AB84" s="923"/>
      <c r="AC84" s="923"/>
      <c r="AD84" s="923"/>
      <c r="AE84" s="923"/>
      <c r="AF84" s="923"/>
      <c r="AG84" s="923"/>
      <c r="AH84" s="923"/>
      <c r="AI84" s="923"/>
      <c r="AJ84" s="923"/>
      <c r="AK84" s="923"/>
      <c r="AL84" s="923"/>
      <c r="AM84" s="922"/>
      <c r="AN84" s="922"/>
      <c r="AO84" s="922"/>
      <c r="AP84" s="922"/>
      <c r="AQ84" s="922"/>
      <c r="AR84" s="922"/>
      <c r="AS84" s="922"/>
      <c r="AT84" s="922"/>
      <c r="AU84" s="922"/>
      <c r="AV84" s="922"/>
      <c r="AW84" s="922"/>
      <c r="AX84" s="922"/>
      <c r="AY84" s="922"/>
      <c r="AZ84" s="922"/>
      <c r="BA84" s="923"/>
      <c r="BB84" s="923"/>
      <c r="BC84" s="923"/>
      <c r="BD84" s="923"/>
      <c r="BE84" s="923"/>
      <c r="BF84" s="923"/>
      <c r="BG84" s="923"/>
      <c r="BH84" s="923"/>
      <c r="BI84" s="923"/>
      <c r="BJ84" s="923"/>
      <c r="BK84" s="923"/>
      <c r="BL84" s="923"/>
      <c r="BM84" s="923"/>
      <c r="BN84" s="923"/>
      <c r="BO84" s="923"/>
      <c r="BP84" s="923"/>
      <c r="BQ84" s="923"/>
      <c r="BR84" s="923"/>
      <c r="BS84" s="923"/>
      <c r="BT84" s="924"/>
      <c r="BU84" s="921"/>
      <c r="BV84" s="921"/>
      <c r="BW84" s="921"/>
      <c r="BX84" s="921"/>
      <c r="BY84" s="921"/>
      <c r="BZ84" s="921"/>
      <c r="CA84" s="921"/>
      <c r="CB84" s="921"/>
      <c r="CC84" s="921"/>
      <c r="CD84" s="921"/>
      <c r="CE84" s="921"/>
      <c r="CF84" s="921"/>
      <c r="CG84" s="921"/>
      <c r="CH84" s="921"/>
      <c r="CI84" s="921"/>
      <c r="CJ84" s="921"/>
      <c r="CK84" s="921"/>
      <c r="CL84" s="921"/>
    </row>
    <row r="85" spans="1:90">
      <c r="A85" s="396" t="s">
        <v>1024</v>
      </c>
      <c r="B85" s="930" t="str">
        <f>AUTOQUESTIONNAIRE!D85</f>
        <v>À quelle fréquence consommez-vous des aliments salés (par exemple : charcuterie, chips) ? (0 = Une fois par mois ou jamais ; 1 = Une fois par semaine ; 2 = Plusieurs fois par semaine ; 3 = Plusieurs fois par jour)</v>
      </c>
      <c r="C85" s="926"/>
      <c r="D85" s="921"/>
      <c r="E85" s="921"/>
      <c r="F85" s="922"/>
      <c r="G85" s="922"/>
      <c r="H85" s="922"/>
      <c r="I85" s="922"/>
      <c r="J85" s="922"/>
      <c r="K85" s="922"/>
      <c r="L85" s="922"/>
      <c r="M85" s="922"/>
      <c r="N85" s="922"/>
      <c r="O85" s="922"/>
      <c r="P85" s="922"/>
      <c r="Q85" s="922"/>
      <c r="R85" s="922"/>
      <c r="S85" s="922"/>
      <c r="T85" s="922"/>
      <c r="U85" s="922"/>
      <c r="V85" s="922"/>
      <c r="W85" s="922"/>
      <c r="X85" s="922"/>
      <c r="Y85" s="922"/>
      <c r="Z85" s="922"/>
      <c r="AA85" s="922"/>
      <c r="AB85" s="923"/>
      <c r="AC85" s="923"/>
      <c r="AD85" s="923"/>
      <c r="AE85" s="922"/>
      <c r="AF85" s="923"/>
      <c r="AG85" s="923"/>
      <c r="AH85" s="923"/>
      <c r="AI85" s="923"/>
      <c r="AJ85" s="923"/>
      <c r="AK85" s="923"/>
      <c r="AL85" s="923"/>
      <c r="AM85" s="922"/>
      <c r="AN85" s="922"/>
      <c r="AO85" s="922"/>
      <c r="AP85" s="922"/>
      <c r="AQ85" s="922"/>
      <c r="AR85" s="922"/>
      <c r="AS85" s="922"/>
      <c r="AT85" s="922"/>
      <c r="AU85" s="922"/>
      <c r="AV85" s="922"/>
      <c r="AW85" s="922"/>
      <c r="AX85" s="922"/>
      <c r="AY85" s="922"/>
      <c r="AZ85" s="922"/>
      <c r="BA85" s="923"/>
      <c r="BB85" s="923"/>
      <c r="BC85" s="923"/>
      <c r="BD85" s="923"/>
      <c r="BE85" s="923"/>
      <c r="BF85" s="923"/>
      <c r="BG85" s="923"/>
      <c r="BH85" s="923"/>
      <c r="BI85" s="923"/>
      <c r="BJ85" s="923"/>
      <c r="BK85" s="923"/>
      <c r="BL85" s="923"/>
      <c r="BM85" s="923"/>
      <c r="BN85" s="923"/>
      <c r="BO85" s="923"/>
      <c r="BP85" s="923"/>
      <c r="BQ85" s="923"/>
      <c r="BR85" s="923"/>
      <c r="BS85" s="923"/>
      <c r="BT85" s="924"/>
      <c r="BU85" s="921"/>
      <c r="BV85" s="921"/>
      <c r="BW85" s="921"/>
      <c r="BX85" s="921"/>
      <c r="BY85" s="921"/>
      <c r="BZ85" s="921"/>
      <c r="CA85" s="921"/>
      <c r="CB85" s="921"/>
      <c r="CC85" s="921"/>
      <c r="CD85" s="921"/>
      <c r="CE85" s="921"/>
      <c r="CF85" s="921"/>
      <c r="CG85" s="921"/>
      <c r="CH85" s="921"/>
      <c r="CI85" s="921"/>
      <c r="CJ85" s="921"/>
      <c r="CK85" s="921"/>
      <c r="CL85" s="921"/>
    </row>
    <row r="86" spans="1:90">
      <c r="A86" s="396" t="s">
        <v>1024</v>
      </c>
      <c r="B86" s="630" t="str">
        <f>AUTOQUESTIONNAIRE!D86</f>
        <v>Consommez-vous des produits laitiers ? (1 portion = 1 yaourt, 1 dessert lacté ou 1 verre de lait (150 ml)) 
(0 = 0 à 1 fois par semaine 1 = 2 à 3 fois par semaine 2 = 4 à 6 fois par semaine 3 = Une fois par jour ou plus</v>
      </c>
      <c r="C86" s="394">
        <f>AUTOQUESTIONNAIRE!H86</f>
        <v>0</v>
      </c>
      <c r="F86" s="438"/>
      <c r="G86" s="438"/>
      <c r="H86" s="438"/>
      <c r="I86" s="438"/>
      <c r="J86" s="438"/>
      <c r="K86" s="438"/>
      <c r="L86" s="438"/>
      <c r="M86" s="438"/>
      <c r="N86" s="438"/>
      <c r="O86" s="438"/>
      <c r="P86" s="438"/>
      <c r="Q86" s="438"/>
      <c r="R86" s="438"/>
      <c r="S86" s="438"/>
      <c r="T86" s="438"/>
      <c r="U86" s="438"/>
      <c r="V86" s="438">
        <f>AUTOQUESTIONNAIRE!$H$86</f>
        <v>0</v>
      </c>
      <c r="W86" s="438"/>
      <c r="X86" s="438"/>
      <c r="Y86" s="935"/>
      <c r="Z86" s="438"/>
      <c r="AA86" s="438"/>
      <c r="AI86" s="652"/>
    </row>
    <row r="87" spans="1:90">
      <c r="A87" s="396" t="s">
        <v>1024</v>
      </c>
      <c r="B87" s="930" t="str">
        <f>AUTOQUESTIONNAIRE!D87</f>
        <v>Combien de temps par jour passez-vous devant un écran en dehors du travail (téléphone, télévision, ordinateur) ? 
(0 = Moins d’1 heure ; 1 = Entre 1 et 2 heures ; 2 = Entre 2 et 4 heures ; 3 = Plus de 4 heures)</v>
      </c>
      <c r="C87" s="926"/>
      <c r="D87" s="921"/>
      <c r="E87" s="921"/>
      <c r="F87" s="922"/>
      <c r="G87" s="922"/>
      <c r="H87" s="922"/>
      <c r="I87" s="922"/>
      <c r="J87" s="922"/>
      <c r="K87" s="922"/>
      <c r="L87" s="922"/>
      <c r="M87" s="922"/>
      <c r="N87" s="922"/>
      <c r="O87" s="922"/>
      <c r="P87" s="922"/>
      <c r="Q87" s="922"/>
      <c r="R87" s="922"/>
      <c r="S87" s="922"/>
      <c r="T87" s="922"/>
      <c r="U87" s="922"/>
      <c r="V87" s="922"/>
      <c r="W87" s="922"/>
      <c r="X87" s="922"/>
      <c r="Y87" s="935"/>
      <c r="Z87" s="922"/>
      <c r="AA87" s="922"/>
      <c r="AB87" s="923"/>
      <c r="AC87" s="923"/>
      <c r="AD87" s="923"/>
      <c r="AE87" s="923"/>
      <c r="AF87" s="923"/>
      <c r="AG87" s="923"/>
      <c r="AH87" s="923"/>
      <c r="AI87" s="923"/>
      <c r="AJ87" s="923"/>
      <c r="AK87" s="923"/>
      <c r="AL87" s="923"/>
      <c r="AM87" s="922"/>
      <c r="AN87" s="922"/>
      <c r="AO87" s="922"/>
      <c r="AP87" s="922"/>
      <c r="AQ87" s="922"/>
      <c r="AR87" s="922"/>
      <c r="AS87" s="922"/>
      <c r="AT87" s="922"/>
      <c r="AU87" s="922"/>
      <c r="AV87" s="922"/>
      <c r="AW87" s="922"/>
      <c r="AX87" s="922"/>
      <c r="AY87" s="922"/>
      <c r="AZ87" s="922"/>
      <c r="BA87" s="923"/>
      <c r="BB87" s="923"/>
      <c r="BC87" s="923"/>
      <c r="BD87" s="923"/>
      <c r="BE87" s="923"/>
      <c r="BF87" s="923"/>
      <c r="BG87" s="923"/>
      <c r="BH87" s="923"/>
      <c r="BI87" s="923"/>
      <c r="BJ87" s="923"/>
      <c r="BK87" s="923"/>
      <c r="BL87" s="923"/>
      <c r="BM87" s="923"/>
      <c r="BN87" s="923"/>
      <c r="BO87" s="923"/>
      <c r="BP87" s="923"/>
      <c r="BQ87" s="923"/>
      <c r="BR87" s="923"/>
      <c r="BS87" s="923"/>
      <c r="BT87" s="924"/>
      <c r="BU87" s="921"/>
      <c r="BV87" s="921"/>
      <c r="BW87" s="921"/>
      <c r="BX87" s="921"/>
      <c r="BY87" s="921"/>
      <c r="BZ87" s="921"/>
      <c r="CA87" s="921"/>
      <c r="CB87" s="921"/>
      <c r="CC87" s="921"/>
      <c r="CD87" s="921"/>
      <c r="CE87" s="921"/>
      <c r="CF87" s="921"/>
      <c r="CG87" s="921"/>
      <c r="CH87" s="921"/>
      <c r="CI87" s="921"/>
      <c r="CJ87" s="921"/>
      <c r="CK87" s="921"/>
      <c r="CL87" s="921"/>
    </row>
    <row r="88" spans="1:90">
      <c r="A88" s="396" t="s">
        <v>1024</v>
      </c>
      <c r="B88" s="930" t="str">
        <f>AUTOQUESTIONNAIRE!D88</f>
        <v>Combien de temps par jour passez-vous assis·e ou allongé·e (hors sommeil) ? 
(0 = Moins de 2 heures ; 1 = Entre 2 et 4 heures ; 2 = Entre 4 et 7 heures ; 3 = Plus de 7 heures)</v>
      </c>
      <c r="C88" s="926"/>
      <c r="D88" s="921"/>
      <c r="E88" s="921"/>
      <c r="F88" s="922"/>
      <c r="G88" s="922"/>
      <c r="H88" s="922"/>
      <c r="I88" s="922"/>
      <c r="J88" s="922"/>
      <c r="K88" s="922"/>
      <c r="L88" s="922"/>
      <c r="M88" s="922"/>
      <c r="N88" s="922"/>
      <c r="O88" s="922"/>
      <c r="P88" s="922"/>
      <c r="Q88" s="922"/>
      <c r="R88" s="922"/>
      <c r="S88" s="922"/>
      <c r="T88" s="922"/>
      <c r="U88" s="922"/>
      <c r="V88" s="922"/>
      <c r="W88" s="922"/>
      <c r="X88" s="922"/>
      <c r="Y88" s="935"/>
      <c r="Z88" s="922"/>
      <c r="AA88" s="922"/>
      <c r="AB88" s="923"/>
      <c r="AC88" s="923"/>
      <c r="AD88" s="923"/>
      <c r="AE88" s="923"/>
      <c r="AF88" s="923"/>
      <c r="AG88" s="923"/>
      <c r="AH88" s="923"/>
      <c r="AI88" s="923"/>
      <c r="AJ88" s="923"/>
      <c r="AK88" s="923"/>
      <c r="AL88" s="923"/>
      <c r="AM88" s="922"/>
      <c r="AN88" s="922"/>
      <c r="AO88" s="922"/>
      <c r="AP88" s="922"/>
      <c r="AQ88" s="922"/>
      <c r="AR88" s="922"/>
      <c r="AS88" s="922"/>
      <c r="AT88" s="922"/>
      <c r="AU88" s="922"/>
      <c r="AV88" s="922"/>
      <c r="AW88" s="922"/>
      <c r="AX88" s="922"/>
      <c r="AY88" s="922"/>
      <c r="AZ88" s="922"/>
      <c r="BA88" s="923"/>
      <c r="BB88" s="923"/>
      <c r="BC88" s="923"/>
      <c r="BD88" s="923"/>
      <c r="BE88" s="923"/>
      <c r="BF88" s="923"/>
      <c r="BG88" s="923"/>
      <c r="BH88" s="923"/>
      <c r="BI88" s="923"/>
      <c r="BJ88" s="923"/>
      <c r="BK88" s="923"/>
      <c r="BL88" s="923"/>
      <c r="BM88" s="923"/>
      <c r="BN88" s="923"/>
      <c r="BO88" s="923"/>
      <c r="BP88" s="923"/>
      <c r="BQ88" s="923"/>
      <c r="BR88" s="923"/>
      <c r="BS88" s="923"/>
      <c r="BT88" s="924"/>
      <c r="BU88" s="921"/>
      <c r="BV88" s="921"/>
      <c r="BW88" s="921"/>
      <c r="BX88" s="921"/>
      <c r="BY88" s="921"/>
      <c r="BZ88" s="921"/>
      <c r="CA88" s="921"/>
      <c r="CB88" s="921"/>
      <c r="CC88" s="921"/>
      <c r="CD88" s="921"/>
      <c r="CE88" s="921"/>
      <c r="CF88" s="921"/>
      <c r="CG88" s="921"/>
      <c r="CH88" s="921"/>
      <c r="CI88" s="921"/>
      <c r="CJ88" s="921"/>
      <c r="CK88" s="921"/>
      <c r="CL88" s="921"/>
    </row>
    <row r="89" spans="1:90">
      <c r="A89" s="396" t="s">
        <v>1024</v>
      </c>
      <c r="B89" s="930" t="str">
        <f>AUTOQUESTIONNAIRE!D89</f>
        <v>À quelle fréquence consommez-vous des aliments sucrés (par exemple : sodas, bonbons, pâtisseries, glaces) ? 
(0 = Une fois par mois ou jamais ; 1 = Une fois par semaine ; 2 = Plusieurs fois par semaine ; 3 = Plusieurs fois par jour)</v>
      </c>
      <c r="C89" s="926"/>
      <c r="D89" s="921"/>
      <c r="E89" s="921"/>
      <c r="F89" s="922"/>
      <c r="G89" s="922"/>
      <c r="H89" s="922"/>
      <c r="I89" s="922"/>
      <c r="J89" s="922"/>
      <c r="K89" s="922"/>
      <c r="L89" s="922"/>
      <c r="M89" s="922"/>
      <c r="N89" s="922"/>
      <c r="O89" s="922"/>
      <c r="P89" s="922"/>
      <c r="Q89" s="922"/>
      <c r="R89" s="922"/>
      <c r="S89" s="922"/>
      <c r="T89" s="922"/>
      <c r="U89" s="922"/>
      <c r="V89" s="922"/>
      <c r="W89" s="922"/>
      <c r="X89" s="922"/>
      <c r="Y89" s="935"/>
      <c r="Z89" s="922"/>
      <c r="AA89" s="922"/>
      <c r="AB89" s="923"/>
      <c r="AC89" s="923"/>
      <c r="AD89" s="923"/>
      <c r="AE89" s="922"/>
      <c r="AF89" s="923"/>
      <c r="AG89" s="923"/>
      <c r="AH89" s="923"/>
      <c r="AI89" s="923"/>
      <c r="AJ89" s="923"/>
      <c r="AK89" s="923"/>
      <c r="AL89" s="923"/>
      <c r="AM89" s="922"/>
      <c r="AN89" s="922"/>
      <c r="AO89" s="922"/>
      <c r="AP89" s="922"/>
      <c r="AQ89" s="922"/>
      <c r="AR89" s="922"/>
      <c r="AS89" s="922"/>
      <c r="AT89" s="922"/>
      <c r="AU89" s="922"/>
      <c r="AV89" s="922"/>
      <c r="AW89" s="922"/>
      <c r="AX89" s="922"/>
      <c r="AY89" s="922"/>
      <c r="AZ89" s="922"/>
      <c r="BA89" s="923"/>
      <c r="BB89" s="923"/>
      <c r="BC89" s="923"/>
      <c r="BD89" s="923"/>
      <c r="BE89" s="923"/>
      <c r="BF89" s="923"/>
      <c r="BG89" s="923"/>
      <c r="BH89" s="923"/>
      <c r="BI89" s="923"/>
      <c r="BJ89" s="923"/>
      <c r="BK89" s="923"/>
      <c r="BL89" s="923"/>
      <c r="BM89" s="923"/>
      <c r="BN89" s="923"/>
      <c r="BO89" s="923"/>
      <c r="BP89" s="923"/>
      <c r="BQ89" s="923"/>
      <c r="BR89" s="923"/>
      <c r="BS89" s="923"/>
      <c r="BT89" s="924"/>
      <c r="BU89" s="921"/>
      <c r="BV89" s="921"/>
      <c r="BW89" s="921"/>
      <c r="BX89" s="921"/>
      <c r="BY89" s="921"/>
      <c r="BZ89" s="921"/>
      <c r="CA89" s="921"/>
      <c r="CB89" s="921"/>
      <c r="CC89" s="921"/>
      <c r="CD89" s="921"/>
      <c r="CE89" s="921"/>
      <c r="CF89" s="921"/>
      <c r="CG89" s="921"/>
      <c r="CH89" s="921"/>
      <c r="CI89" s="921"/>
      <c r="CJ89" s="921"/>
      <c r="CK89" s="921"/>
      <c r="CL89" s="921"/>
    </row>
    <row r="90" spans="1:90">
      <c r="A90" s="396" t="s">
        <v>1024</v>
      </c>
      <c r="B90" s="930" t="str">
        <f>AUTOQUESTIONNAIRE!D90</f>
        <v>À quelle fréquence consommez-vous des aliments gras (par exemple : burgers de fast-food, viennoiseries au beurre, pain beurré) ?
(0 = Une fois par mois ou jamais ; 1 = Une fois par semaine ; 2 = Plusieurs fois par semaine ; 3 = Plusieurs fois par jour)</v>
      </c>
      <c r="C90" s="926"/>
      <c r="D90" s="413" t="s">
        <v>1141</v>
      </c>
      <c r="E90" s="931">
        <f>IF(AUTOQUESTIONNAIRE!K81&gt;1.4,1,0)</f>
        <v>0</v>
      </c>
      <c r="F90" s="438">
        <f>$E90</f>
        <v>0</v>
      </c>
      <c r="G90" s="438">
        <f t="shared" ref="G90:S90" si="36">$E90</f>
        <v>0</v>
      </c>
      <c r="H90" s="438">
        <f t="shared" si="36"/>
        <v>0</v>
      </c>
      <c r="I90" s="438">
        <f t="shared" si="36"/>
        <v>0</v>
      </c>
      <c r="J90" s="438">
        <f t="shared" si="36"/>
        <v>0</v>
      </c>
      <c r="K90" s="438"/>
      <c r="L90" s="438"/>
      <c r="M90" s="438"/>
      <c r="N90" s="438"/>
      <c r="O90" s="438"/>
      <c r="P90" s="438"/>
      <c r="Q90" s="438"/>
      <c r="R90" s="438"/>
      <c r="S90" s="438">
        <f t="shared" si="36"/>
        <v>0</v>
      </c>
      <c r="T90" s="438"/>
      <c r="U90" s="438"/>
      <c r="V90" s="438">
        <f t="shared" ref="V90" si="37">$E90</f>
        <v>0</v>
      </c>
      <c r="W90" s="438"/>
      <c r="X90" s="438"/>
      <c r="Y90" s="935"/>
      <c r="Z90" s="438"/>
      <c r="AA90" s="438"/>
      <c r="AB90" s="438"/>
      <c r="AC90" s="438"/>
      <c r="AD90" s="438"/>
      <c r="AE90" s="438">
        <f t="shared" ref="AE90" si="38">$E90</f>
        <v>0</v>
      </c>
      <c r="AI90" s="652"/>
    </row>
    <row r="91" spans="1:90">
      <c r="A91" s="396" t="s">
        <v>1024</v>
      </c>
      <c r="B91" s="630" t="str">
        <f>AUTOQUESTIONNAIRE!D91</f>
        <v>Prenez-vous de la vitamine D régulièrement ou pendant l’hiver ? (non=0, oui=1)</v>
      </c>
      <c r="C91" s="657">
        <f>AUTOQUESTIONNAIRE!I91</f>
        <v>0</v>
      </c>
      <c r="F91" s="438"/>
      <c r="G91" s="438"/>
      <c r="H91" s="438"/>
      <c r="I91" s="438"/>
      <c r="J91" s="438"/>
      <c r="K91" s="438"/>
      <c r="L91" s="438"/>
      <c r="M91" s="438"/>
      <c r="N91" s="438"/>
      <c r="O91" s="438"/>
      <c r="P91" s="438"/>
      <c r="Q91" s="438"/>
      <c r="R91" s="438"/>
      <c r="S91" s="438"/>
      <c r="T91" s="438"/>
      <c r="U91" s="438"/>
      <c r="V91" s="438"/>
      <c r="W91" s="438"/>
      <c r="X91" s="438"/>
      <c r="Y91" s="935"/>
      <c r="Z91" s="438"/>
      <c r="AA91" s="438"/>
      <c r="AI91" s="652"/>
      <c r="AX91" s="438">
        <f t="shared" ref="AX91" si="39">$C91</f>
        <v>0</v>
      </c>
    </row>
    <row r="92" spans="1:90">
      <c r="A92" s="411"/>
      <c r="B92" s="631"/>
      <c r="C92" s="394"/>
      <c r="F92" s="438"/>
      <c r="G92" s="438"/>
      <c r="H92" s="438"/>
      <c r="I92" s="438"/>
      <c r="J92" s="438"/>
      <c r="K92" s="438"/>
      <c r="L92" s="438"/>
      <c r="M92" s="438"/>
      <c r="N92" s="438"/>
      <c r="O92" s="438"/>
      <c r="P92" s="438"/>
      <c r="Q92" s="438"/>
      <c r="R92" s="438"/>
      <c r="S92" s="438"/>
      <c r="T92" s="438"/>
      <c r="U92" s="438"/>
      <c r="V92" s="438"/>
      <c r="W92" s="438"/>
      <c r="X92" s="438"/>
      <c r="Y92" s="935"/>
      <c r="Z92" s="438"/>
      <c r="AA92" s="438"/>
      <c r="AI92" s="652"/>
    </row>
    <row r="93" spans="1:90">
      <c r="A93" s="413" t="s">
        <v>1021</v>
      </c>
      <c r="B93" s="632" t="str">
        <f>AUTOQUESTIONNAIRE!D93</f>
        <v>Suivez-vous actuellement un traitement médical, y compris des compléments alimentaires, des médicaments en vente libre ou des remèdes à base de plantes ? (non=0, oui=1)</v>
      </c>
      <c r="C93" s="394">
        <f>AUTOQUESTIONNAIRE!G93</f>
        <v>0</v>
      </c>
      <c r="F93" s="438"/>
      <c r="G93" s="438"/>
      <c r="H93" s="438"/>
      <c r="I93" s="438"/>
      <c r="J93" s="438"/>
      <c r="K93" s="438"/>
      <c r="L93" s="438"/>
      <c r="M93" s="438"/>
      <c r="N93" s="438"/>
      <c r="O93" s="438"/>
      <c r="P93" s="438"/>
      <c r="Q93" s="438"/>
      <c r="R93" s="438"/>
      <c r="S93" s="438"/>
      <c r="T93" s="438"/>
      <c r="U93" s="438"/>
      <c r="V93" s="438"/>
      <c r="W93" s="438"/>
      <c r="X93" s="438"/>
      <c r="Y93" s="935"/>
      <c r="Z93" s="438"/>
      <c r="AA93" s="438"/>
      <c r="AI93" s="652"/>
    </row>
    <row r="94" spans="1:90">
      <c r="A94" s="413" t="s">
        <v>1021</v>
      </c>
      <c r="B94" s="632" t="str">
        <f>AUTOQUESTIONNAIRE!D94</f>
        <v>Prenez-vous un traitement pour le diabète ? (non=0, oui=1)</v>
      </c>
      <c r="C94" s="394">
        <f>AUTOQUESTIONNAIRE!G94</f>
        <v>0</v>
      </c>
      <c r="F94" s="438"/>
      <c r="G94" s="438">
        <f t="shared" ref="F94:S103" si="40">$C94</f>
        <v>0</v>
      </c>
      <c r="H94" s="438">
        <f t="shared" si="40"/>
        <v>0</v>
      </c>
      <c r="I94" s="438">
        <f t="shared" si="40"/>
        <v>0</v>
      </c>
      <c r="J94" s="438">
        <f t="shared" si="40"/>
        <v>0</v>
      </c>
      <c r="K94" s="438"/>
      <c r="L94" s="438"/>
      <c r="M94" s="438"/>
      <c r="N94" s="438"/>
      <c r="O94" s="438"/>
      <c r="P94" s="438"/>
      <c r="Q94" s="438">
        <f t="shared" si="40"/>
        <v>0</v>
      </c>
      <c r="R94" s="438"/>
      <c r="S94" s="438">
        <f t="shared" si="40"/>
        <v>0</v>
      </c>
      <c r="T94" s="438"/>
      <c r="U94" s="438"/>
      <c r="V94" s="438"/>
      <c r="W94" s="438"/>
      <c r="X94" s="438"/>
      <c r="Y94" s="935"/>
      <c r="Z94" s="438"/>
      <c r="AA94" s="438"/>
      <c r="AI94" s="652"/>
    </row>
    <row r="95" spans="1:90">
      <c r="A95" s="413" t="s">
        <v>1021</v>
      </c>
      <c r="B95" s="632" t="str">
        <f>AUTOQUESTIONNAIRE!D95</f>
        <v>Prenez-vous un traitement pour faire baisser votre cholestérol ? (non=0, oui=1)</v>
      </c>
      <c r="C95" s="394">
        <f>AUTOQUESTIONNAIRE!G95</f>
        <v>1</v>
      </c>
      <c r="F95" s="438"/>
      <c r="G95" s="438">
        <f t="shared" si="40"/>
        <v>1</v>
      </c>
      <c r="H95" s="438">
        <f t="shared" si="40"/>
        <v>1</v>
      </c>
      <c r="I95" s="438">
        <f t="shared" si="40"/>
        <v>1</v>
      </c>
      <c r="J95" s="438">
        <f t="shared" ref="J95:S95" si="41">$C95</f>
        <v>1</v>
      </c>
      <c r="K95" s="438">
        <f t="shared" si="41"/>
        <v>1</v>
      </c>
      <c r="L95" s="438">
        <f t="shared" si="41"/>
        <v>1</v>
      </c>
      <c r="M95" s="438"/>
      <c r="N95" s="438"/>
      <c r="O95" s="438"/>
      <c r="P95" s="438">
        <f t="shared" ref="P95" si="42">$C95</f>
        <v>1</v>
      </c>
      <c r="Q95" s="438">
        <f t="shared" si="41"/>
        <v>1</v>
      </c>
      <c r="R95" s="438"/>
      <c r="S95" s="438">
        <f t="shared" si="41"/>
        <v>1</v>
      </c>
      <c r="T95" s="438"/>
      <c r="U95" s="438"/>
      <c r="V95" s="438"/>
      <c r="W95" s="438"/>
      <c r="X95" s="438"/>
      <c r="Y95" s="935"/>
      <c r="Z95" s="438"/>
      <c r="AA95" s="438"/>
      <c r="AC95" s="438">
        <f t="shared" ref="AC95" si="43">$C95</f>
        <v>1</v>
      </c>
      <c r="AI95" s="652"/>
      <c r="BA95" s="438">
        <f t="shared" ref="BA95" si="44">$C95</f>
        <v>1</v>
      </c>
    </row>
    <row r="96" spans="1:90">
      <c r="A96" s="413" t="s">
        <v>1021</v>
      </c>
      <c r="B96" s="632" t="str">
        <f>AUTOQUESTIONNAIRE!D96</f>
        <v>Prenez-vous un traitement pour prévenir les caillots sanguins (par exemple : aspirine, anticoagulants) ? (non=0, oui=1)</v>
      </c>
      <c r="C96" s="394">
        <f>AUTOQUESTIONNAIRE!G96</f>
        <v>0</v>
      </c>
      <c r="F96" s="438">
        <f t="shared" si="40"/>
        <v>0</v>
      </c>
      <c r="G96" s="438"/>
      <c r="H96" s="438"/>
      <c r="I96" s="438">
        <f t="shared" si="40"/>
        <v>0</v>
      </c>
      <c r="J96" s="438"/>
      <c r="K96" s="438"/>
      <c r="L96" s="438"/>
      <c r="M96" s="438"/>
      <c r="N96" s="438"/>
      <c r="O96" s="438"/>
      <c r="P96" s="438"/>
      <c r="Q96" s="438">
        <f t="shared" si="40"/>
        <v>0</v>
      </c>
      <c r="R96" s="438"/>
      <c r="S96" s="438">
        <f t="shared" si="40"/>
        <v>0</v>
      </c>
      <c r="T96" s="438"/>
      <c r="U96" s="438"/>
      <c r="V96" s="438"/>
      <c r="W96" s="438"/>
      <c r="X96" s="438"/>
      <c r="Y96" s="935"/>
      <c r="Z96" s="438"/>
      <c r="AA96" s="438"/>
      <c r="AI96" s="652"/>
    </row>
    <row r="97" spans="1:90">
      <c r="A97" s="413" t="s">
        <v>1021</v>
      </c>
      <c r="B97" s="632" t="str">
        <f>AUTOQUESTIONNAIRE!D97</f>
        <v>Prenez-vous un traitement pour faire baisser votre tension artérielle ? (non=0, oui=1)</v>
      </c>
      <c r="C97" s="394">
        <f>AUTOQUESTIONNAIRE!G97</f>
        <v>1</v>
      </c>
      <c r="F97" s="438"/>
      <c r="G97" s="438"/>
      <c r="H97" s="438"/>
      <c r="I97" s="438">
        <f t="shared" si="40"/>
        <v>1</v>
      </c>
      <c r="J97" s="438"/>
      <c r="K97" s="438"/>
      <c r="L97" s="438"/>
      <c r="M97" s="438"/>
      <c r="N97" s="438"/>
      <c r="O97" s="438"/>
      <c r="P97" s="438"/>
      <c r="Q97" s="438">
        <f t="shared" si="40"/>
        <v>1</v>
      </c>
      <c r="R97" s="438"/>
      <c r="S97" s="438">
        <f t="shared" ref="S97" si="45">$C97</f>
        <v>1</v>
      </c>
      <c r="T97" s="438"/>
      <c r="U97" s="438"/>
      <c r="V97" s="438"/>
      <c r="W97" s="438"/>
      <c r="X97" s="438"/>
      <c r="Y97" s="935"/>
      <c r="Z97" s="438"/>
      <c r="AA97" s="438"/>
      <c r="AI97" s="652"/>
    </row>
    <row r="98" spans="1:90">
      <c r="A98" s="413" t="s">
        <v>1021</v>
      </c>
      <c r="B98" s="632" t="str">
        <f>AUTOQUESTIONNAIRE!D98</f>
        <v>Prenez-vous un traitement pour améliorer les troubles de l’érection (inhibiteurs de la PDE5) ? (non=0, oui=1)</v>
      </c>
      <c r="C98" s="394">
        <f>AUTOQUESTIONNAIRE!G98</f>
        <v>0</v>
      </c>
      <c r="F98" s="438"/>
      <c r="G98" s="438">
        <f t="shared" ref="F98:Q100" si="46">$C98</f>
        <v>0</v>
      </c>
      <c r="H98" s="438">
        <f t="shared" si="46"/>
        <v>0</v>
      </c>
      <c r="I98" s="438">
        <f t="shared" si="46"/>
        <v>0</v>
      </c>
      <c r="J98" s="438"/>
      <c r="K98" s="438"/>
      <c r="L98" s="438"/>
      <c r="M98" s="438"/>
      <c r="N98" s="438"/>
      <c r="O98" s="438"/>
      <c r="P98" s="438"/>
      <c r="Q98" s="438">
        <f t="shared" si="46"/>
        <v>0</v>
      </c>
      <c r="R98" s="438"/>
      <c r="S98" s="438"/>
      <c r="T98" s="438"/>
      <c r="U98" s="438"/>
      <c r="V98" s="438"/>
      <c r="W98" s="438"/>
      <c r="X98" s="438"/>
      <c r="Y98" s="935"/>
      <c r="Z98" s="438"/>
      <c r="AA98" s="438"/>
      <c r="AI98" s="652"/>
    </row>
    <row r="99" spans="1:90">
      <c r="A99" s="413" t="s">
        <v>1021</v>
      </c>
      <c r="B99" s="632" t="str">
        <f>AUTOQUESTIONNAIRE!D99</f>
        <v>Utilisez-vous une contraception hormonale (par exemple : pilule contraceptive) ? (non=0, oui=1)</v>
      </c>
      <c r="C99" s="394">
        <f>AUTOQUESTIONNAIRE!G99</f>
        <v>0</v>
      </c>
      <c r="F99" s="438">
        <f t="shared" si="46"/>
        <v>0</v>
      </c>
      <c r="G99" s="438">
        <f t="shared" si="46"/>
        <v>0</v>
      </c>
      <c r="H99" s="438">
        <f t="shared" si="46"/>
        <v>0</v>
      </c>
      <c r="I99" s="438">
        <f t="shared" si="46"/>
        <v>0</v>
      </c>
      <c r="J99" s="438">
        <f t="shared" si="46"/>
        <v>0</v>
      </c>
      <c r="K99" s="438">
        <f t="shared" si="46"/>
        <v>0</v>
      </c>
      <c r="L99" s="438">
        <f t="shared" si="46"/>
        <v>0</v>
      </c>
      <c r="M99" s="438"/>
      <c r="N99" s="438"/>
      <c r="O99" s="438"/>
      <c r="P99" s="438"/>
      <c r="Q99" s="438">
        <f t="shared" si="46"/>
        <v>0</v>
      </c>
      <c r="R99" s="438"/>
      <c r="S99" s="438"/>
      <c r="T99" s="438"/>
      <c r="U99" s="438"/>
      <c r="V99" s="438"/>
      <c r="W99" s="438"/>
      <c r="X99" s="438"/>
      <c r="Y99" s="935"/>
      <c r="Z99" s="438"/>
      <c r="AA99" s="438"/>
      <c r="AI99" s="652"/>
    </row>
    <row r="100" spans="1:90">
      <c r="A100" s="413" t="s">
        <v>1021</v>
      </c>
      <c r="B100" s="632" t="str">
        <f>AUTOQUESTIONNAIRE!D100</f>
        <v>Prenez-vous un traitement hormonal substitutif pour la ménopause ou l’andropause ? (non=0, oui=1)</v>
      </c>
      <c r="C100" s="394">
        <f>AUTOQUESTIONNAIRE!I100</f>
        <v>0</v>
      </c>
      <c r="F100" s="438">
        <f t="shared" si="46"/>
        <v>0</v>
      </c>
      <c r="G100" s="438">
        <f t="shared" si="46"/>
        <v>0</v>
      </c>
      <c r="H100" s="438">
        <f t="shared" si="46"/>
        <v>0</v>
      </c>
      <c r="I100" s="438">
        <f t="shared" si="46"/>
        <v>0</v>
      </c>
      <c r="J100" s="438">
        <f t="shared" si="46"/>
        <v>0</v>
      </c>
      <c r="K100" s="438">
        <f t="shared" si="46"/>
        <v>0</v>
      </c>
      <c r="L100" s="438">
        <f t="shared" si="46"/>
        <v>0</v>
      </c>
      <c r="M100" s="438"/>
      <c r="N100" s="438"/>
      <c r="O100" s="438"/>
      <c r="P100" s="438"/>
      <c r="Q100" s="438">
        <f t="shared" si="46"/>
        <v>0</v>
      </c>
      <c r="R100" s="438"/>
      <c r="S100" s="438"/>
      <c r="T100" s="438"/>
      <c r="U100" s="438"/>
      <c r="V100" s="438"/>
      <c r="W100" s="438"/>
      <c r="X100" s="438"/>
      <c r="Y100" s="935"/>
      <c r="Z100" s="438"/>
      <c r="AA100" s="438"/>
      <c r="AI100" s="652"/>
    </row>
    <row r="101" spans="1:90">
      <c r="A101" s="413" t="s">
        <v>1021</v>
      </c>
      <c r="B101" s="929" t="str">
        <f>AUTOQUESTIONNAIRE!D101</f>
        <v>Prenez-vous l’un des médicaments suivants : Dutastéride ou Finastéride (5-ARI) ? (non=0, oui=1)</v>
      </c>
      <c r="C101" s="926"/>
      <c r="D101" s="921"/>
      <c r="E101" s="921"/>
      <c r="F101" s="922"/>
      <c r="G101" s="922"/>
      <c r="H101" s="922"/>
      <c r="I101" s="922"/>
      <c r="J101" s="922"/>
      <c r="K101" s="922"/>
      <c r="L101" s="922"/>
      <c r="M101" s="922"/>
      <c r="N101" s="922"/>
      <c r="O101" s="922"/>
      <c r="P101" s="922"/>
      <c r="Q101" s="922"/>
      <c r="R101" s="922"/>
      <c r="S101" s="922"/>
      <c r="T101" s="922"/>
      <c r="U101" s="922"/>
      <c r="V101" s="922"/>
      <c r="W101" s="922"/>
      <c r="X101" s="922"/>
      <c r="Y101" s="935"/>
      <c r="Z101" s="922"/>
      <c r="AA101" s="922"/>
      <c r="AB101" s="923"/>
      <c r="AC101" s="923"/>
      <c r="AD101" s="923"/>
      <c r="AE101" s="923"/>
      <c r="AF101" s="923"/>
      <c r="AG101" s="923"/>
      <c r="AH101" s="923"/>
      <c r="AI101" s="923"/>
      <c r="AJ101" s="923"/>
      <c r="AK101" s="923"/>
      <c r="AL101" s="923"/>
      <c r="AM101" s="922"/>
      <c r="AN101" s="922"/>
      <c r="AO101" s="922"/>
      <c r="AP101" s="922"/>
      <c r="AQ101" s="922"/>
      <c r="AR101" s="922"/>
      <c r="AS101" s="922"/>
      <c r="AT101" s="922"/>
      <c r="AU101" s="922"/>
      <c r="AV101" s="922"/>
      <c r="AW101" s="922"/>
      <c r="AX101" s="922"/>
      <c r="AY101" s="922"/>
      <c r="AZ101" s="922"/>
      <c r="BA101" s="923"/>
      <c r="BB101" s="923"/>
      <c r="BC101" s="923"/>
      <c r="BD101" s="923"/>
      <c r="BE101" s="923"/>
      <c r="BF101" s="923"/>
      <c r="BG101" s="923"/>
      <c r="BH101" s="923"/>
      <c r="BI101" s="923"/>
      <c r="BJ101" s="923"/>
      <c r="BK101" s="923"/>
      <c r="BL101" s="923"/>
      <c r="BM101" s="923"/>
      <c r="BN101" s="923"/>
      <c r="BO101" s="923"/>
      <c r="BP101" s="923"/>
      <c r="BQ101" s="923"/>
      <c r="BR101" s="923"/>
      <c r="BS101" s="923"/>
      <c r="BT101" s="924"/>
      <c r="BU101" s="921"/>
      <c r="BV101" s="921"/>
      <c r="BW101" s="921"/>
      <c r="BX101" s="921"/>
      <c r="BY101" s="921"/>
      <c r="BZ101" s="921"/>
      <c r="CA101" s="921"/>
      <c r="CB101" s="921"/>
      <c r="CC101" s="921"/>
      <c r="CD101" s="921"/>
      <c r="CE101" s="921"/>
      <c r="CF101" s="921"/>
      <c r="CG101" s="921"/>
      <c r="CH101" s="921"/>
      <c r="CI101" s="921"/>
      <c r="CJ101" s="921"/>
      <c r="CK101" s="921"/>
      <c r="CL101" s="921"/>
    </row>
    <row r="102" spans="1:90">
      <c r="A102" s="413"/>
      <c r="B102" s="930" t="str">
        <f>AUTOQUESTIONNAIRE!D102</f>
        <v>Prenez-vous un traitement pour les troubles du rythme cardiaque (arythmie) ? (non=0, oui=1)</v>
      </c>
      <c r="C102" s="926"/>
      <c r="D102" s="921"/>
      <c r="E102" s="921"/>
      <c r="F102" s="922"/>
      <c r="G102" s="922"/>
      <c r="H102" s="922"/>
      <c r="I102" s="922"/>
      <c r="J102" s="922"/>
      <c r="K102" s="922"/>
      <c r="L102" s="922"/>
      <c r="M102" s="922"/>
      <c r="N102" s="922"/>
      <c r="O102" s="922"/>
      <c r="P102" s="922"/>
      <c r="Q102" s="922"/>
      <c r="R102" s="922"/>
      <c r="S102" s="922"/>
      <c r="T102" s="922"/>
      <c r="U102" s="922"/>
      <c r="V102" s="922"/>
      <c r="W102" s="922"/>
      <c r="X102" s="922"/>
      <c r="Y102" s="935"/>
      <c r="Z102" s="922"/>
      <c r="AA102" s="922"/>
      <c r="AB102" s="923"/>
      <c r="AC102" s="923"/>
      <c r="AD102" s="923"/>
      <c r="AE102" s="923"/>
      <c r="AF102" s="923"/>
      <c r="AG102" s="923"/>
      <c r="AH102" s="923"/>
      <c r="AI102" s="923"/>
      <c r="AJ102" s="923"/>
      <c r="AK102" s="923"/>
      <c r="AL102" s="923"/>
      <c r="AM102" s="922"/>
      <c r="AN102" s="922"/>
      <c r="AO102" s="922"/>
      <c r="AP102" s="922"/>
      <c r="AQ102" s="922"/>
      <c r="AR102" s="922"/>
      <c r="AS102" s="922"/>
      <c r="AT102" s="922"/>
      <c r="AU102" s="922"/>
      <c r="AV102" s="922"/>
      <c r="AW102" s="922"/>
      <c r="AX102" s="922"/>
      <c r="AY102" s="922"/>
      <c r="AZ102" s="922"/>
      <c r="BA102" s="923"/>
      <c r="BB102" s="923"/>
      <c r="BC102" s="923"/>
      <c r="BD102" s="923"/>
      <c r="BE102" s="923"/>
      <c r="BF102" s="923"/>
      <c r="BG102" s="923"/>
      <c r="BH102" s="923"/>
      <c r="BI102" s="923"/>
      <c r="BJ102" s="923"/>
      <c r="BK102" s="923"/>
      <c r="BL102" s="923"/>
      <c r="BM102" s="923"/>
      <c r="BN102" s="923"/>
      <c r="BO102" s="923"/>
      <c r="BP102" s="923"/>
      <c r="BQ102" s="923"/>
      <c r="BR102" s="923"/>
      <c r="BS102" s="923"/>
      <c r="BT102" s="924"/>
      <c r="BU102" s="921"/>
      <c r="BV102" s="921"/>
      <c r="BW102" s="921"/>
      <c r="BX102" s="921"/>
      <c r="BY102" s="921"/>
      <c r="BZ102" s="921"/>
      <c r="CA102" s="921"/>
      <c r="CB102" s="921"/>
      <c r="CC102" s="921"/>
      <c r="CD102" s="921"/>
      <c r="CE102" s="921"/>
      <c r="CF102" s="921"/>
      <c r="CG102" s="921"/>
      <c r="CH102" s="921"/>
      <c r="CI102" s="921"/>
      <c r="CJ102" s="921"/>
      <c r="CK102" s="921"/>
      <c r="CL102" s="921"/>
    </row>
    <row r="103" spans="1:90">
      <c r="A103" s="413"/>
      <c r="B103" s="632" t="str">
        <f>AUTOQUESTIONNAIRE!D103</f>
        <v>Prenez-vous un traitement qui diminue l’activité du système immunitaire (dans le cas de maladies auto-immunes ou de transplantation d’organe) ? (non=0, oui=1)</v>
      </c>
      <c r="C103" s="394">
        <f>AUTOQUESTIONNAIRE!G103</f>
        <v>0</v>
      </c>
      <c r="F103" s="438">
        <f t="shared" si="40"/>
        <v>0</v>
      </c>
      <c r="G103" s="438"/>
      <c r="H103" s="438"/>
      <c r="I103" s="438">
        <f t="shared" si="40"/>
        <v>0</v>
      </c>
      <c r="J103" s="438"/>
      <c r="K103" s="438"/>
      <c r="L103" s="438"/>
      <c r="M103" s="438"/>
      <c r="N103" s="438"/>
      <c r="O103" s="438"/>
      <c r="P103" s="438"/>
      <c r="Q103" s="438">
        <f t="shared" si="40"/>
        <v>0</v>
      </c>
      <c r="R103" s="438"/>
      <c r="S103" s="438">
        <f t="shared" si="40"/>
        <v>0</v>
      </c>
      <c r="T103" s="438"/>
      <c r="U103" s="438"/>
      <c r="V103" s="438"/>
      <c r="W103" s="438"/>
      <c r="X103" s="438"/>
      <c r="Y103" s="935"/>
      <c r="Z103" s="438"/>
      <c r="AA103" s="438"/>
      <c r="AI103" s="652"/>
    </row>
    <row r="104" spans="1:90">
      <c r="A104" s="413" t="s">
        <v>1021</v>
      </c>
      <c r="B104" s="930" t="str">
        <f>AUTOQUESTIONNAIRE!D104</f>
        <v>Prenez-vous un traitement contre l’anxiété ou la dépression ? (non=0, oui=1)</v>
      </c>
      <c r="C104" s="926"/>
      <c r="D104" s="921"/>
      <c r="E104" s="921"/>
      <c r="F104" s="922"/>
      <c r="G104" s="922"/>
      <c r="H104" s="922"/>
      <c r="I104" s="922"/>
      <c r="J104" s="922"/>
      <c r="K104" s="922"/>
      <c r="L104" s="922"/>
      <c r="M104" s="922"/>
      <c r="N104" s="922"/>
      <c r="O104" s="922"/>
      <c r="P104" s="922"/>
      <c r="Q104" s="922"/>
      <c r="R104" s="922"/>
      <c r="S104" s="922"/>
      <c r="T104" s="922"/>
      <c r="U104" s="922"/>
      <c r="V104" s="922"/>
      <c r="W104" s="922"/>
      <c r="X104" s="922"/>
      <c r="Y104" s="935"/>
      <c r="Z104" s="922"/>
      <c r="AA104" s="922"/>
      <c r="AB104" s="923"/>
      <c r="AC104" s="923"/>
      <c r="AD104" s="923"/>
      <c r="AE104" s="923"/>
      <c r="AF104" s="923"/>
      <c r="AG104" s="923"/>
      <c r="AH104" s="923"/>
      <c r="AI104" s="923"/>
      <c r="AJ104" s="923"/>
      <c r="AK104" s="923"/>
      <c r="AL104" s="923"/>
      <c r="AM104" s="922"/>
      <c r="AN104" s="922"/>
      <c r="AO104" s="922"/>
      <c r="AP104" s="922"/>
      <c r="AQ104" s="922"/>
      <c r="AR104" s="922"/>
      <c r="AS104" s="922"/>
      <c r="AT104" s="922"/>
      <c r="AU104" s="922"/>
      <c r="AV104" s="922"/>
      <c r="AW104" s="922"/>
      <c r="AX104" s="922"/>
      <c r="AY104" s="922"/>
      <c r="AZ104" s="922"/>
      <c r="BA104" s="923"/>
      <c r="BB104" s="923"/>
      <c r="BC104" s="923"/>
      <c r="BD104" s="923"/>
      <c r="BE104" s="923"/>
      <c r="BF104" s="923"/>
      <c r="BG104" s="923"/>
      <c r="BH104" s="923"/>
      <c r="BI104" s="923"/>
      <c r="BJ104" s="923"/>
      <c r="BK104" s="923"/>
      <c r="BL104" s="923"/>
      <c r="BM104" s="923"/>
      <c r="BN104" s="923"/>
      <c r="BO104" s="923"/>
      <c r="BP104" s="923"/>
      <c r="BQ104" s="923"/>
      <c r="BR104" s="923"/>
      <c r="BS104" s="923"/>
      <c r="BT104" s="924"/>
      <c r="BU104" s="921"/>
      <c r="BV104" s="921"/>
      <c r="BW104" s="921"/>
      <c r="BX104" s="921"/>
      <c r="BY104" s="921"/>
      <c r="BZ104" s="921"/>
      <c r="CA104" s="921"/>
      <c r="CB104" s="921"/>
      <c r="CC104" s="921"/>
      <c r="CD104" s="921"/>
      <c r="CE104" s="921"/>
      <c r="CF104" s="921"/>
      <c r="CG104" s="921"/>
      <c r="CH104" s="921"/>
      <c r="CI104" s="921"/>
      <c r="CJ104" s="921"/>
      <c r="CK104" s="921"/>
      <c r="CL104" s="921"/>
    </row>
    <row r="105" spans="1:90">
      <c r="A105" s="413" t="s">
        <v>1021</v>
      </c>
      <c r="B105" s="632" t="str">
        <f>AUTOQUESTIONNAIRE!D105</f>
        <v>Avez-vous suivi un traitement par corticoïdes pendant plus de trois mois ? (non=0, oui=1)</v>
      </c>
      <c r="C105" s="394">
        <f>AUTOQUESTIONNAIRE!G105</f>
        <v>0</v>
      </c>
      <c r="E105" s="351"/>
      <c r="F105" s="438"/>
      <c r="G105" s="438"/>
      <c r="H105" s="438"/>
      <c r="I105" s="438"/>
      <c r="J105" s="438"/>
      <c r="K105" s="438"/>
      <c r="L105" s="438"/>
      <c r="M105" s="438"/>
      <c r="N105" s="438"/>
      <c r="O105" s="438"/>
      <c r="P105" s="438"/>
      <c r="Q105" s="438"/>
      <c r="R105" s="438"/>
      <c r="S105" s="438"/>
      <c r="T105" s="438"/>
      <c r="U105" s="438"/>
      <c r="V105" s="438"/>
      <c r="W105" s="438"/>
      <c r="X105" s="438"/>
      <c r="Y105" s="935"/>
      <c r="Z105" s="438"/>
      <c r="AI105" s="652"/>
      <c r="AK105" s="438"/>
      <c r="AL105" s="438"/>
      <c r="AZ105" s="436"/>
    </row>
    <row r="106" spans="1:90">
      <c r="A106" s="413" t="s">
        <v>1021</v>
      </c>
      <c r="B106" s="632" t="str">
        <f>AUTOQUESTIONNAIRE!D106</f>
        <v>Prenez-vous un traitement pour un trouble de la thyroïde ? (non=0, oui=1)</v>
      </c>
      <c r="C106" s="394">
        <f>AUTOQUESTIONNAIRE!G106</f>
        <v>0</v>
      </c>
      <c r="E106" s="351"/>
      <c r="F106" s="438"/>
      <c r="G106" s="438"/>
      <c r="H106" s="438"/>
      <c r="I106" s="438"/>
      <c r="J106" s="438"/>
      <c r="K106" s="438"/>
      <c r="L106" s="438"/>
      <c r="M106" s="438"/>
      <c r="N106" s="438"/>
      <c r="O106" s="438"/>
      <c r="P106" s="438"/>
      <c r="Q106" s="438"/>
      <c r="R106" s="438"/>
      <c r="S106" s="438"/>
      <c r="T106" s="438"/>
      <c r="U106" s="438"/>
      <c r="V106" s="438"/>
      <c r="W106" s="438"/>
      <c r="X106" s="438"/>
      <c r="Y106" s="935"/>
      <c r="Z106" s="438"/>
      <c r="AI106" s="652"/>
      <c r="AK106" s="438"/>
      <c r="AL106" s="438"/>
      <c r="AZ106" s="436"/>
    </row>
    <row r="107" spans="1:90">
      <c r="C107" s="394"/>
      <c r="E107" s="351"/>
      <c r="F107" s="438"/>
      <c r="G107" s="438"/>
      <c r="H107" s="438"/>
      <c r="I107" s="438"/>
      <c r="J107" s="438"/>
      <c r="K107" s="438"/>
      <c r="L107" s="438"/>
      <c r="M107" s="438"/>
      <c r="N107" s="438"/>
      <c r="O107" s="438"/>
      <c r="P107" s="438"/>
      <c r="Q107" s="438"/>
      <c r="R107" s="438"/>
      <c r="S107" s="438"/>
      <c r="T107" s="438"/>
      <c r="U107" s="438"/>
      <c r="V107" s="438"/>
      <c r="W107" s="438"/>
      <c r="X107" s="438"/>
      <c r="Y107" s="935"/>
      <c r="Z107" s="438"/>
      <c r="AK107" s="438"/>
      <c r="AL107" s="438"/>
      <c r="AZ107" s="436"/>
    </row>
    <row r="108" spans="1:90">
      <c r="A108" s="414" t="s">
        <v>1022</v>
      </c>
      <c r="B108" s="352" t="str">
        <f>AUTOQUESTIONNAIRE!D108</f>
        <v>Votre père  il eu un cancer ? (non=0, oui=1, ne sais pas=2)</v>
      </c>
      <c r="C108" s="394"/>
      <c r="F108" s="438"/>
      <c r="G108" s="438"/>
      <c r="H108" s="438"/>
      <c r="I108" s="438"/>
      <c r="J108" s="438"/>
      <c r="K108" s="438"/>
      <c r="L108" s="438"/>
      <c r="M108" s="438"/>
      <c r="N108" s="438"/>
      <c r="O108" s="438"/>
      <c r="P108" s="438"/>
      <c r="Q108" s="438"/>
      <c r="R108" s="438"/>
      <c r="S108" s="438"/>
      <c r="T108" s="438"/>
      <c r="U108" s="438"/>
      <c r="V108" s="438"/>
      <c r="W108" s="438"/>
      <c r="X108" s="438"/>
      <c r="Y108" s="935"/>
      <c r="Z108" s="438"/>
      <c r="AA108" s="438"/>
      <c r="AI108" s="652"/>
      <c r="BP108" s="438"/>
    </row>
    <row r="109" spans="1:90">
      <c r="A109" s="414" t="s">
        <v>1022</v>
      </c>
      <c r="B109" s="352" t="str">
        <f>AUTOQUESTIONNAIRE!D109</f>
        <v>Votre père a-t-il eu un cancer de la prostate avant l'âge de 70 ans ? (non=0, oui=1)</v>
      </c>
      <c r="C109" s="394">
        <f>AUTOQUESTIONNAIRE!I109</f>
        <v>0</v>
      </c>
      <c r="F109" s="438"/>
      <c r="G109" s="438"/>
      <c r="H109" s="438"/>
      <c r="I109" s="438"/>
      <c r="J109" s="438"/>
      <c r="K109" s="438"/>
      <c r="L109" s="438"/>
      <c r="M109" s="438"/>
      <c r="N109" s="438">
        <f>IF($C109&gt;1,1,0)</f>
        <v>0</v>
      </c>
      <c r="O109" s="438"/>
      <c r="P109" s="438"/>
      <c r="Q109" s="438"/>
      <c r="R109" s="438"/>
      <c r="S109" s="438"/>
      <c r="T109" s="438"/>
      <c r="U109" s="438"/>
      <c r="V109" s="438"/>
      <c r="W109" s="438"/>
      <c r="X109" s="438"/>
      <c r="Y109" s="935"/>
      <c r="Z109" s="438"/>
      <c r="AA109" s="438"/>
      <c r="AI109" s="652"/>
      <c r="BP109" s="438">
        <f t="shared" ref="BP109" si="47">$C109</f>
        <v>0</v>
      </c>
    </row>
    <row r="110" spans="1:90">
      <c r="A110" s="414" t="s">
        <v>1022</v>
      </c>
      <c r="B110" s="352" t="str">
        <f>AUTOQUESTIONNAIRE!D110</f>
        <v>Votre père ou votre mère  ont-il eu un cancer du colon avant l'âge de 70 ans ? (non=0, oui=1)</v>
      </c>
      <c r="C110" s="394">
        <f>AUTOQUESTIONNAIRE!I110</f>
        <v>0</v>
      </c>
      <c r="F110" s="438"/>
      <c r="G110" s="438"/>
      <c r="H110" s="438"/>
      <c r="I110" s="438"/>
      <c r="J110" s="438"/>
      <c r="K110" s="438"/>
      <c r="L110" s="438"/>
      <c r="M110" s="438"/>
      <c r="N110" s="438"/>
      <c r="O110" s="438"/>
      <c r="P110" s="438"/>
      <c r="Q110" s="438"/>
      <c r="R110" s="438"/>
      <c r="S110" s="438"/>
      <c r="T110" s="438"/>
      <c r="U110" s="438"/>
      <c r="V110" s="438"/>
      <c r="W110" s="438"/>
      <c r="X110" s="438"/>
      <c r="Y110" s="935">
        <f>IF($C110&gt;1,1,0)</f>
        <v>0</v>
      </c>
      <c r="Z110" s="438"/>
      <c r="AA110" s="438"/>
      <c r="AI110" s="652"/>
      <c r="BO110" s="438">
        <f>$C113</f>
        <v>0</v>
      </c>
    </row>
    <row r="111" spans="1:90">
      <c r="A111" s="414" t="s">
        <v>1022</v>
      </c>
      <c r="B111" s="352" t="str">
        <f>AUTOQUESTIONNAIRE!D111</f>
        <v>Votre père ou votre mère  ont-il eu un mélanome ? (non=0, oui=1)</v>
      </c>
      <c r="C111" s="394">
        <f>AUTOQUESTIONNAIRE!I111</f>
        <v>0</v>
      </c>
      <c r="F111" s="438"/>
      <c r="G111" s="438"/>
      <c r="H111" s="438"/>
      <c r="I111" s="438"/>
      <c r="J111" s="438"/>
      <c r="K111" s="438"/>
      <c r="L111" s="438"/>
      <c r="M111" s="438"/>
      <c r="N111" s="438"/>
      <c r="O111" s="438"/>
      <c r="P111" s="438"/>
      <c r="Q111" s="438"/>
      <c r="R111" s="438"/>
      <c r="S111" s="438"/>
      <c r="T111" s="438"/>
      <c r="U111" s="438"/>
      <c r="V111" s="438"/>
      <c r="W111" s="438"/>
      <c r="X111" s="438"/>
      <c r="Y111" s="935"/>
      <c r="Z111" s="438"/>
      <c r="AA111" s="438"/>
      <c r="AI111" s="652"/>
      <c r="AT111" s="438">
        <f t="shared" ref="AT111" si="48">$C111</f>
        <v>0</v>
      </c>
    </row>
    <row r="112" spans="1:90">
      <c r="A112" s="414" t="s">
        <v>1022</v>
      </c>
      <c r="B112" s="352" t="str">
        <f>AUTOQUESTIONNAIRE!D112</f>
        <v>Votre mére a-t-elle eu un cancer du sein, de l'utérus ou des ovaires avant l'âge de 50 ans ?  (non=0, oui=1)</v>
      </c>
      <c r="C112" s="394">
        <f>AUTOQUESTIONNAIRE!I112</f>
        <v>0</v>
      </c>
      <c r="F112" s="438"/>
      <c r="G112" s="438"/>
      <c r="H112" s="438"/>
      <c r="I112" s="438"/>
      <c r="J112" s="438"/>
      <c r="K112" s="438"/>
      <c r="L112" s="438"/>
      <c r="M112" s="438"/>
      <c r="N112" s="438">
        <f>IF($C112&gt;1,1,0)</f>
        <v>0</v>
      </c>
      <c r="O112" s="438"/>
      <c r="P112" s="438"/>
      <c r="Q112" s="438"/>
      <c r="R112" s="438"/>
      <c r="S112" s="438"/>
      <c r="T112" s="438"/>
      <c r="U112" s="438"/>
      <c r="V112" s="438"/>
      <c r="W112" s="438"/>
      <c r="X112" s="438"/>
      <c r="Y112" s="935"/>
      <c r="Z112" s="438"/>
      <c r="AA112" s="438"/>
      <c r="AI112" s="652"/>
      <c r="BN112" s="438">
        <f t="shared" ref="BN112" si="49">$C112</f>
        <v>0</v>
      </c>
      <c r="BS112" s="654">
        <f>$C112</f>
        <v>0</v>
      </c>
    </row>
    <row r="113" spans="1:71">
      <c r="A113" s="414" t="s">
        <v>1022</v>
      </c>
      <c r="B113" s="352" t="str">
        <f>AUTOQUESTIONNAIRE!D113</f>
        <v>Votre père ou votre mére ont-ils eu un cancer du rein avant l'âge de 50 ans ?  (non=0, oui=1)</v>
      </c>
      <c r="C113" s="394">
        <f>AUTOQUESTIONNAIRE!I113</f>
        <v>0</v>
      </c>
      <c r="F113" s="438"/>
      <c r="G113" s="438"/>
      <c r="H113" s="438"/>
      <c r="I113" s="438"/>
      <c r="J113" s="438"/>
      <c r="K113" s="438"/>
      <c r="L113" s="438"/>
      <c r="M113" s="438"/>
      <c r="N113" s="438"/>
      <c r="O113" s="438"/>
      <c r="P113" s="438"/>
      <c r="Q113" s="438"/>
      <c r="R113" s="438"/>
      <c r="S113" s="438"/>
      <c r="T113" s="438"/>
      <c r="U113" s="438"/>
      <c r="V113" s="438"/>
      <c r="W113" s="438"/>
      <c r="X113" s="438"/>
      <c r="Y113" s="935">
        <f>IF($C113&gt;1,1,0)</f>
        <v>0</v>
      </c>
      <c r="Z113" s="438"/>
      <c r="AA113" s="438"/>
      <c r="AI113" s="652"/>
    </row>
    <row r="114" spans="1:71">
      <c r="A114" s="414" t="s">
        <v>1022</v>
      </c>
      <c r="B114" s="352" t="str">
        <f>AUTOQUESTIONNAIRE!D114</f>
        <v>Combien de fréres et sœurs de plus de 35 ans avez-vous ? (0=0, 1=1, 2=2ou plus)</v>
      </c>
      <c r="C114" s="394">
        <f>AUTOQUESTIONNAIRE!I114</f>
        <v>0</v>
      </c>
      <c r="F114" s="438"/>
      <c r="G114" s="438"/>
      <c r="H114" s="438"/>
      <c r="I114" s="438"/>
      <c r="J114" s="438"/>
      <c r="K114" s="438"/>
      <c r="L114" s="438"/>
      <c r="M114" s="438"/>
      <c r="N114" s="438"/>
      <c r="O114" s="438"/>
      <c r="P114" s="438"/>
      <c r="Q114" s="438"/>
      <c r="R114" s="438"/>
      <c r="S114" s="438"/>
      <c r="T114" s="438"/>
      <c r="U114" s="438"/>
      <c r="V114" s="438"/>
      <c r="W114" s="438"/>
      <c r="X114" s="438"/>
      <c r="Y114" s="935"/>
      <c r="Z114" s="438"/>
      <c r="AA114" s="438"/>
      <c r="AI114" s="652"/>
    </row>
    <row r="115" spans="1:71">
      <c r="A115" s="414" t="s">
        <v>1022</v>
      </c>
      <c r="B115" s="352" t="str">
        <f>AUTOQUESTIONNAIRE!D115</f>
        <v>Combien de fréres et sœurs ont eu un cancer ?  (0=0, 1=1, 2=2ou plus)</v>
      </c>
      <c r="C115" s="394">
        <f>AUTOQUESTIONNAIRE!I115</f>
        <v>0</v>
      </c>
      <c r="F115" s="438"/>
      <c r="G115" s="438"/>
      <c r="H115" s="438"/>
      <c r="I115" s="438"/>
      <c r="J115" s="438"/>
      <c r="K115" s="438"/>
      <c r="L115" s="438"/>
      <c r="M115" s="438"/>
      <c r="N115" s="438"/>
      <c r="O115" s="438"/>
      <c r="P115" s="438"/>
      <c r="Q115" s="438"/>
      <c r="R115" s="438"/>
      <c r="S115" s="438"/>
      <c r="T115" s="438"/>
      <c r="U115" s="438"/>
      <c r="V115" s="438"/>
      <c r="W115" s="438"/>
      <c r="X115" s="438"/>
      <c r="Y115" s="935"/>
      <c r="Z115" s="438"/>
      <c r="AA115" s="438"/>
      <c r="AI115" s="652"/>
    </row>
    <row r="116" spans="1:71">
      <c r="A116" s="414" t="s">
        <v>1022</v>
      </c>
      <c r="B116" s="352" t="str">
        <f>AUTOQUESTIONNAIRE!D116</f>
        <v>Combien de frére(s) ont eu un cancer de la prostate ? (0=0, 1=1, 2=2ou plus)</v>
      </c>
      <c r="C116" s="394">
        <f>AUTOQUESTIONNAIRE!I116</f>
        <v>0</v>
      </c>
      <c r="F116" s="438"/>
      <c r="G116" s="438"/>
      <c r="H116" s="438"/>
      <c r="I116" s="438"/>
      <c r="J116" s="438"/>
      <c r="K116" s="438"/>
      <c r="L116" s="438"/>
      <c r="M116" s="438"/>
      <c r="N116" s="438">
        <f>IF($C116&gt;1,1,0)</f>
        <v>0</v>
      </c>
      <c r="O116" s="438"/>
      <c r="P116" s="438"/>
      <c r="Q116" s="438"/>
      <c r="R116" s="438"/>
      <c r="S116" s="438"/>
      <c r="T116" s="438"/>
      <c r="U116" s="438"/>
      <c r="V116" s="438"/>
      <c r="W116" s="438"/>
      <c r="X116" s="438"/>
      <c r="Y116" s="935"/>
      <c r="Z116" s="438"/>
      <c r="AA116" s="438"/>
      <c r="AI116" s="652"/>
      <c r="BP116" s="438">
        <f t="shared" ref="BP116" si="50">$C116</f>
        <v>0</v>
      </c>
    </row>
    <row r="117" spans="1:71">
      <c r="A117" s="414" t="s">
        <v>1022</v>
      </c>
      <c r="B117" s="352" t="str">
        <f>AUTOQUESTIONNAIRE!D117</f>
        <v>Combien de soeur(s) ou frére(s) ont eu un cancer du sein ou de sœurs un cancer de l'ovaire ou de l'utérus ? (0=0, 1=1, 2=2ou plus)</v>
      </c>
      <c r="C117" s="394">
        <f>AUTOQUESTIONNAIRE!I117</f>
        <v>0</v>
      </c>
      <c r="F117" s="438"/>
      <c r="G117" s="438"/>
      <c r="H117" s="438"/>
      <c r="I117" s="438"/>
      <c r="J117" s="438"/>
      <c r="K117" s="438"/>
      <c r="L117" s="438"/>
      <c r="M117" s="438"/>
      <c r="N117" s="438">
        <f>IF($C117&gt;1,1,0)</f>
        <v>0</v>
      </c>
      <c r="O117" s="438"/>
      <c r="P117" s="438"/>
      <c r="Q117" s="438"/>
      <c r="R117" s="438"/>
      <c r="S117" s="438"/>
      <c r="T117" s="438"/>
      <c r="U117" s="438"/>
      <c r="V117" s="438"/>
      <c r="W117" s="438"/>
      <c r="X117" s="438"/>
      <c r="Y117" s="935"/>
      <c r="Z117" s="438"/>
      <c r="AA117" s="438"/>
      <c r="AI117" s="652"/>
      <c r="BN117" s="438">
        <f t="shared" ref="BN117" si="51">$C117</f>
        <v>0</v>
      </c>
      <c r="BS117" s="654">
        <f>$C117</f>
        <v>0</v>
      </c>
    </row>
    <row r="118" spans="1:71">
      <c r="A118" s="414" t="s">
        <v>1022</v>
      </c>
      <c r="B118" s="352" t="str">
        <f>AUTOQUESTIONNAIRE!D118</f>
        <v>Combien de soeur(s) ou frére(s) ont eu un mélanome ? (0=0, 1=1, 2=2ou plus)</v>
      </c>
      <c r="C118" s="394">
        <f>AUTOQUESTIONNAIRE!I118</f>
        <v>0</v>
      </c>
      <c r="F118" s="438"/>
      <c r="G118" s="438"/>
      <c r="H118" s="438"/>
      <c r="I118" s="438"/>
      <c r="J118" s="438"/>
      <c r="K118" s="438"/>
      <c r="L118" s="438"/>
      <c r="M118" s="438"/>
      <c r="N118" s="438"/>
      <c r="O118" s="438"/>
      <c r="P118" s="438"/>
      <c r="Q118" s="438"/>
      <c r="R118" s="438"/>
      <c r="S118" s="438"/>
      <c r="T118" s="438"/>
      <c r="U118" s="438"/>
      <c r="V118" s="438"/>
      <c r="W118" s="438"/>
      <c r="X118" s="438"/>
      <c r="Y118" s="935"/>
      <c r="Z118" s="438"/>
      <c r="AA118" s="438"/>
      <c r="AI118" s="652"/>
      <c r="AT118" s="438">
        <f t="shared" ref="AT118" si="52">$C118</f>
        <v>0</v>
      </c>
    </row>
    <row r="119" spans="1:71">
      <c r="A119" s="414"/>
      <c r="B119" s="352" t="str">
        <f>AUTOQUESTIONNAIRE!D119</f>
        <v>Combien de soeur(s) ou frére(s) ont eu un cancer du rein ? (0=0, 1=1, 2=2ou plus)</v>
      </c>
      <c r="C119" s="394">
        <f>AUTOQUESTIONNAIRE!I119</f>
        <v>0</v>
      </c>
      <c r="F119" s="438"/>
      <c r="G119" s="438"/>
      <c r="H119" s="438"/>
      <c r="I119" s="438"/>
      <c r="J119" s="438"/>
      <c r="K119" s="438"/>
      <c r="L119" s="438"/>
      <c r="M119" s="438"/>
      <c r="N119" s="438"/>
      <c r="O119" s="438"/>
      <c r="P119" s="438"/>
      <c r="Q119" s="438"/>
      <c r="R119" s="438"/>
      <c r="S119" s="438"/>
      <c r="T119" s="438"/>
      <c r="U119" s="438"/>
      <c r="V119" s="438"/>
      <c r="W119" s="438"/>
      <c r="X119" s="438"/>
      <c r="Y119" s="935"/>
      <c r="Z119" s="438"/>
      <c r="AA119" s="438"/>
      <c r="AI119" s="652"/>
    </row>
    <row r="120" spans="1:71">
      <c r="A120" s="414" t="s">
        <v>1022</v>
      </c>
      <c r="B120" s="352" t="str">
        <f>AUTOQUESTIONNAIRE!D120</f>
        <v>Combien de soeur(s) ou frére(s) ont eu un cancer du colon ? (0=0, 1=1, 2=2ou plus)</v>
      </c>
      <c r="C120" s="394">
        <f>AUTOQUESTIONNAIRE!I120</f>
        <v>0</v>
      </c>
      <c r="F120" s="438"/>
      <c r="G120" s="438"/>
      <c r="H120" s="438"/>
      <c r="I120" s="438"/>
      <c r="J120" s="438"/>
      <c r="K120" s="438"/>
      <c r="L120" s="438"/>
      <c r="M120" s="438"/>
      <c r="N120" s="438"/>
      <c r="O120" s="438"/>
      <c r="P120" s="438"/>
      <c r="Q120" s="438"/>
      <c r="R120" s="438"/>
      <c r="S120" s="438"/>
      <c r="T120" s="438"/>
      <c r="U120" s="438"/>
      <c r="V120" s="438"/>
      <c r="W120" s="438"/>
      <c r="X120" s="438"/>
      <c r="Y120" s="935">
        <f>IF($C120&gt;1,1,0)</f>
        <v>0</v>
      </c>
      <c r="Z120" s="438"/>
      <c r="AA120" s="438"/>
      <c r="AI120" s="652"/>
      <c r="BO120" s="438">
        <f t="shared" ref="BO120" si="53">$C120</f>
        <v>0</v>
      </c>
    </row>
    <row r="121" spans="1:71">
      <c r="A121" s="414" t="s">
        <v>1022</v>
      </c>
      <c r="B121" s="352" t="str">
        <f>AUTOQUESTIONNAIRE!D121</f>
        <v>Avez-vous un parent (mère, père, sœur, frère) qui a eu un ou des calcul(s) de la vésicule biliaire ou une ablation de la vésicule biliaire ?   (non=0, oui=1, ne sais pas=2)</v>
      </c>
      <c r="C121" s="394">
        <f>AUTOQUESTIONNAIRE!I121</f>
        <v>0</v>
      </c>
      <c r="F121" s="438"/>
      <c r="G121" s="438"/>
      <c r="H121" s="438"/>
      <c r="I121" s="438"/>
      <c r="J121" s="438"/>
      <c r="K121" s="438"/>
      <c r="L121" s="438"/>
      <c r="M121" s="438"/>
      <c r="N121" s="438"/>
      <c r="O121" s="438"/>
      <c r="P121" s="438"/>
      <c r="Q121" s="438"/>
      <c r="R121" s="438"/>
      <c r="S121" s="438"/>
      <c r="T121" s="438"/>
      <c r="U121" s="438"/>
      <c r="V121" s="438"/>
      <c r="W121" s="438"/>
      <c r="X121" s="438"/>
      <c r="Y121" s="935"/>
      <c r="Z121" s="438"/>
      <c r="AA121" s="438"/>
      <c r="AI121" s="652"/>
    </row>
    <row r="122" spans="1:71">
      <c r="A122" s="414" t="s">
        <v>1022</v>
      </c>
      <c r="B122" s="352" t="str">
        <f>AUTOQUESTIONNAIRE!D122</f>
        <v>Avez-vous un parent (mère, père, sœur, frère) qui a eu un infarctus ou un accident vasculaire avant 75 ans ?  (non=0, oui=1, ne sais pas=2)</v>
      </c>
      <c r="C122" s="394">
        <f>AUTOQUESTIONNAIRE!I122</f>
        <v>0</v>
      </c>
      <c r="F122" s="438"/>
      <c r="G122" s="438"/>
      <c r="H122" s="438"/>
      <c r="I122" s="438"/>
      <c r="J122" s="438"/>
      <c r="K122" s="438"/>
      <c r="L122" s="438"/>
      <c r="M122" s="438"/>
      <c r="N122" s="438"/>
      <c r="O122" s="438"/>
      <c r="P122" s="438"/>
      <c r="Q122" s="438"/>
      <c r="R122" s="438"/>
      <c r="S122" s="438"/>
      <c r="T122" s="438"/>
      <c r="U122" s="438"/>
      <c r="V122" s="438"/>
      <c r="W122" s="438"/>
      <c r="X122" s="438"/>
      <c r="Y122" s="935"/>
      <c r="Z122" s="438"/>
      <c r="AA122" s="438"/>
      <c r="AC122" s="438">
        <f t="shared" ref="AC122" si="54">$C122</f>
        <v>0</v>
      </c>
      <c r="AI122" s="652"/>
    </row>
    <row r="123" spans="1:71">
      <c r="A123" s="414"/>
      <c r="B123" s="352" t="str">
        <f>AUTOQUESTIONNAIRE!D123</f>
        <v>Avez-vous un parent (mère, père, sœur, frère) qui a eu des troubles du rythme cardiaque (arythmie) ?  (non=0, oui=1, ne sais pas=2)</v>
      </c>
      <c r="C123" s="394">
        <f>AUTOQUESTIONNAIRE!I123</f>
        <v>0</v>
      </c>
      <c r="F123" s="438"/>
      <c r="G123" s="438"/>
      <c r="H123" s="438"/>
      <c r="I123" s="438"/>
      <c r="J123" s="438"/>
      <c r="K123" s="438"/>
      <c r="L123" s="438"/>
      <c r="M123" s="438"/>
      <c r="N123" s="438"/>
      <c r="O123" s="438"/>
      <c r="P123" s="438"/>
      <c r="Q123" s="438"/>
      <c r="R123" s="438"/>
      <c r="S123" s="438"/>
      <c r="T123" s="438"/>
      <c r="U123" s="438"/>
      <c r="V123" s="438"/>
      <c r="W123" s="438"/>
      <c r="X123" s="438"/>
      <c r="Y123" s="935"/>
      <c r="Z123" s="438"/>
      <c r="AA123" s="438"/>
      <c r="AC123" s="438"/>
      <c r="AI123" s="652"/>
    </row>
    <row r="124" spans="1:71">
      <c r="A124" s="414" t="s">
        <v>1022</v>
      </c>
      <c r="B124" s="352" t="str">
        <f>AUTOQUESTIONNAIRE!D124</f>
        <v>Avez-vous un parent (mère, père, sœur, frère) qui a eu un ou des calcul(s) urinaires ?  (non=0, oui=1, ne sais pas=2)</v>
      </c>
      <c r="C124" s="394">
        <f>AUTOQUESTIONNAIRE!I124</f>
        <v>0</v>
      </c>
      <c r="F124" s="438"/>
      <c r="G124" s="438"/>
      <c r="H124" s="438"/>
      <c r="I124" s="438"/>
      <c r="J124" s="438"/>
      <c r="K124" s="438"/>
      <c r="L124" s="438"/>
      <c r="M124" s="438"/>
      <c r="N124" s="438"/>
      <c r="O124" s="438"/>
      <c r="P124" s="438"/>
      <c r="Q124" s="438"/>
      <c r="R124" s="438"/>
      <c r="S124" s="438"/>
      <c r="T124" s="438"/>
      <c r="U124" s="438"/>
      <c r="V124" s="438"/>
      <c r="W124" s="438"/>
      <c r="X124" s="438"/>
      <c r="Y124" s="935"/>
      <c r="Z124" s="438"/>
      <c r="AA124" s="438"/>
      <c r="AI124" s="652"/>
    </row>
    <row r="125" spans="1:71">
      <c r="A125" s="414" t="s">
        <v>1022</v>
      </c>
      <c r="B125" s="352" t="str">
        <f>AUTOQUESTIONNAIRE!D125</f>
        <v>Avez-vous un parent (mère, père, sœur, frère) qui a eu une phlébite ou une embolie pulmonaire ?  (non=0, oui=1, ne sais pas=2)</v>
      </c>
      <c r="C125" s="394">
        <f>AUTOQUESTIONNAIRE!I125</f>
        <v>0</v>
      </c>
      <c r="F125" s="438"/>
      <c r="G125" s="438"/>
      <c r="H125" s="438"/>
      <c r="I125" s="438"/>
      <c r="J125" s="438"/>
      <c r="K125" s="438"/>
      <c r="L125" s="438"/>
      <c r="M125" s="438"/>
      <c r="N125" s="438"/>
      <c r="O125" s="438"/>
      <c r="P125" s="438"/>
      <c r="Q125" s="438"/>
      <c r="R125" s="438"/>
      <c r="S125" s="438"/>
      <c r="T125" s="438"/>
      <c r="U125" s="438"/>
      <c r="V125" s="438"/>
      <c r="W125" s="438"/>
      <c r="X125" s="438"/>
      <c r="Y125" s="935"/>
      <c r="Z125" s="438"/>
      <c r="AA125" s="438"/>
      <c r="AI125" s="652"/>
    </row>
    <row r="126" spans="1:71">
      <c r="A126" s="414" t="s">
        <v>1022</v>
      </c>
      <c r="B126" s="352" t="str">
        <f>AUTOQUESTIONNAIRE!D126</f>
        <v>Avez-vous un parent (mère, père, sœur, frère) qui a eu un diabète avant 70 ans ?  (non=0, oui=1, ne sais pas=2)</v>
      </c>
      <c r="C126" s="394">
        <f>AUTOQUESTIONNAIRE!I126</f>
        <v>0</v>
      </c>
      <c r="F126" s="438"/>
      <c r="G126" s="438">
        <f>IF($C126&gt;1,1,0)</f>
        <v>0</v>
      </c>
      <c r="H126" s="438"/>
      <c r="I126" s="438"/>
      <c r="J126" s="438"/>
      <c r="K126" s="438"/>
      <c r="L126" s="438"/>
      <c r="M126" s="438"/>
      <c r="N126" s="438"/>
      <c r="O126" s="438"/>
      <c r="P126" s="438"/>
      <c r="Q126" s="438"/>
      <c r="R126" s="438"/>
      <c r="S126" s="438"/>
      <c r="T126" s="438"/>
      <c r="U126" s="438"/>
      <c r="V126" s="438"/>
      <c r="W126" s="438"/>
      <c r="X126" s="438"/>
      <c r="Y126" s="935"/>
      <c r="Z126" s="438"/>
      <c r="AA126" s="438"/>
      <c r="AI126" s="652"/>
    </row>
    <row r="127" spans="1:71">
      <c r="A127" s="414" t="s">
        <v>1022</v>
      </c>
      <c r="B127" s="352" t="str">
        <f>AUTOQUESTIONNAIRE!D127</f>
        <v>Avez-vous un parent (mère, père, sœur, frère) qui a eu une une dyslipidémie (cholestérol ou triglycérides) ?  (non=0, oui=1, ne sais pas=2)</v>
      </c>
      <c r="C127" s="394">
        <f>AUTOQUESTIONNAIRE!I127</f>
        <v>0</v>
      </c>
      <c r="F127" s="438"/>
      <c r="G127" s="438"/>
      <c r="H127" s="438">
        <f>IF($C127&gt;1,1,0)</f>
        <v>0</v>
      </c>
      <c r="I127" s="438"/>
      <c r="J127" s="438"/>
      <c r="K127" s="438"/>
      <c r="L127" s="438"/>
      <c r="M127" s="438"/>
      <c r="N127" s="438"/>
      <c r="O127" s="438"/>
      <c r="P127" s="438"/>
      <c r="Q127" s="438"/>
      <c r="R127" s="438"/>
      <c r="S127" s="438"/>
      <c r="T127" s="438"/>
      <c r="U127" s="438"/>
      <c r="V127" s="438"/>
      <c r="W127" s="438"/>
      <c r="X127" s="438"/>
      <c r="Y127" s="935"/>
      <c r="Z127" s="438"/>
      <c r="AA127" s="438"/>
      <c r="AI127" s="652"/>
    </row>
    <row r="128" spans="1:71">
      <c r="A128" s="414" t="s">
        <v>1022</v>
      </c>
      <c r="B128" s="352" t="str">
        <f>AUTOQUESTIONNAIRE!D128</f>
        <v>Avez-vous une mère ou sœur, frère) qui a eu une endometriose ou un syndrome des ovaires polykystiques ?  (non=0, oui=1, ne sais pas=2)</v>
      </c>
      <c r="C128" s="394">
        <f>AUTOQUESTIONNAIRE!I128</f>
        <v>0</v>
      </c>
      <c r="F128" s="438"/>
      <c r="G128" s="438"/>
      <c r="H128" s="438"/>
      <c r="I128" s="438"/>
      <c r="J128" s="438"/>
      <c r="K128" s="438"/>
      <c r="L128" s="438"/>
      <c r="M128" s="438"/>
      <c r="N128" s="438"/>
      <c r="O128" s="438"/>
      <c r="P128" s="438"/>
      <c r="Q128" s="438"/>
      <c r="R128" s="438"/>
      <c r="S128" s="438"/>
      <c r="T128" s="438"/>
      <c r="U128" s="438"/>
      <c r="V128" s="438"/>
      <c r="W128" s="438"/>
      <c r="X128" s="438"/>
      <c r="Y128" s="935"/>
      <c r="AA128" s="438"/>
      <c r="AI128" s="652"/>
    </row>
    <row r="129" spans="1:90">
      <c r="A129" s="414"/>
      <c r="B129" s="352" t="str">
        <f>AUTOQUESTIONNAIRE!D129</f>
        <v>Un membre de votre famille proche (mère, père, sœur, frère biologiques) a-t-il eu une maladie respiratoire (comme l’asthme ou la BPCO) ou des allergies respiratoires, telles qu’une pollinose (par exemple le rhume des foins) ?  (non=0, oui=1, ne sais pas=2)</v>
      </c>
      <c r="C129" s="394">
        <f>AUTOQUESTIONNAIRE!I129</f>
        <v>0</v>
      </c>
      <c r="F129" s="438"/>
      <c r="G129" s="438"/>
      <c r="H129" s="438"/>
      <c r="I129" s="438"/>
      <c r="J129" s="438"/>
      <c r="K129" s="438"/>
      <c r="L129" s="438"/>
      <c r="M129" s="438"/>
      <c r="N129" s="438"/>
      <c r="O129" s="438"/>
      <c r="P129" s="438"/>
      <c r="Q129" s="438"/>
      <c r="R129" s="438"/>
      <c r="S129" s="438"/>
      <c r="T129" s="438"/>
      <c r="U129" s="438"/>
      <c r="V129" s="438"/>
      <c r="W129" s="438"/>
      <c r="X129" s="438"/>
      <c r="Y129" s="935"/>
      <c r="Z129" s="438">
        <f>IF($C129&gt;1,1,0)</f>
        <v>0</v>
      </c>
      <c r="AA129" s="438"/>
      <c r="AI129" s="652"/>
    </row>
    <row r="130" spans="1:90">
      <c r="A130" s="414"/>
      <c r="B130" s="352" t="str">
        <f>AUTOQUESTIONNAIRE!D130</f>
        <v>Avez-vous un parent (mère, père, sœur, frère) qui a eu un rhumatisme inflamatoire (polyarthrite ou spondylarthrite) ?  (non=0, oui=1, ne sais pas=2)</v>
      </c>
      <c r="C130" s="394">
        <f>AUTOQUESTIONNAIRE!I130</f>
        <v>0</v>
      </c>
      <c r="F130" s="438"/>
      <c r="G130" s="438"/>
      <c r="H130" s="438"/>
      <c r="I130" s="438"/>
      <c r="J130" s="438"/>
      <c r="K130" s="438"/>
      <c r="L130" s="438"/>
      <c r="M130" s="438"/>
      <c r="N130" s="438"/>
      <c r="O130" s="438"/>
      <c r="P130" s="438"/>
      <c r="Q130" s="438"/>
      <c r="R130" s="438"/>
      <c r="S130" s="438"/>
      <c r="T130" s="438"/>
      <c r="U130" s="438"/>
      <c r="V130" s="438"/>
      <c r="W130" s="438"/>
      <c r="X130" s="438"/>
      <c r="Y130" s="935"/>
      <c r="Z130" s="438"/>
      <c r="AA130" s="438"/>
      <c r="AI130" s="652"/>
    </row>
    <row r="131" spans="1:90">
      <c r="A131" s="414"/>
      <c r="B131" s="352" t="str">
        <f>AUTOQUESTIONNAIRE!D131</f>
        <v>Avez-vous un parent (mère, père, sœur, frère) qui a eu une dépression  grave (traitement psychiatrique) ? (non=0, oui=1, ne sais pas=2)</v>
      </c>
      <c r="C131" s="394">
        <f>AUTOQUESTIONNAIRE!I131</f>
        <v>0</v>
      </c>
      <c r="F131" s="438"/>
      <c r="G131" s="438"/>
      <c r="H131" s="438"/>
      <c r="I131" s="438"/>
      <c r="J131" s="438"/>
      <c r="K131" s="438"/>
      <c r="L131" s="438"/>
      <c r="M131" s="438"/>
      <c r="N131" s="438"/>
      <c r="O131" s="438"/>
      <c r="P131" s="438"/>
      <c r="Q131" s="438"/>
      <c r="R131" s="438"/>
      <c r="S131" s="438"/>
      <c r="T131" s="438"/>
      <c r="U131" s="438"/>
      <c r="V131" s="438"/>
      <c r="W131" s="438"/>
      <c r="X131" s="438"/>
      <c r="Y131" s="935"/>
      <c r="Z131" s="438"/>
      <c r="AA131" s="438"/>
      <c r="AI131" s="652"/>
    </row>
    <row r="132" spans="1:90">
      <c r="A132" s="411"/>
      <c r="B132" s="628"/>
      <c r="C132" s="394"/>
      <c r="F132" s="438"/>
      <c r="G132" s="438"/>
      <c r="H132" s="438"/>
      <c r="I132" s="438"/>
      <c r="J132" s="438"/>
      <c r="K132" s="438"/>
      <c r="L132" s="438"/>
      <c r="M132" s="438"/>
      <c r="N132" s="438"/>
      <c r="O132" s="438"/>
      <c r="P132" s="438"/>
      <c r="Q132" s="438"/>
      <c r="R132" s="438"/>
      <c r="S132" s="438"/>
      <c r="T132" s="438"/>
      <c r="U132" s="438"/>
      <c r="V132" s="438"/>
      <c r="W132" s="438"/>
      <c r="X132" s="438"/>
      <c r="Y132" s="935"/>
      <c r="Z132" s="438"/>
      <c r="AA132" s="438"/>
      <c r="AI132" s="652"/>
    </row>
    <row r="133" spans="1:90">
      <c r="A133" s="411"/>
      <c r="B133" s="628"/>
      <c r="C133" s="394"/>
      <c r="F133" s="438"/>
      <c r="G133" s="438"/>
      <c r="H133" s="438"/>
      <c r="I133" s="438"/>
      <c r="J133" s="438"/>
      <c r="K133" s="438"/>
      <c r="L133" s="438"/>
      <c r="M133" s="438"/>
      <c r="N133" s="438"/>
      <c r="O133" s="438"/>
      <c r="P133" s="438"/>
      <c r="Q133" s="438"/>
      <c r="R133" s="438"/>
      <c r="S133" s="438"/>
      <c r="T133" s="438"/>
      <c r="U133" s="438"/>
      <c r="V133" s="438"/>
      <c r="W133" s="438"/>
      <c r="X133" s="438"/>
      <c r="Y133" s="935"/>
      <c r="Z133" s="438"/>
      <c r="AA133" s="438"/>
      <c r="AI133" s="652"/>
    </row>
    <row r="134" spans="1:90" ht="72">
      <c r="A134" s="415" t="s">
        <v>240</v>
      </c>
      <c r="B134" s="634" t="s">
        <v>1129</v>
      </c>
      <c r="C134" s="394">
        <f>AUTOQUESTIONNAIRE!G134</f>
        <v>1</v>
      </c>
      <c r="F134" s="438"/>
      <c r="G134" s="438"/>
      <c r="H134" s="438"/>
      <c r="I134" s="438"/>
      <c r="J134" s="438"/>
      <c r="K134" s="438"/>
      <c r="L134" s="438"/>
      <c r="M134" s="438"/>
      <c r="N134" s="438"/>
      <c r="O134" s="438"/>
      <c r="P134" s="438"/>
      <c r="Q134" s="438"/>
      <c r="R134" s="438"/>
      <c r="S134" s="438"/>
      <c r="T134" s="438"/>
      <c r="U134" s="438">
        <f>IF(C134&gt;1,1,0)</f>
        <v>0</v>
      </c>
      <c r="V134" s="438"/>
      <c r="W134" s="438"/>
      <c r="X134" s="438"/>
      <c r="Y134" s="935"/>
      <c r="Z134" s="438"/>
      <c r="AA134" s="438"/>
      <c r="AI134" s="652"/>
    </row>
    <row r="135" spans="1:90">
      <c r="A135" s="415" t="s">
        <v>240</v>
      </c>
      <c r="B135" s="635" t="s">
        <v>1105</v>
      </c>
      <c r="C135" s="394">
        <f>AUTOQUESTIONNAIRE!G135</f>
        <v>0</v>
      </c>
      <c r="F135" s="438"/>
      <c r="G135" s="438"/>
      <c r="H135" s="438"/>
      <c r="I135" s="438"/>
      <c r="J135" s="438"/>
      <c r="K135" s="438"/>
      <c r="L135" s="438"/>
      <c r="M135" s="438"/>
      <c r="N135" s="438"/>
      <c r="O135" s="438"/>
      <c r="P135" s="438"/>
      <c r="Q135" s="438"/>
      <c r="R135" s="438"/>
      <c r="S135" s="438"/>
      <c r="T135" s="438"/>
      <c r="U135" s="438"/>
      <c r="V135" s="438"/>
      <c r="W135" s="438"/>
      <c r="X135" s="438"/>
      <c r="Y135" s="935"/>
      <c r="Z135" s="438"/>
      <c r="AA135" s="438"/>
      <c r="AI135" s="652"/>
    </row>
    <row r="136" spans="1:90">
      <c r="A136" s="415"/>
      <c r="B136" s="635" t="s">
        <v>1121</v>
      </c>
      <c r="C136" s="394">
        <f>AUTOQUESTIONNAIRE!G136</f>
        <v>1</v>
      </c>
      <c r="F136" s="438"/>
      <c r="G136" s="438"/>
      <c r="H136" s="438"/>
      <c r="I136" s="438"/>
      <c r="J136" s="438"/>
      <c r="K136" s="438"/>
      <c r="L136" s="438"/>
      <c r="M136" s="438"/>
      <c r="N136" s="438"/>
      <c r="O136" s="438"/>
      <c r="P136" s="438"/>
      <c r="Q136" s="438"/>
      <c r="R136" s="438"/>
      <c r="S136" s="438"/>
      <c r="T136" s="438"/>
      <c r="U136" s="438"/>
      <c r="V136" s="438"/>
      <c r="W136" s="438"/>
      <c r="X136" s="438"/>
      <c r="Y136" s="935"/>
      <c r="Z136" s="438"/>
      <c r="AA136" s="438"/>
      <c r="AI136" s="652"/>
    </row>
    <row r="137" spans="1:90">
      <c r="A137" s="415" t="s">
        <v>240</v>
      </c>
      <c r="B137" s="927" t="s">
        <v>1096</v>
      </c>
      <c r="C137" s="926"/>
      <c r="D137" s="921"/>
      <c r="E137" s="921"/>
      <c r="F137" s="922"/>
      <c r="G137" s="922"/>
      <c r="H137" s="922"/>
      <c r="I137" s="922"/>
      <c r="J137" s="922"/>
      <c r="K137" s="922"/>
      <c r="L137" s="922"/>
      <c r="M137" s="922"/>
      <c r="N137" s="922"/>
      <c r="O137" s="922"/>
      <c r="P137" s="922"/>
      <c r="Q137" s="922"/>
      <c r="R137" s="922"/>
      <c r="S137" s="922"/>
      <c r="T137" s="922"/>
      <c r="U137" s="922"/>
      <c r="V137" s="922"/>
      <c r="W137" s="922"/>
      <c r="X137" s="922"/>
      <c r="Y137" s="935"/>
      <c r="Z137" s="922"/>
      <c r="AA137" s="922"/>
      <c r="AB137" s="923"/>
      <c r="AC137" s="923"/>
      <c r="AD137" s="923"/>
      <c r="AE137" s="923"/>
      <c r="AF137" s="923"/>
      <c r="AG137" s="923"/>
      <c r="AH137" s="923"/>
      <c r="AI137" s="923"/>
      <c r="AJ137" s="923"/>
      <c r="AK137" s="923"/>
      <c r="AL137" s="923"/>
      <c r="AM137" s="922"/>
      <c r="AN137" s="922"/>
      <c r="AO137" s="922"/>
      <c r="AP137" s="922"/>
      <c r="AQ137" s="922"/>
      <c r="AR137" s="922"/>
      <c r="AS137" s="922"/>
      <c r="AT137" s="922"/>
      <c r="AU137" s="922"/>
      <c r="AV137" s="922"/>
      <c r="AW137" s="922"/>
      <c r="AX137" s="922"/>
      <c r="AY137" s="922"/>
      <c r="AZ137" s="922"/>
      <c r="BA137" s="923"/>
      <c r="BB137" s="923"/>
      <c r="BC137" s="923"/>
      <c r="BD137" s="923"/>
      <c r="BE137" s="923"/>
      <c r="BF137" s="923"/>
      <c r="BG137" s="923"/>
      <c r="BH137" s="923"/>
      <c r="BI137" s="923"/>
      <c r="BJ137" s="923"/>
      <c r="BK137" s="923"/>
      <c r="BL137" s="923"/>
      <c r="BM137" s="923"/>
      <c r="BN137" s="923"/>
      <c r="BO137" s="923"/>
      <c r="BP137" s="923"/>
      <c r="BQ137" s="923"/>
      <c r="BR137" s="923"/>
      <c r="BS137" s="923"/>
      <c r="BT137" s="924"/>
      <c r="BU137" s="921"/>
      <c r="BV137" s="921"/>
      <c r="BW137" s="921"/>
      <c r="BX137" s="921"/>
      <c r="BY137" s="921"/>
      <c r="BZ137" s="921"/>
      <c r="CA137" s="921"/>
      <c r="CB137" s="921"/>
      <c r="CC137" s="921"/>
      <c r="CD137" s="921"/>
      <c r="CE137" s="921"/>
      <c r="CF137" s="921"/>
      <c r="CG137" s="921"/>
      <c r="CH137" s="921"/>
      <c r="CI137" s="921"/>
      <c r="CJ137" s="921"/>
      <c r="CK137" s="921"/>
      <c r="CL137" s="921"/>
    </row>
    <row r="138" spans="1:90">
      <c r="A138" s="415" t="s">
        <v>240</v>
      </c>
      <c r="B138" s="927" t="s">
        <v>1097</v>
      </c>
      <c r="C138" s="926"/>
      <c r="D138" s="921"/>
      <c r="E138" s="921"/>
      <c r="F138" s="922"/>
      <c r="G138" s="922"/>
      <c r="H138" s="922"/>
      <c r="I138" s="922"/>
      <c r="J138" s="922"/>
      <c r="K138" s="922"/>
      <c r="L138" s="922"/>
      <c r="M138" s="922"/>
      <c r="N138" s="922"/>
      <c r="O138" s="922"/>
      <c r="P138" s="922"/>
      <c r="Q138" s="922"/>
      <c r="R138" s="922"/>
      <c r="S138" s="922"/>
      <c r="T138" s="922"/>
      <c r="U138" s="922"/>
      <c r="V138" s="922"/>
      <c r="W138" s="922"/>
      <c r="X138" s="922"/>
      <c r="Y138" s="935"/>
      <c r="Z138" s="922"/>
      <c r="AA138" s="922"/>
      <c r="AB138" s="923"/>
      <c r="AC138" s="923"/>
      <c r="AD138" s="923"/>
      <c r="AE138" s="923"/>
      <c r="AF138" s="923"/>
      <c r="AG138" s="923"/>
      <c r="AH138" s="923"/>
      <c r="AI138" s="923"/>
      <c r="AJ138" s="923"/>
      <c r="AK138" s="923"/>
      <c r="AL138" s="923"/>
      <c r="AM138" s="922"/>
      <c r="AN138" s="922"/>
      <c r="AO138" s="922"/>
      <c r="AP138" s="922"/>
      <c r="AQ138" s="922"/>
      <c r="AR138" s="922"/>
      <c r="AS138" s="922"/>
      <c r="AT138" s="922"/>
      <c r="AU138" s="922"/>
      <c r="AV138" s="922"/>
      <c r="AW138" s="922"/>
      <c r="AX138" s="922"/>
      <c r="AY138" s="922"/>
      <c r="AZ138" s="922"/>
      <c r="BA138" s="923"/>
      <c r="BB138" s="923"/>
      <c r="BC138" s="923"/>
      <c r="BD138" s="923"/>
      <c r="BE138" s="923"/>
      <c r="BF138" s="923"/>
      <c r="BG138" s="923"/>
      <c r="BH138" s="923"/>
      <c r="BI138" s="923"/>
      <c r="BJ138" s="923"/>
      <c r="BK138" s="923"/>
      <c r="BL138" s="923"/>
      <c r="BM138" s="923"/>
      <c r="BN138" s="923"/>
      <c r="BO138" s="923"/>
      <c r="BP138" s="923"/>
      <c r="BQ138" s="923"/>
      <c r="BR138" s="923"/>
      <c r="BS138" s="923"/>
      <c r="BT138" s="924"/>
      <c r="BU138" s="921"/>
      <c r="BV138" s="921"/>
      <c r="BW138" s="921"/>
      <c r="BX138" s="921"/>
      <c r="BY138" s="921"/>
      <c r="BZ138" s="921"/>
      <c r="CA138" s="921"/>
      <c r="CB138" s="921"/>
      <c r="CC138" s="921"/>
      <c r="CD138" s="921"/>
      <c r="CE138" s="921"/>
      <c r="CF138" s="921"/>
      <c r="CG138" s="921"/>
      <c r="CH138" s="921"/>
      <c r="CI138" s="921"/>
      <c r="CJ138" s="921"/>
      <c r="CK138" s="921"/>
      <c r="CL138" s="921"/>
    </row>
    <row r="139" spans="1:90">
      <c r="A139" s="415" t="s">
        <v>240</v>
      </c>
      <c r="B139" s="927" t="s">
        <v>1098</v>
      </c>
      <c r="C139" s="926"/>
      <c r="D139" s="921"/>
      <c r="E139" s="921"/>
      <c r="F139" s="922"/>
      <c r="G139" s="922"/>
      <c r="H139" s="922"/>
      <c r="I139" s="922"/>
      <c r="J139" s="922"/>
      <c r="K139" s="922"/>
      <c r="L139" s="922"/>
      <c r="M139" s="922"/>
      <c r="N139" s="922"/>
      <c r="O139" s="922"/>
      <c r="P139" s="922"/>
      <c r="Q139" s="922"/>
      <c r="R139" s="922"/>
      <c r="S139" s="922"/>
      <c r="T139" s="922"/>
      <c r="U139" s="922"/>
      <c r="V139" s="922"/>
      <c r="W139" s="922"/>
      <c r="X139" s="922"/>
      <c r="Y139" s="935"/>
      <c r="Z139" s="922"/>
      <c r="AA139" s="922"/>
      <c r="AB139" s="923"/>
      <c r="AC139" s="923"/>
      <c r="AD139" s="923"/>
      <c r="AE139" s="923"/>
      <c r="AF139" s="923"/>
      <c r="AG139" s="923"/>
      <c r="AH139" s="923"/>
      <c r="AI139" s="923"/>
      <c r="AJ139" s="923"/>
      <c r="AK139" s="923"/>
      <c r="AL139" s="923"/>
      <c r="AM139" s="922"/>
      <c r="AN139" s="922"/>
      <c r="AO139" s="922"/>
      <c r="AP139" s="922"/>
      <c r="AQ139" s="922"/>
      <c r="AR139" s="922"/>
      <c r="AS139" s="922"/>
      <c r="AT139" s="922"/>
      <c r="AU139" s="922"/>
      <c r="AV139" s="922"/>
      <c r="AW139" s="922"/>
      <c r="AX139" s="922"/>
      <c r="AY139" s="922"/>
      <c r="AZ139" s="922"/>
      <c r="BA139" s="923"/>
      <c r="BB139" s="923"/>
      <c r="BC139" s="923"/>
      <c r="BD139" s="923"/>
      <c r="BE139" s="923"/>
      <c r="BF139" s="923"/>
      <c r="BG139" s="923"/>
      <c r="BH139" s="923"/>
      <c r="BI139" s="923"/>
      <c r="BJ139" s="923"/>
      <c r="BK139" s="923"/>
      <c r="BL139" s="923"/>
      <c r="BM139" s="923"/>
      <c r="BN139" s="923"/>
      <c r="BO139" s="923"/>
      <c r="BP139" s="923"/>
      <c r="BQ139" s="923"/>
      <c r="BR139" s="923"/>
      <c r="BS139" s="923"/>
      <c r="BT139" s="924"/>
      <c r="BU139" s="921"/>
      <c r="BV139" s="921"/>
      <c r="BW139" s="921"/>
      <c r="BX139" s="921"/>
      <c r="BY139" s="921"/>
      <c r="BZ139" s="921"/>
      <c r="CA139" s="921"/>
      <c r="CB139" s="921"/>
      <c r="CC139" s="921"/>
      <c r="CD139" s="921"/>
      <c r="CE139" s="921"/>
      <c r="CF139" s="921"/>
      <c r="CG139" s="921"/>
      <c r="CH139" s="921"/>
      <c r="CI139" s="921"/>
      <c r="CJ139" s="921"/>
      <c r="CK139" s="921"/>
      <c r="CL139" s="921"/>
    </row>
    <row r="140" spans="1:90">
      <c r="A140" s="415" t="s">
        <v>240</v>
      </c>
      <c r="B140" s="927" t="s">
        <v>1099</v>
      </c>
      <c r="C140" s="926"/>
      <c r="D140" s="921"/>
      <c r="E140" s="921"/>
      <c r="F140" s="922"/>
      <c r="G140" s="922"/>
      <c r="H140" s="922"/>
      <c r="I140" s="922"/>
      <c r="J140" s="922"/>
      <c r="K140" s="922"/>
      <c r="L140" s="922"/>
      <c r="M140" s="922"/>
      <c r="N140" s="922"/>
      <c r="O140" s="922"/>
      <c r="P140" s="922"/>
      <c r="Q140" s="922"/>
      <c r="R140" s="922"/>
      <c r="S140" s="922"/>
      <c r="T140" s="922"/>
      <c r="U140" s="922"/>
      <c r="V140" s="922"/>
      <c r="W140" s="922"/>
      <c r="X140" s="922"/>
      <c r="Y140" s="935"/>
      <c r="Z140" s="922"/>
      <c r="AA140" s="922"/>
      <c r="AB140" s="923"/>
      <c r="AC140" s="923"/>
      <c r="AD140" s="923"/>
      <c r="AE140" s="923"/>
      <c r="AF140" s="923"/>
      <c r="AG140" s="923"/>
      <c r="AH140" s="923"/>
      <c r="AI140" s="923"/>
      <c r="AJ140" s="923"/>
      <c r="AK140" s="923"/>
      <c r="AL140" s="923"/>
      <c r="AM140" s="922"/>
      <c r="AN140" s="922"/>
      <c r="AO140" s="922"/>
      <c r="AP140" s="922"/>
      <c r="AQ140" s="922"/>
      <c r="AR140" s="922"/>
      <c r="AS140" s="922"/>
      <c r="AT140" s="922"/>
      <c r="AU140" s="922"/>
      <c r="AV140" s="922"/>
      <c r="AW140" s="922"/>
      <c r="AX140" s="922"/>
      <c r="AY140" s="922"/>
      <c r="AZ140" s="922"/>
      <c r="BA140" s="923"/>
      <c r="BB140" s="923"/>
      <c r="BC140" s="923"/>
      <c r="BD140" s="923"/>
      <c r="BE140" s="923"/>
      <c r="BF140" s="923"/>
      <c r="BG140" s="923"/>
      <c r="BH140" s="923"/>
      <c r="BI140" s="923"/>
      <c r="BJ140" s="923"/>
      <c r="BK140" s="923"/>
      <c r="BL140" s="923"/>
      <c r="BM140" s="923"/>
      <c r="BN140" s="923"/>
      <c r="BO140" s="923"/>
      <c r="BP140" s="923"/>
      <c r="BQ140" s="923"/>
      <c r="BR140" s="923"/>
      <c r="BS140" s="923"/>
      <c r="BT140" s="924"/>
      <c r="BU140" s="921"/>
      <c r="BV140" s="921"/>
      <c r="BW140" s="921"/>
      <c r="BX140" s="921"/>
      <c r="BY140" s="921"/>
      <c r="BZ140" s="921"/>
      <c r="CA140" s="921"/>
      <c r="CB140" s="921"/>
      <c r="CC140" s="921"/>
      <c r="CD140" s="921"/>
      <c r="CE140" s="921"/>
      <c r="CF140" s="921"/>
      <c r="CG140" s="921"/>
      <c r="CH140" s="921"/>
      <c r="CI140" s="921"/>
      <c r="CJ140" s="921"/>
      <c r="CK140" s="921"/>
      <c r="CL140" s="921"/>
    </row>
    <row r="141" spans="1:90" ht="28.8">
      <c r="A141" s="415" t="s">
        <v>240</v>
      </c>
      <c r="B141" s="927" t="s">
        <v>1100</v>
      </c>
      <c r="C141" s="926"/>
      <c r="D141" s="921"/>
      <c r="E141" s="921"/>
      <c r="F141" s="922"/>
      <c r="G141" s="922"/>
      <c r="H141" s="922"/>
      <c r="I141" s="922"/>
      <c r="J141" s="922"/>
      <c r="K141" s="922"/>
      <c r="L141" s="922"/>
      <c r="M141" s="922"/>
      <c r="N141" s="922"/>
      <c r="O141" s="922"/>
      <c r="P141" s="922"/>
      <c r="Q141" s="922"/>
      <c r="R141" s="922"/>
      <c r="S141" s="922"/>
      <c r="T141" s="922"/>
      <c r="U141" s="922"/>
      <c r="V141" s="922"/>
      <c r="W141" s="922"/>
      <c r="X141" s="922"/>
      <c r="Y141" s="935"/>
      <c r="Z141" s="922"/>
      <c r="AA141" s="922"/>
      <c r="AB141" s="923"/>
      <c r="AC141" s="923"/>
      <c r="AD141" s="923"/>
      <c r="AE141" s="923"/>
      <c r="AF141" s="923"/>
      <c r="AG141" s="923"/>
      <c r="AH141" s="923"/>
      <c r="AI141" s="923"/>
      <c r="AJ141" s="923"/>
      <c r="AK141" s="923"/>
      <c r="AL141" s="923"/>
      <c r="AM141" s="922"/>
      <c r="AN141" s="922"/>
      <c r="AO141" s="922"/>
      <c r="AP141" s="922"/>
      <c r="AQ141" s="922"/>
      <c r="AR141" s="922"/>
      <c r="AS141" s="922"/>
      <c r="AT141" s="922"/>
      <c r="AU141" s="922"/>
      <c r="AV141" s="922"/>
      <c r="AW141" s="922"/>
      <c r="AX141" s="922"/>
      <c r="AY141" s="922"/>
      <c r="AZ141" s="922"/>
      <c r="BA141" s="923"/>
      <c r="BB141" s="923"/>
      <c r="BC141" s="923"/>
      <c r="BD141" s="923"/>
      <c r="BE141" s="923"/>
      <c r="BF141" s="923"/>
      <c r="BG141" s="923"/>
      <c r="BH141" s="923"/>
      <c r="BI141" s="923"/>
      <c r="BJ141" s="923"/>
      <c r="BK141" s="923"/>
      <c r="BL141" s="923"/>
      <c r="BM141" s="923"/>
      <c r="BN141" s="923"/>
      <c r="BO141" s="923"/>
      <c r="BP141" s="923"/>
      <c r="BQ141" s="923"/>
      <c r="BR141" s="923"/>
      <c r="BS141" s="923"/>
      <c r="BT141" s="924"/>
      <c r="BU141" s="921"/>
      <c r="BV141" s="921"/>
      <c r="BW141" s="921"/>
      <c r="BX141" s="921"/>
      <c r="BY141" s="921"/>
      <c r="BZ141" s="921"/>
      <c r="CA141" s="921"/>
      <c r="CB141" s="921"/>
      <c r="CC141" s="921"/>
      <c r="CD141" s="921"/>
      <c r="CE141" s="921"/>
      <c r="CF141" s="921"/>
      <c r="CG141" s="921"/>
      <c r="CH141" s="921"/>
      <c r="CI141" s="921"/>
      <c r="CJ141" s="921"/>
      <c r="CK141" s="921"/>
      <c r="CL141" s="921"/>
    </row>
    <row r="142" spans="1:90" ht="28.8">
      <c r="A142" s="415" t="s">
        <v>240</v>
      </c>
      <c r="B142" s="927" t="s">
        <v>1101</v>
      </c>
      <c r="C142" s="928"/>
      <c r="D142" s="395" t="s">
        <v>1169</v>
      </c>
      <c r="E142" s="395">
        <f>IF(AUTOQUESTIONNAIRE!K139&gt;0.8,1,0)</f>
        <v>0</v>
      </c>
      <c r="F142" s="438"/>
      <c r="G142" s="438">
        <f t="shared" ref="G142:J142" si="55">$E$142</f>
        <v>0</v>
      </c>
      <c r="H142" s="438">
        <f t="shared" si="55"/>
        <v>0</v>
      </c>
      <c r="I142" s="438">
        <f t="shared" si="55"/>
        <v>0</v>
      </c>
      <c r="J142" s="438">
        <f t="shared" si="55"/>
        <v>0</v>
      </c>
      <c r="K142" s="438"/>
      <c r="L142" s="438"/>
      <c r="M142" s="438"/>
      <c r="N142" s="438"/>
      <c r="O142" s="438"/>
      <c r="P142" s="438"/>
      <c r="Q142" s="438">
        <f>$E$142</f>
        <v>0</v>
      </c>
      <c r="R142" s="438"/>
      <c r="S142" s="438">
        <f t="shared" ref="S142" si="56">$E$142</f>
        <v>0</v>
      </c>
      <c r="T142" s="438"/>
      <c r="U142" s="438"/>
      <c r="V142" s="438"/>
      <c r="W142" s="438"/>
      <c r="X142" s="438"/>
      <c r="Y142" s="935"/>
      <c r="Z142" s="438"/>
      <c r="AA142" s="438"/>
      <c r="AI142" s="438">
        <f>$E$142</f>
        <v>0</v>
      </c>
    </row>
    <row r="143" spans="1:90" ht="72">
      <c r="A143" s="415" t="s">
        <v>240</v>
      </c>
      <c r="B143" s="634" t="s">
        <v>1122</v>
      </c>
      <c r="C143" s="394">
        <f>AUTOQUESTIONNAIRE!G143</f>
        <v>0</v>
      </c>
      <c r="D143" s="393" t="s">
        <v>1270</v>
      </c>
      <c r="E143" s="393">
        <f>IF(C143&gt;2,1,0)</f>
        <v>0</v>
      </c>
      <c r="F143" s="438"/>
      <c r="G143" s="438">
        <f>$E143</f>
        <v>0</v>
      </c>
      <c r="H143" s="438">
        <f>$E143</f>
        <v>0</v>
      </c>
      <c r="I143" s="438">
        <f>$E143</f>
        <v>0</v>
      </c>
      <c r="J143" s="438"/>
      <c r="K143" s="438">
        <f>$E143</f>
        <v>0</v>
      </c>
      <c r="L143" s="438">
        <f>$E143</f>
        <v>0</v>
      </c>
      <c r="M143" s="438"/>
      <c r="N143" s="438">
        <f>$E143</f>
        <v>0</v>
      </c>
      <c r="O143" s="438"/>
      <c r="P143" s="438"/>
      <c r="Q143" s="438">
        <f>$E143</f>
        <v>0</v>
      </c>
      <c r="R143" s="438"/>
      <c r="S143" s="438">
        <f>$E143</f>
        <v>0</v>
      </c>
      <c r="T143" s="438"/>
      <c r="U143" s="438"/>
      <c r="V143" s="438"/>
      <c r="W143" s="438"/>
      <c r="X143" s="438"/>
      <c r="Y143" s="935"/>
      <c r="Z143" s="438"/>
      <c r="AA143" s="438"/>
      <c r="AI143" s="652"/>
    </row>
    <row r="144" spans="1:90" ht="72">
      <c r="A144" s="415" t="s">
        <v>240</v>
      </c>
      <c r="B144" s="634" t="s">
        <v>1123</v>
      </c>
      <c r="C144" s="394">
        <f>AUTOQUESTIONNAIRE!G144</f>
        <v>1</v>
      </c>
      <c r="D144" s="393" t="s">
        <v>1270</v>
      </c>
      <c r="E144" s="393">
        <f t="shared" ref="E144:E146" si="57">IF(C144&gt;2,1,0)</f>
        <v>0</v>
      </c>
      <c r="F144" s="438">
        <f>$E144</f>
        <v>0</v>
      </c>
      <c r="G144" s="438"/>
      <c r="H144" s="438"/>
      <c r="I144" s="438">
        <f>$E144</f>
        <v>0</v>
      </c>
      <c r="J144" s="438"/>
      <c r="K144" s="438"/>
      <c r="L144" s="438"/>
      <c r="M144" s="438"/>
      <c r="N144" s="438"/>
      <c r="O144" s="438"/>
      <c r="P144" s="438"/>
      <c r="Q144" s="438"/>
      <c r="R144" s="438"/>
      <c r="S144" s="438"/>
      <c r="T144" s="438"/>
      <c r="U144" s="438"/>
      <c r="V144" s="438"/>
      <c r="W144" s="438"/>
      <c r="X144" s="438"/>
      <c r="Y144" s="935">
        <f>$E144</f>
        <v>0</v>
      </c>
      <c r="Z144" s="438"/>
      <c r="AA144" s="438"/>
      <c r="AI144" s="652"/>
      <c r="AU144" s="438">
        <f>$E144</f>
        <v>0</v>
      </c>
    </row>
    <row r="145" spans="1:49" ht="72">
      <c r="A145" s="415" t="s">
        <v>240</v>
      </c>
      <c r="B145" s="634" t="s">
        <v>1124</v>
      </c>
      <c r="C145" s="394">
        <f>AUTOQUESTIONNAIRE!G145</f>
        <v>0</v>
      </c>
      <c r="D145" s="393" t="s">
        <v>1270</v>
      </c>
      <c r="E145" s="393">
        <f t="shared" si="57"/>
        <v>0</v>
      </c>
      <c r="F145" s="438"/>
      <c r="G145" s="438"/>
      <c r="H145" s="438"/>
      <c r="I145" s="438">
        <f>$E145</f>
        <v>0</v>
      </c>
      <c r="J145" s="438"/>
      <c r="K145" s="438"/>
      <c r="L145" s="438">
        <f t="shared" ref="K145:M146" si="58">$E145</f>
        <v>0</v>
      </c>
      <c r="M145" s="438">
        <f t="shared" si="58"/>
        <v>0</v>
      </c>
      <c r="N145" s="438"/>
      <c r="O145" s="438"/>
      <c r="P145" s="438">
        <f>$E145</f>
        <v>0</v>
      </c>
      <c r="Q145" s="438">
        <f>$E145</f>
        <v>0</v>
      </c>
      <c r="R145" s="438"/>
      <c r="S145" s="438"/>
      <c r="T145" s="438"/>
      <c r="U145" s="438"/>
      <c r="V145" s="438"/>
      <c r="W145" s="438"/>
      <c r="X145" s="438"/>
      <c r="Y145" s="935"/>
      <c r="Z145" s="438"/>
      <c r="AA145" s="438"/>
      <c r="AI145" s="652"/>
      <c r="AR145" s="438">
        <f>$E145</f>
        <v>0</v>
      </c>
    </row>
    <row r="146" spans="1:49" ht="72">
      <c r="A146" s="415" t="s">
        <v>240</v>
      </c>
      <c r="B146" s="634" t="s">
        <v>1125</v>
      </c>
      <c r="C146" s="394">
        <f>AUTOQUESTIONNAIRE!G146</f>
        <v>0</v>
      </c>
      <c r="D146" s="393" t="s">
        <v>1270</v>
      </c>
      <c r="E146" s="393">
        <f t="shared" si="57"/>
        <v>0</v>
      </c>
      <c r="F146" s="438"/>
      <c r="G146" s="438"/>
      <c r="H146" s="438"/>
      <c r="I146" s="438"/>
      <c r="J146" s="438"/>
      <c r="K146" s="438">
        <f t="shared" si="58"/>
        <v>0</v>
      </c>
      <c r="L146" s="438">
        <f t="shared" si="58"/>
        <v>0</v>
      </c>
      <c r="M146" s="438">
        <f t="shared" si="58"/>
        <v>0</v>
      </c>
      <c r="N146" s="438"/>
      <c r="O146" s="438"/>
      <c r="P146" s="438"/>
      <c r="Q146" s="438">
        <f>$E146</f>
        <v>0</v>
      </c>
      <c r="R146" s="438"/>
      <c r="S146" s="438"/>
      <c r="T146" s="438"/>
      <c r="U146" s="438"/>
      <c r="V146" s="438"/>
      <c r="W146" s="438"/>
      <c r="X146" s="438"/>
      <c r="Y146" s="935"/>
      <c r="Z146" s="438"/>
      <c r="AA146" s="438"/>
      <c r="AH146" s="438">
        <f>$E146</f>
        <v>0</v>
      </c>
      <c r="AI146" s="652"/>
    </row>
    <row r="147" spans="1:49">
      <c r="A147" s="411"/>
      <c r="B147" s="628"/>
      <c r="C147" s="394"/>
      <c r="F147" s="438"/>
      <c r="G147" s="438"/>
      <c r="H147" s="438"/>
      <c r="I147" s="438"/>
      <c r="J147" s="438"/>
      <c r="K147" s="438"/>
      <c r="L147" s="438"/>
      <c r="M147" s="438"/>
      <c r="N147" s="438"/>
      <c r="O147" s="438"/>
      <c r="P147" s="438"/>
      <c r="Q147" s="438"/>
      <c r="R147" s="438"/>
      <c r="S147" s="438"/>
      <c r="T147" s="438"/>
      <c r="U147" s="438"/>
      <c r="V147" s="438"/>
      <c r="W147" s="438"/>
      <c r="X147" s="438"/>
      <c r="Y147" s="935"/>
      <c r="Z147" s="438"/>
      <c r="AA147" s="438"/>
      <c r="AI147" s="652"/>
    </row>
    <row r="148" spans="1:49">
      <c r="A148" s="411"/>
      <c r="B148" s="628"/>
      <c r="C148" s="394"/>
      <c r="F148" s="438"/>
      <c r="G148" s="438"/>
      <c r="H148" s="438"/>
      <c r="I148" s="438"/>
      <c r="J148" s="438"/>
      <c r="K148" s="438"/>
      <c r="L148" s="438"/>
      <c r="M148" s="438"/>
      <c r="N148" s="438"/>
      <c r="O148" s="438"/>
      <c r="P148" s="438"/>
      <c r="Q148" s="438"/>
      <c r="R148" s="438"/>
      <c r="S148" s="438"/>
      <c r="T148" s="438"/>
      <c r="U148" s="438"/>
      <c r="V148" s="438"/>
      <c r="W148" s="438"/>
      <c r="X148" s="438"/>
      <c r="Y148" s="935"/>
      <c r="Z148" s="438"/>
      <c r="AA148" s="438"/>
      <c r="AI148" s="652"/>
    </row>
    <row r="149" spans="1:49" ht="28.8">
      <c r="A149" s="416" t="s">
        <v>1023</v>
      </c>
      <c r="B149" s="624" t="s">
        <v>1103</v>
      </c>
      <c r="C149" s="394">
        <f>AUTOQUESTIONNAIRE!G149</f>
        <v>0</v>
      </c>
      <c r="F149" s="438">
        <f t="shared" ref="F149:Z156" si="59">$C149</f>
        <v>0</v>
      </c>
      <c r="G149" s="438">
        <f t="shared" si="59"/>
        <v>0</v>
      </c>
      <c r="H149" s="438"/>
      <c r="I149" s="438">
        <f t="shared" si="59"/>
        <v>0</v>
      </c>
      <c r="J149" s="438">
        <f t="shared" si="59"/>
        <v>0</v>
      </c>
      <c r="K149" s="438"/>
      <c r="L149" s="438"/>
      <c r="M149" s="438"/>
      <c r="N149" s="438"/>
      <c r="O149" s="438"/>
      <c r="P149" s="438">
        <f t="shared" si="59"/>
        <v>0</v>
      </c>
      <c r="Q149" s="438">
        <f t="shared" si="59"/>
        <v>0</v>
      </c>
      <c r="R149" s="438"/>
      <c r="S149" s="438">
        <f t="shared" si="59"/>
        <v>0</v>
      </c>
      <c r="T149" s="438"/>
      <c r="U149" s="438"/>
      <c r="V149" s="438"/>
      <c r="W149" s="438"/>
      <c r="X149" s="438"/>
      <c r="Y149" s="935">
        <f t="shared" si="59"/>
        <v>0</v>
      </c>
      <c r="Z149" s="438"/>
      <c r="AA149" s="438"/>
      <c r="AE149" s="438">
        <f>$C149</f>
        <v>0</v>
      </c>
      <c r="AI149" s="652"/>
    </row>
    <row r="150" spans="1:49" ht="28.8">
      <c r="A150" s="416" t="s">
        <v>1023</v>
      </c>
      <c r="B150" s="624" t="s">
        <v>1106</v>
      </c>
      <c r="C150" s="394">
        <f>AUTOQUESTIONNAIRE!G150</f>
        <v>0</v>
      </c>
      <c r="F150" s="438">
        <f t="shared" si="59"/>
        <v>0</v>
      </c>
      <c r="G150" s="438">
        <f t="shared" si="59"/>
        <v>0</v>
      </c>
      <c r="H150" s="438"/>
      <c r="I150" s="438">
        <f t="shared" si="59"/>
        <v>0</v>
      </c>
      <c r="J150" s="438">
        <f t="shared" si="59"/>
        <v>0</v>
      </c>
      <c r="K150" s="438"/>
      <c r="L150" s="438"/>
      <c r="M150" s="438"/>
      <c r="N150" s="438"/>
      <c r="O150" s="438"/>
      <c r="P150" s="438">
        <f t="shared" si="59"/>
        <v>0</v>
      </c>
      <c r="Q150" s="438">
        <f t="shared" si="59"/>
        <v>0</v>
      </c>
      <c r="R150" s="438">
        <f t="shared" si="59"/>
        <v>0</v>
      </c>
      <c r="S150" s="438">
        <f t="shared" si="59"/>
        <v>0</v>
      </c>
      <c r="T150" s="438"/>
      <c r="U150" s="438"/>
      <c r="V150" s="438"/>
      <c r="W150" s="438"/>
      <c r="X150" s="438"/>
      <c r="Y150" s="935"/>
      <c r="Z150" s="438"/>
      <c r="AA150" s="438"/>
      <c r="AD150" s="438"/>
      <c r="AI150" s="652"/>
      <c r="AM150" s="438">
        <f>C150</f>
        <v>0</v>
      </c>
    </row>
    <row r="151" spans="1:49">
      <c r="A151" s="416" t="s">
        <v>1023</v>
      </c>
      <c r="B151" s="624" t="s">
        <v>1107</v>
      </c>
      <c r="C151" s="394">
        <f>AUTOQUESTIONNAIRE!G151</f>
        <v>1</v>
      </c>
      <c r="F151" s="438">
        <f t="shared" si="59"/>
        <v>1</v>
      </c>
      <c r="G151" s="438"/>
      <c r="H151" s="438"/>
      <c r="I151" s="438">
        <f t="shared" si="59"/>
        <v>1</v>
      </c>
      <c r="J151" s="438"/>
      <c r="K151" s="438"/>
      <c r="L151" s="438"/>
      <c r="M151" s="438"/>
      <c r="N151" s="438"/>
      <c r="O151" s="438"/>
      <c r="P151" s="438"/>
      <c r="Q151" s="438"/>
      <c r="R151" s="438"/>
      <c r="S151" s="438"/>
      <c r="T151" s="438"/>
      <c r="U151" s="438"/>
      <c r="V151" s="438"/>
      <c r="W151" s="438"/>
      <c r="X151" s="438"/>
      <c r="Y151" s="935"/>
      <c r="Z151" s="438">
        <f t="shared" si="59"/>
        <v>1</v>
      </c>
      <c r="AA151" s="438"/>
      <c r="AI151" s="652"/>
      <c r="AN151" s="438">
        <f>C151</f>
        <v>1</v>
      </c>
    </row>
    <row r="152" spans="1:49" ht="28.8">
      <c r="A152" s="416" t="s">
        <v>1023</v>
      </c>
      <c r="B152" s="624" t="s">
        <v>1108</v>
      </c>
      <c r="C152" s="394">
        <f>AUTOQUESTIONNAIRE!F152</f>
        <v>0</v>
      </c>
      <c r="F152" s="438"/>
      <c r="G152" s="438"/>
      <c r="H152" s="438"/>
      <c r="I152" s="438"/>
      <c r="J152" s="438"/>
      <c r="K152" s="438"/>
      <c r="L152" s="438"/>
      <c r="M152" s="438"/>
      <c r="N152" s="438"/>
      <c r="O152" s="438"/>
      <c r="P152" s="438"/>
      <c r="Q152" s="438"/>
      <c r="R152" s="438"/>
      <c r="S152" s="438"/>
      <c r="T152" s="438"/>
      <c r="U152" s="438"/>
      <c r="V152" s="438"/>
      <c r="W152" s="438"/>
      <c r="X152" s="438"/>
      <c r="Y152" s="935"/>
      <c r="Z152" s="438"/>
      <c r="AA152" s="438"/>
      <c r="AI152" s="652"/>
      <c r="AV152" s="438">
        <f>$C152</f>
        <v>0</v>
      </c>
    </row>
    <row r="153" spans="1:49">
      <c r="A153" s="416" t="s">
        <v>1023</v>
      </c>
      <c r="B153" s="636" t="s">
        <v>1109</v>
      </c>
      <c r="C153" s="394">
        <f>AUTOQUESTIONNAIRE!F153</f>
        <v>0</v>
      </c>
      <c r="F153" s="438"/>
      <c r="G153" s="438"/>
      <c r="H153" s="438"/>
      <c r="I153" s="438"/>
      <c r="J153" s="438"/>
      <c r="K153" s="438"/>
      <c r="L153" s="438"/>
      <c r="M153" s="438"/>
      <c r="N153" s="438"/>
      <c r="O153" s="438"/>
      <c r="P153" s="438"/>
      <c r="Q153" s="438"/>
      <c r="R153" s="438"/>
      <c r="S153" s="438"/>
      <c r="T153" s="438"/>
      <c r="U153" s="438"/>
      <c r="V153" s="438"/>
      <c r="W153" s="438"/>
      <c r="X153" s="438"/>
      <c r="Y153" s="935"/>
      <c r="Z153" s="438"/>
      <c r="AA153" s="438"/>
      <c r="AI153" s="652"/>
      <c r="AW153" s="438">
        <f>$C153</f>
        <v>0</v>
      </c>
    </row>
    <row r="154" spans="1:49">
      <c r="A154" s="416" t="s">
        <v>1023</v>
      </c>
      <c r="B154" s="637" t="s">
        <v>1110</v>
      </c>
      <c r="C154" s="394">
        <f>AUTOQUESTIONNAIRE!G154</f>
        <v>0</v>
      </c>
      <c r="F154" s="438"/>
      <c r="G154" s="438"/>
      <c r="H154" s="438"/>
      <c r="I154" s="438">
        <f t="shared" si="59"/>
        <v>0</v>
      </c>
      <c r="J154" s="438"/>
      <c r="K154" s="438">
        <f t="shared" si="59"/>
        <v>0</v>
      </c>
      <c r="L154" s="438">
        <f t="shared" si="59"/>
        <v>0</v>
      </c>
      <c r="M154" s="438"/>
      <c r="N154" s="438"/>
      <c r="O154" s="438"/>
      <c r="P154" s="438"/>
      <c r="Q154" s="438"/>
      <c r="R154" s="438"/>
      <c r="S154" s="438"/>
      <c r="T154" s="438"/>
      <c r="U154" s="438"/>
      <c r="V154" s="438"/>
      <c r="W154" s="438"/>
      <c r="X154" s="438"/>
      <c r="Y154" s="935"/>
      <c r="Z154" s="438"/>
      <c r="AA154" s="438"/>
      <c r="AI154" s="652"/>
    </row>
    <row r="155" spans="1:49">
      <c r="A155" s="416" t="s">
        <v>1023</v>
      </c>
      <c r="B155" s="624" t="s">
        <v>1111</v>
      </c>
      <c r="C155" s="394">
        <f>AUTOQUESTIONNAIRE!G155</f>
        <v>0</v>
      </c>
      <c r="F155" s="438">
        <f t="shared" si="59"/>
        <v>0</v>
      </c>
      <c r="G155" s="438">
        <f t="shared" si="59"/>
        <v>0</v>
      </c>
      <c r="H155" s="438"/>
      <c r="I155" s="438">
        <f t="shared" si="59"/>
        <v>0</v>
      </c>
      <c r="J155" s="438"/>
      <c r="K155" s="438">
        <f t="shared" si="59"/>
        <v>0</v>
      </c>
      <c r="L155" s="438">
        <f t="shared" si="59"/>
        <v>0</v>
      </c>
      <c r="M155" s="438">
        <f t="shared" si="59"/>
        <v>0</v>
      </c>
      <c r="N155" s="438"/>
      <c r="O155" s="438"/>
      <c r="P155" s="438"/>
      <c r="Q155" s="438">
        <f t="shared" si="59"/>
        <v>0</v>
      </c>
      <c r="R155" s="438"/>
      <c r="S155" s="438">
        <f t="shared" si="59"/>
        <v>0</v>
      </c>
      <c r="T155" s="438"/>
      <c r="U155" s="438"/>
      <c r="V155" s="438"/>
      <c r="W155" s="438"/>
      <c r="X155" s="438"/>
      <c r="Y155" s="935"/>
      <c r="Z155" s="438"/>
      <c r="AA155" s="438"/>
      <c r="AI155" s="652"/>
      <c r="AS155" s="438">
        <f>$C155</f>
        <v>0</v>
      </c>
    </row>
    <row r="156" spans="1:49" ht="28.8">
      <c r="A156" s="416" t="s">
        <v>1023</v>
      </c>
      <c r="B156" s="624" t="s">
        <v>1112</v>
      </c>
      <c r="C156" s="394">
        <f>AUTOQUESTIONNAIRE!G156</f>
        <v>0</v>
      </c>
      <c r="F156" s="438">
        <f t="shared" si="59"/>
        <v>0</v>
      </c>
      <c r="G156" s="438">
        <f t="shared" si="59"/>
        <v>0</v>
      </c>
      <c r="H156" s="438"/>
      <c r="I156" s="438">
        <f t="shared" si="59"/>
        <v>0</v>
      </c>
      <c r="J156" s="438">
        <f t="shared" si="59"/>
        <v>0</v>
      </c>
      <c r="K156" s="438"/>
      <c r="L156" s="438"/>
      <c r="M156" s="438"/>
      <c r="N156" s="438"/>
      <c r="O156" s="438"/>
      <c r="P156" s="438"/>
      <c r="Q156" s="438">
        <f t="shared" si="59"/>
        <v>0</v>
      </c>
      <c r="R156" s="438">
        <f t="shared" si="59"/>
        <v>0</v>
      </c>
      <c r="S156" s="438">
        <f t="shared" si="59"/>
        <v>0</v>
      </c>
      <c r="T156" s="438"/>
      <c r="U156" s="438"/>
      <c r="V156" s="438">
        <f t="shared" si="59"/>
        <v>0</v>
      </c>
      <c r="W156" s="438"/>
      <c r="X156" s="438"/>
      <c r="Y156" s="935"/>
      <c r="Z156" s="438"/>
      <c r="AA156" s="438"/>
      <c r="AD156" s="438"/>
      <c r="AI156" s="652"/>
      <c r="AM156" s="438">
        <f>C156</f>
        <v>0</v>
      </c>
    </row>
    <row r="157" spans="1:49">
      <c r="A157" s="416" t="s">
        <v>1023</v>
      </c>
      <c r="B157" s="636" t="s">
        <v>1104</v>
      </c>
      <c r="C157" s="394">
        <f>AUTOQUESTIONNAIRE!G157</f>
        <v>0</v>
      </c>
      <c r="F157" s="438">
        <f t="shared" ref="F157:Y168" si="60">$C157</f>
        <v>0</v>
      </c>
      <c r="G157" s="438"/>
      <c r="H157" s="438"/>
      <c r="I157" s="438">
        <f t="shared" si="60"/>
        <v>0</v>
      </c>
      <c r="J157" s="438"/>
      <c r="K157" s="438"/>
      <c r="L157" s="438"/>
      <c r="M157" s="438">
        <f t="shared" si="60"/>
        <v>0</v>
      </c>
      <c r="N157" s="438"/>
      <c r="O157" s="438"/>
      <c r="P157" s="438">
        <f t="shared" si="60"/>
        <v>0</v>
      </c>
      <c r="Q157" s="438">
        <f t="shared" si="60"/>
        <v>0</v>
      </c>
      <c r="R157" s="438"/>
      <c r="S157" s="438">
        <f t="shared" si="60"/>
        <v>0</v>
      </c>
      <c r="T157" s="438"/>
      <c r="U157" s="438"/>
      <c r="V157" s="438"/>
      <c r="W157" s="438"/>
      <c r="X157" s="438"/>
      <c r="Y157" s="935"/>
      <c r="Z157" s="438"/>
      <c r="AA157" s="438"/>
      <c r="AI157" s="652"/>
      <c r="AR157" s="438">
        <f t="shared" ref="AR157" si="61">$C157</f>
        <v>0</v>
      </c>
    </row>
    <row r="158" spans="1:49" ht="28.8">
      <c r="A158" s="416" t="s">
        <v>1023</v>
      </c>
      <c r="B158" s="624" t="s">
        <v>1113</v>
      </c>
      <c r="C158" s="394">
        <f>AUTOQUESTIONNAIRE!G158</f>
        <v>0</v>
      </c>
      <c r="F158" s="438">
        <f t="shared" si="60"/>
        <v>0</v>
      </c>
      <c r="G158" s="438">
        <f t="shared" si="60"/>
        <v>0</v>
      </c>
      <c r="H158" s="438"/>
      <c r="I158" s="438">
        <f t="shared" si="60"/>
        <v>0</v>
      </c>
      <c r="J158" s="438"/>
      <c r="K158" s="438"/>
      <c r="L158" s="438"/>
      <c r="M158" s="438"/>
      <c r="N158" s="438"/>
      <c r="O158" s="438"/>
      <c r="P158" s="438"/>
      <c r="Q158" s="438"/>
      <c r="R158" s="438">
        <f t="shared" si="60"/>
        <v>0</v>
      </c>
      <c r="S158" s="438">
        <f t="shared" si="60"/>
        <v>0</v>
      </c>
      <c r="T158" s="438"/>
      <c r="U158" s="438"/>
      <c r="V158" s="438"/>
      <c r="W158" s="438"/>
      <c r="X158" s="438"/>
      <c r="Y158" s="935"/>
      <c r="Z158" s="438"/>
      <c r="AA158" s="438"/>
      <c r="AI158" s="652"/>
      <c r="AM158" s="438">
        <f>C158</f>
        <v>0</v>
      </c>
    </row>
    <row r="159" spans="1:49">
      <c r="A159" s="416" t="s">
        <v>1023</v>
      </c>
      <c r="B159" s="636" t="s">
        <v>1114</v>
      </c>
      <c r="C159" s="394">
        <f>AUTOQUESTIONNAIRE!G159</f>
        <v>0</v>
      </c>
      <c r="F159" s="438">
        <f t="shared" si="60"/>
        <v>0</v>
      </c>
      <c r="G159" s="438"/>
      <c r="H159" s="438"/>
      <c r="I159" s="438">
        <f t="shared" si="60"/>
        <v>0</v>
      </c>
      <c r="J159" s="438"/>
      <c r="K159" s="438"/>
      <c r="L159" s="438">
        <f t="shared" si="60"/>
        <v>0</v>
      </c>
      <c r="M159" s="438"/>
      <c r="N159" s="438"/>
      <c r="O159" s="438"/>
      <c r="P159" s="438"/>
      <c r="Q159" s="438"/>
      <c r="R159" s="438"/>
      <c r="S159" s="438">
        <f t="shared" si="60"/>
        <v>0</v>
      </c>
      <c r="T159" s="438"/>
      <c r="U159" s="438"/>
      <c r="V159" s="438"/>
      <c r="W159" s="438"/>
      <c r="X159" s="438"/>
      <c r="Y159" s="935"/>
      <c r="Z159" s="438"/>
      <c r="AA159" s="438"/>
      <c r="AI159" s="652"/>
      <c r="AO159" s="438">
        <f>C159</f>
        <v>0</v>
      </c>
      <c r="AP159" s="438">
        <f>C159</f>
        <v>0</v>
      </c>
    </row>
    <row r="160" spans="1:49" ht="28.8">
      <c r="A160" s="416" t="s">
        <v>1023</v>
      </c>
      <c r="B160" s="624" t="s">
        <v>1117</v>
      </c>
      <c r="C160" s="394">
        <f>AUTOQUESTIONNAIRE!G160</f>
        <v>0</v>
      </c>
      <c r="F160" s="438">
        <f t="shared" si="60"/>
        <v>0</v>
      </c>
      <c r="G160" s="438"/>
      <c r="H160" s="438"/>
      <c r="I160" s="438">
        <f t="shared" si="60"/>
        <v>0</v>
      </c>
      <c r="J160" s="438"/>
      <c r="K160" s="438"/>
      <c r="L160" s="438"/>
      <c r="M160" s="438"/>
      <c r="N160" s="438"/>
      <c r="O160" s="438"/>
      <c r="P160" s="438">
        <f t="shared" si="60"/>
        <v>0</v>
      </c>
      <c r="Q160" s="438">
        <f t="shared" si="60"/>
        <v>0</v>
      </c>
      <c r="R160" s="438"/>
      <c r="S160" s="438">
        <f t="shared" si="60"/>
        <v>0</v>
      </c>
      <c r="T160" s="438"/>
      <c r="U160" s="438"/>
      <c r="V160" s="438"/>
      <c r="W160" s="438"/>
      <c r="X160" s="438"/>
      <c r="Y160" s="935">
        <f t="shared" si="60"/>
        <v>0</v>
      </c>
      <c r="Z160" s="438"/>
      <c r="AA160" s="438"/>
      <c r="AI160" s="652"/>
      <c r="AU160" s="438">
        <f>C160</f>
        <v>0</v>
      </c>
    </row>
    <row r="161" spans="1:47" ht="28.8">
      <c r="A161" s="416" t="s">
        <v>1023</v>
      </c>
      <c r="B161" s="624" t="s">
        <v>1115</v>
      </c>
      <c r="C161" s="394">
        <f>AUTOQUESTIONNAIRE!G161</f>
        <v>0</v>
      </c>
      <c r="F161" s="438">
        <f t="shared" si="60"/>
        <v>0</v>
      </c>
      <c r="G161" s="438"/>
      <c r="H161" s="438"/>
      <c r="I161" s="438">
        <f t="shared" si="60"/>
        <v>0</v>
      </c>
      <c r="J161" s="438">
        <f t="shared" si="60"/>
        <v>0</v>
      </c>
      <c r="K161" s="438"/>
      <c r="L161" s="438"/>
      <c r="M161" s="438"/>
      <c r="N161" s="438"/>
      <c r="O161" s="438"/>
      <c r="P161" s="438"/>
      <c r="Q161" s="438">
        <f t="shared" si="60"/>
        <v>0</v>
      </c>
      <c r="R161" s="438"/>
      <c r="S161" s="438">
        <f t="shared" si="60"/>
        <v>0</v>
      </c>
      <c r="T161" s="438"/>
      <c r="U161" s="438"/>
      <c r="V161" s="438"/>
      <c r="W161" s="438"/>
      <c r="X161" s="438"/>
      <c r="Y161" s="935">
        <f t="shared" si="60"/>
        <v>0</v>
      </c>
      <c r="Z161" s="438"/>
      <c r="AA161" s="438"/>
      <c r="AI161" s="652"/>
      <c r="AU161" s="438">
        <f>C161</f>
        <v>0</v>
      </c>
    </row>
    <row r="162" spans="1:47" ht="43.2">
      <c r="A162" s="416" t="s">
        <v>1023</v>
      </c>
      <c r="B162" s="624" t="s">
        <v>1116</v>
      </c>
      <c r="C162" s="394">
        <f>AUTOQUESTIONNAIRE!G162</f>
        <v>0</v>
      </c>
      <c r="F162" s="438">
        <f t="shared" si="60"/>
        <v>0</v>
      </c>
      <c r="G162" s="438">
        <f t="shared" si="60"/>
        <v>0</v>
      </c>
      <c r="H162" s="438"/>
      <c r="I162" s="438">
        <f t="shared" si="60"/>
        <v>0</v>
      </c>
      <c r="J162" s="438">
        <f t="shared" si="60"/>
        <v>0</v>
      </c>
      <c r="K162" s="438">
        <f t="shared" si="60"/>
        <v>0</v>
      </c>
      <c r="L162" s="438">
        <f t="shared" si="60"/>
        <v>0</v>
      </c>
      <c r="M162" s="438">
        <f t="shared" si="60"/>
        <v>0</v>
      </c>
      <c r="N162" s="438"/>
      <c r="O162" s="438"/>
      <c r="P162" s="438">
        <f t="shared" si="60"/>
        <v>0</v>
      </c>
      <c r="Q162" s="438">
        <f t="shared" si="60"/>
        <v>0</v>
      </c>
      <c r="R162" s="438"/>
      <c r="S162" s="438">
        <f t="shared" si="60"/>
        <v>0</v>
      </c>
      <c r="T162" s="438"/>
      <c r="U162" s="438"/>
      <c r="V162" s="438">
        <f t="shared" si="60"/>
        <v>0</v>
      </c>
      <c r="W162" s="438"/>
      <c r="X162" s="438"/>
      <c r="Y162" s="935"/>
      <c r="Z162" s="438"/>
      <c r="AA162" s="438"/>
      <c r="AH162" s="438">
        <f t="shared" ref="AH162" si="62">$C162</f>
        <v>0</v>
      </c>
      <c r="AI162" s="652"/>
    </row>
    <row r="163" spans="1:47" ht="43.2">
      <c r="A163" s="416" t="s">
        <v>1023</v>
      </c>
      <c r="B163" s="624" t="s">
        <v>1118</v>
      </c>
      <c r="C163" s="394">
        <f>AUTOQUESTIONNAIRE!G163</f>
        <v>0</v>
      </c>
      <c r="F163" s="438">
        <f t="shared" si="60"/>
        <v>0</v>
      </c>
      <c r="G163" s="438"/>
      <c r="H163" s="438"/>
      <c r="I163" s="438">
        <f t="shared" si="60"/>
        <v>0</v>
      </c>
      <c r="J163" s="438">
        <f t="shared" si="60"/>
        <v>0</v>
      </c>
      <c r="K163" s="438"/>
      <c r="L163" s="438"/>
      <c r="M163" s="438"/>
      <c r="N163" s="438"/>
      <c r="O163" s="438"/>
      <c r="P163" s="438">
        <f t="shared" si="60"/>
        <v>0</v>
      </c>
      <c r="Q163" s="438">
        <f t="shared" si="60"/>
        <v>0</v>
      </c>
      <c r="R163" s="438"/>
      <c r="S163" s="438">
        <f t="shared" si="60"/>
        <v>0</v>
      </c>
      <c r="T163" s="438"/>
      <c r="U163" s="438"/>
      <c r="V163" s="438"/>
      <c r="W163" s="438"/>
      <c r="X163" s="438"/>
      <c r="Y163" s="935"/>
      <c r="Z163" s="438"/>
      <c r="AA163" s="438"/>
      <c r="AI163" s="652"/>
    </row>
    <row r="164" spans="1:47" ht="28.8">
      <c r="A164" s="416" t="s">
        <v>1023</v>
      </c>
      <c r="B164" s="624" t="s">
        <v>1119</v>
      </c>
      <c r="C164" s="394">
        <f>AUTOQUESTIONNAIRE!G164</f>
        <v>0</v>
      </c>
      <c r="F164" s="438">
        <f t="shared" si="60"/>
        <v>0</v>
      </c>
      <c r="G164" s="438"/>
      <c r="H164" s="438"/>
      <c r="I164" s="438">
        <f t="shared" si="60"/>
        <v>0</v>
      </c>
      <c r="J164" s="438">
        <f t="shared" si="60"/>
        <v>0</v>
      </c>
      <c r="K164" s="438"/>
      <c r="L164" s="438"/>
      <c r="M164" s="438"/>
      <c r="N164" s="438"/>
      <c r="O164" s="438"/>
      <c r="P164" s="438">
        <f t="shared" si="60"/>
        <v>0</v>
      </c>
      <c r="Q164" s="438">
        <f t="shared" si="60"/>
        <v>0</v>
      </c>
      <c r="R164" s="438"/>
      <c r="S164" s="438"/>
      <c r="T164" s="438"/>
      <c r="U164" s="438"/>
      <c r="V164" s="438"/>
      <c r="W164" s="438"/>
      <c r="X164" s="438"/>
      <c r="Y164" s="935"/>
      <c r="Z164" s="438"/>
      <c r="AA164" s="438"/>
      <c r="AB164" s="438"/>
      <c r="AI164" s="652"/>
      <c r="AS164" s="438">
        <f>C164</f>
        <v>0</v>
      </c>
    </row>
    <row r="165" spans="1:47" ht="28.8">
      <c r="A165" s="416" t="s">
        <v>1023</v>
      </c>
      <c r="B165" s="624" t="s">
        <v>1120</v>
      </c>
      <c r="C165" s="394">
        <f>AUTOQUESTIONNAIRE!G165</f>
        <v>0</v>
      </c>
      <c r="F165" s="438">
        <f t="shared" si="60"/>
        <v>0</v>
      </c>
      <c r="G165" s="438"/>
      <c r="H165" s="438"/>
      <c r="I165" s="438">
        <f t="shared" si="60"/>
        <v>0</v>
      </c>
      <c r="J165" s="438">
        <f t="shared" si="60"/>
        <v>0</v>
      </c>
      <c r="K165" s="438"/>
      <c r="L165" s="438"/>
      <c r="M165" s="438"/>
      <c r="N165" s="438"/>
      <c r="O165" s="438"/>
      <c r="P165" s="438"/>
      <c r="Q165" s="438"/>
      <c r="R165" s="438"/>
      <c r="S165" s="438"/>
      <c r="T165" s="438"/>
      <c r="U165" s="438"/>
      <c r="V165" s="438"/>
      <c r="W165" s="438"/>
      <c r="X165" s="438"/>
      <c r="Y165" s="935"/>
      <c r="Z165" s="438"/>
      <c r="AA165" s="438"/>
      <c r="AI165" s="652"/>
      <c r="AU165" s="438">
        <f>C165</f>
        <v>0</v>
      </c>
    </row>
    <row r="166" spans="1:47" ht="72">
      <c r="A166" s="416" t="s">
        <v>1023</v>
      </c>
      <c r="B166" s="624" t="s">
        <v>1126</v>
      </c>
      <c r="C166" s="394">
        <f>AUTOQUESTIONNAIRE!G166</f>
        <v>0</v>
      </c>
      <c r="F166" s="438"/>
      <c r="G166" s="438"/>
      <c r="H166" s="438"/>
      <c r="I166" s="438">
        <f t="shared" si="60"/>
        <v>0</v>
      </c>
      <c r="J166" s="438"/>
      <c r="K166" s="438"/>
      <c r="L166" s="438"/>
      <c r="M166" s="438"/>
      <c r="N166" s="438"/>
      <c r="O166" s="438"/>
      <c r="P166" s="438"/>
      <c r="Q166" s="438">
        <f t="shared" si="60"/>
        <v>0</v>
      </c>
      <c r="R166" s="438"/>
      <c r="S166" s="438">
        <f t="shared" si="60"/>
        <v>0</v>
      </c>
      <c r="T166" s="438"/>
      <c r="U166" s="438">
        <f t="shared" si="60"/>
        <v>0</v>
      </c>
      <c r="V166" s="438"/>
      <c r="W166" s="438"/>
      <c r="X166" s="438"/>
      <c r="Y166" s="935"/>
      <c r="Z166" s="438"/>
      <c r="AA166" s="438"/>
      <c r="AI166" s="652"/>
      <c r="AO166" s="438">
        <f>C166</f>
        <v>0</v>
      </c>
    </row>
    <row r="167" spans="1:47" ht="57.6">
      <c r="A167" s="416" t="s">
        <v>1023</v>
      </c>
      <c r="B167" s="624" t="s">
        <v>1127</v>
      </c>
      <c r="C167" s="394">
        <f>AUTOQUESTIONNAIRE!G167</f>
        <v>0</v>
      </c>
      <c r="F167" s="438"/>
      <c r="G167" s="438">
        <f t="shared" si="60"/>
        <v>0</v>
      </c>
      <c r="H167" s="438"/>
      <c r="I167" s="438">
        <f t="shared" si="60"/>
        <v>0</v>
      </c>
      <c r="J167" s="438"/>
      <c r="K167" s="438"/>
      <c r="L167" s="438"/>
      <c r="M167" s="438"/>
      <c r="N167" s="438">
        <f t="shared" si="60"/>
        <v>0</v>
      </c>
      <c r="O167" s="438"/>
      <c r="P167" s="438"/>
      <c r="Q167" s="438">
        <f t="shared" si="60"/>
        <v>0</v>
      </c>
      <c r="R167" s="438"/>
      <c r="S167" s="438">
        <f t="shared" si="60"/>
        <v>0</v>
      </c>
      <c r="T167" s="438"/>
      <c r="U167" s="438">
        <f t="shared" si="60"/>
        <v>0</v>
      </c>
      <c r="V167" s="438"/>
      <c r="W167" s="438">
        <f t="shared" ref="W167" si="63">$C167</f>
        <v>0</v>
      </c>
      <c r="X167" s="438">
        <f t="shared" si="60"/>
        <v>0</v>
      </c>
      <c r="Y167" s="935"/>
      <c r="Z167" s="438"/>
      <c r="AA167" s="438"/>
      <c r="AI167" s="652"/>
      <c r="AO167" s="438">
        <f>C167</f>
        <v>0</v>
      </c>
    </row>
    <row r="168" spans="1:47" ht="43.2">
      <c r="A168" s="416" t="s">
        <v>1023</v>
      </c>
      <c r="B168" s="624" t="s">
        <v>1280</v>
      </c>
      <c r="C168" s="397">
        <f>AUTOQUESTIONNAIRE!G168</f>
        <v>1</v>
      </c>
      <c r="F168" s="438">
        <f t="shared" si="60"/>
        <v>1</v>
      </c>
      <c r="T168" s="438">
        <f t="shared" si="60"/>
        <v>1</v>
      </c>
      <c r="AI168" s="652"/>
    </row>
    <row r="169" spans="1:47" ht="28.8">
      <c r="A169" s="416" t="s">
        <v>1023</v>
      </c>
      <c r="B169" s="624" t="s">
        <v>1281</v>
      </c>
      <c r="C169" s="397">
        <f>AUTOQUESTIONNAIRE!G169</f>
        <v>0</v>
      </c>
      <c r="F169" s="438"/>
      <c r="AI169" s="652"/>
      <c r="AU169" s="438">
        <f>C169</f>
        <v>0</v>
      </c>
    </row>
    <row r="170" spans="1:47">
      <c r="A170" s="416" t="s">
        <v>1023</v>
      </c>
      <c r="B170" s="310" t="s">
        <v>1292</v>
      </c>
      <c r="C170" s="397">
        <f>AUTOQUESTIONNAIRE!G170</f>
        <v>1</v>
      </c>
      <c r="F170" s="438"/>
      <c r="K170" s="438">
        <f t="shared" ref="K170:M171" si="64">$C170</f>
        <v>1</v>
      </c>
      <c r="L170" s="438">
        <f t="shared" si="64"/>
        <v>1</v>
      </c>
      <c r="M170" s="438">
        <f t="shared" si="64"/>
        <v>1</v>
      </c>
      <c r="Q170" s="438">
        <f t="shared" ref="Q170:Q174" si="65">$C170</f>
        <v>1</v>
      </c>
      <c r="AI170" s="652"/>
    </row>
    <row r="171" spans="1:47">
      <c r="A171" s="416" t="s">
        <v>1023</v>
      </c>
      <c r="B171" s="310" t="s">
        <v>1293</v>
      </c>
      <c r="C171" s="397">
        <f>AUTOQUESTIONNAIRE!G171</f>
        <v>0</v>
      </c>
      <c r="F171" s="438"/>
      <c r="G171" s="438"/>
      <c r="I171" s="438">
        <f t="shared" ref="I171:I172" si="66">$C171</f>
        <v>0</v>
      </c>
      <c r="K171" s="438">
        <f t="shared" si="64"/>
        <v>0</v>
      </c>
      <c r="L171" s="438">
        <f t="shared" si="64"/>
        <v>0</v>
      </c>
      <c r="M171" s="438">
        <f t="shared" si="64"/>
        <v>0</v>
      </c>
      <c r="Q171" s="438">
        <f t="shared" si="65"/>
        <v>0</v>
      </c>
      <c r="AH171" s="438">
        <f t="shared" ref="AH171" si="67">$C171</f>
        <v>0</v>
      </c>
      <c r="AI171" s="652"/>
    </row>
    <row r="172" spans="1:47">
      <c r="A172" s="416" t="s">
        <v>1023</v>
      </c>
      <c r="B172" s="310" t="s">
        <v>1294</v>
      </c>
      <c r="C172" s="397">
        <f>AUTOQUESTIONNAIRE!G172</f>
        <v>0</v>
      </c>
      <c r="F172" s="438"/>
      <c r="G172" s="438"/>
      <c r="I172" s="438">
        <f t="shared" si="66"/>
        <v>0</v>
      </c>
      <c r="M172" s="438">
        <f t="shared" ref="M172:M173" si="68">$C172</f>
        <v>0</v>
      </c>
      <c r="Q172" s="438">
        <f t="shared" si="65"/>
        <v>0</v>
      </c>
      <c r="S172" s="438">
        <f t="shared" ref="S172:S173" si="69">$C172</f>
        <v>0</v>
      </c>
      <c r="AI172" s="652"/>
    </row>
    <row r="173" spans="1:47">
      <c r="A173" s="416" t="s">
        <v>1023</v>
      </c>
      <c r="B173" s="310" t="s">
        <v>1295</v>
      </c>
      <c r="C173" s="397">
        <f>AUTOQUESTIONNAIRE!G173</f>
        <v>0</v>
      </c>
      <c r="F173" s="438"/>
      <c r="M173" s="438">
        <f t="shared" si="68"/>
        <v>0</v>
      </c>
      <c r="Q173" s="438">
        <f t="shared" si="65"/>
        <v>0</v>
      </c>
      <c r="S173" s="438">
        <f t="shared" si="69"/>
        <v>0</v>
      </c>
      <c r="AI173" s="652"/>
      <c r="AM173" s="438">
        <f>C173</f>
        <v>0</v>
      </c>
    </row>
    <row r="174" spans="1:47">
      <c r="A174" s="416" t="s">
        <v>1023</v>
      </c>
      <c r="B174" s="638" t="s">
        <v>1296</v>
      </c>
      <c r="C174" s="397">
        <f>AUTOQUESTIONNAIRE!G174</f>
        <v>0</v>
      </c>
      <c r="F174" s="438"/>
      <c r="K174" s="438">
        <f t="shared" ref="K174:L174" si="70">$C174</f>
        <v>0</v>
      </c>
      <c r="L174" s="438">
        <f t="shared" si="70"/>
        <v>0</v>
      </c>
      <c r="Q174" s="438">
        <f t="shared" si="65"/>
        <v>0</v>
      </c>
      <c r="AH174" s="438">
        <f t="shared" ref="AH174" si="71">$C174</f>
        <v>0</v>
      </c>
      <c r="AI174" s="652"/>
    </row>
    <row r="175" spans="1:47">
      <c r="B175" s="639"/>
      <c r="F175" s="438"/>
      <c r="K175" s="438"/>
      <c r="L175" s="438"/>
      <c r="Q175" s="438"/>
      <c r="AI175" s="652"/>
    </row>
    <row r="176" spans="1:47">
      <c r="B176" s="639"/>
      <c r="F176" s="438"/>
      <c r="K176" s="438"/>
      <c r="L176" s="438"/>
      <c r="Q176" s="438"/>
      <c r="AI176" s="652"/>
    </row>
    <row r="177" spans="1:116">
      <c r="B177" s="639"/>
      <c r="F177" s="438"/>
      <c r="K177" s="438"/>
      <c r="L177" s="438"/>
      <c r="Q177" s="438"/>
      <c r="AI177" s="652"/>
    </row>
    <row r="178" spans="1:116">
      <c r="B178" s="639" t="str">
        <f>AUTOQUESTIONNAIRE!D178</f>
        <v>Avez-vous déjà eu une maladie infectieuse chronique nécessitant un traitement antibiotique de plus de 3 mois (comme la tuberculose, la brucellose ou l’endocardite) ?  (non=0, oui=1)</v>
      </c>
      <c r="C178" s="397">
        <f>AUTOQUESTIONNAIRE!G178</f>
        <v>0</v>
      </c>
      <c r="F178" s="438">
        <f t="shared" ref="F178" si="72">$C178</f>
        <v>0</v>
      </c>
      <c r="I178" s="438">
        <f t="shared" ref="I178" si="73">$C178</f>
        <v>0</v>
      </c>
      <c r="K178" s="438"/>
      <c r="L178" s="438"/>
      <c r="Q178" s="438"/>
      <c r="AI178" s="652"/>
    </row>
    <row r="179" spans="1:116">
      <c r="B179" s="639"/>
      <c r="F179" s="438"/>
      <c r="K179" s="438"/>
      <c r="L179" s="438"/>
      <c r="Q179" s="438"/>
      <c r="AI179" s="652"/>
    </row>
    <row r="180" spans="1:116" s="404" customFormat="1">
      <c r="A180" s="351"/>
      <c r="B180" s="639"/>
      <c r="C180" s="397"/>
      <c r="D180" s="393"/>
      <c r="E180" s="393"/>
      <c r="F180" s="438"/>
      <c r="G180" s="436"/>
      <c r="H180" s="436"/>
      <c r="I180" s="436"/>
      <c r="J180" s="436"/>
      <c r="K180" s="438"/>
      <c r="L180" s="438"/>
      <c r="M180" s="436"/>
      <c r="N180" s="436"/>
      <c r="O180" s="436"/>
      <c r="P180" s="436"/>
      <c r="Q180" s="438"/>
      <c r="R180" s="436"/>
      <c r="S180" s="436"/>
      <c r="T180" s="436"/>
      <c r="U180" s="436"/>
      <c r="V180" s="436"/>
      <c r="W180" s="436"/>
      <c r="X180" s="436"/>
      <c r="Y180" s="933"/>
      <c r="Z180" s="436"/>
      <c r="AA180" s="436"/>
      <c r="AB180" s="436"/>
      <c r="AC180" s="436"/>
      <c r="AD180" s="436"/>
      <c r="AE180" s="436"/>
      <c r="AF180" s="436"/>
      <c r="AG180" s="436"/>
      <c r="AH180" s="436"/>
      <c r="AI180" s="652"/>
      <c r="AJ180" s="436"/>
      <c r="AK180" s="436"/>
      <c r="AL180" s="436"/>
      <c r="AM180" s="438"/>
      <c r="AN180" s="438"/>
      <c r="AO180" s="438"/>
      <c r="AP180" s="438"/>
      <c r="AQ180" s="438"/>
      <c r="AR180" s="438"/>
      <c r="AS180" s="438"/>
      <c r="AT180" s="438"/>
      <c r="AU180" s="438"/>
      <c r="AV180" s="438"/>
      <c r="AW180" s="438"/>
      <c r="AX180" s="438"/>
      <c r="AY180" s="438"/>
      <c r="AZ180" s="438"/>
      <c r="BA180" s="436"/>
      <c r="BB180" s="436"/>
      <c r="BC180" s="436"/>
      <c r="BD180" s="436"/>
      <c r="BE180" s="436"/>
      <c r="BF180" s="436"/>
      <c r="BG180" s="436"/>
      <c r="BH180" s="436"/>
      <c r="BI180" s="436"/>
      <c r="BJ180" s="436"/>
      <c r="BK180" s="436"/>
      <c r="BL180" s="436"/>
      <c r="BM180" s="436"/>
      <c r="BN180" s="436"/>
      <c r="BO180" s="436"/>
      <c r="BP180" s="436"/>
      <c r="BQ180" s="436"/>
      <c r="BR180" s="436"/>
      <c r="BS180" s="436"/>
      <c r="BT180" s="712"/>
      <c r="CM180" s="393"/>
      <c r="CN180" s="393"/>
      <c r="CO180" s="393"/>
      <c r="CP180" s="393"/>
      <c r="CQ180" s="393"/>
      <c r="CR180" s="393"/>
      <c r="CS180" s="393"/>
      <c r="CT180" s="393"/>
      <c r="CU180" s="393"/>
      <c r="CV180" s="393"/>
      <c r="CW180" s="393"/>
      <c r="CX180" s="393"/>
      <c r="CY180" s="393"/>
      <c r="CZ180" s="393"/>
      <c r="DA180" s="393"/>
      <c r="DB180" s="393"/>
      <c r="DC180" s="393"/>
      <c r="DD180" s="393"/>
      <c r="DE180" s="393"/>
      <c r="DF180" s="393"/>
      <c r="DG180" s="393"/>
      <c r="DH180" s="393"/>
      <c r="DI180" s="393"/>
      <c r="DJ180" s="393"/>
      <c r="DK180" s="393"/>
      <c r="DL180" s="393"/>
    </row>
    <row r="181" spans="1:116">
      <c r="B181" s="639"/>
      <c r="F181" s="438"/>
      <c r="K181" s="438"/>
      <c r="L181" s="438"/>
      <c r="Q181" s="438"/>
      <c r="AI181" s="652"/>
    </row>
    <row r="182" spans="1:116">
      <c r="B182" s="639"/>
      <c r="F182" s="438"/>
      <c r="K182" s="438"/>
      <c r="L182" s="438"/>
      <c r="Q182" s="438"/>
      <c r="AI182" s="652"/>
    </row>
    <row r="183" spans="1:116">
      <c r="B183" s="639"/>
      <c r="F183" s="438"/>
      <c r="K183" s="438"/>
      <c r="L183" s="438"/>
      <c r="Q183" s="438"/>
      <c r="AI183" s="652"/>
    </row>
    <row r="184" spans="1:116">
      <c r="B184" s="639"/>
      <c r="F184" s="438"/>
      <c r="K184" s="438"/>
      <c r="L184" s="438"/>
      <c r="Q184" s="438"/>
      <c r="AI184" s="652"/>
    </row>
    <row r="185" spans="1:116">
      <c r="B185" s="639"/>
      <c r="F185" s="438"/>
      <c r="K185" s="438"/>
      <c r="L185" s="438"/>
      <c r="Q185" s="438"/>
      <c r="AI185" s="652"/>
    </row>
    <row r="186" spans="1:116">
      <c r="B186" s="639"/>
      <c r="F186" s="438"/>
      <c r="K186" s="438"/>
      <c r="L186" s="438"/>
      <c r="Q186" s="438"/>
      <c r="AI186" s="652"/>
    </row>
    <row r="187" spans="1:116">
      <c r="B187" s="352"/>
      <c r="F187" s="438"/>
      <c r="K187" s="438"/>
      <c r="L187" s="438"/>
      <c r="Q187" s="438"/>
      <c r="AI187" s="652"/>
    </row>
    <row r="188" spans="1:116">
      <c r="B188" s="352" t="str">
        <f>AUTOQUESTIONNAIRE!D188</f>
        <v>Avez-vous été vacciné(e) contre la varicelle (chickenpox) ?  (non=0, oui=1, ne sais pas =2)</v>
      </c>
      <c r="C188" s="397">
        <f>AUTOQUESTIONNAIRE!G188</f>
        <v>0</v>
      </c>
      <c r="F188" s="438"/>
      <c r="K188" s="438"/>
      <c r="L188" s="438"/>
      <c r="Q188" s="438"/>
      <c r="AI188" s="652"/>
    </row>
    <row r="189" spans="1:116">
      <c r="B189" s="352" t="str">
        <f>AUTOQUESTIONNAIRE!D189</f>
        <v>Avez-vous reçu le vaccin ROR (rougeole, oreillons, rubéole) ?  (non=0, oui=1, ne sais pas =2)</v>
      </c>
      <c r="C189" s="397">
        <f>AUTOQUESTIONNAIRE!G189</f>
        <v>0</v>
      </c>
      <c r="F189" s="438"/>
      <c r="K189" s="438"/>
      <c r="L189" s="438"/>
      <c r="Q189" s="438"/>
      <c r="AI189" s="652"/>
      <c r="BI189" s="646">
        <f>$C189</f>
        <v>0</v>
      </c>
    </row>
    <row r="190" spans="1:116">
      <c r="B190" s="352" t="str">
        <f>AUTOQUESTIONNAIRE!D190</f>
        <v>Avez-vous reçu le vaccin contre l’encéphalite à tiques (FSME) ?  (non=0, oui=1, ne sais pas =2)</v>
      </c>
      <c r="C190" s="397">
        <f>AUTOQUESTIONNAIRE!G190</f>
        <v>0</v>
      </c>
      <c r="F190" s="438"/>
      <c r="K190" s="438"/>
      <c r="L190" s="438"/>
      <c r="Q190" s="438"/>
      <c r="AI190" s="652"/>
      <c r="BJ190" s="646">
        <f>$C190</f>
        <v>0</v>
      </c>
    </row>
    <row r="191" spans="1:116">
      <c r="B191" s="352" t="str">
        <f>AUTOQUESTIONNAIRE!D191</f>
        <v>Avez-vous reçu le vaccin contre les méningocoques ACWY ?  (non=0, oui=1, ne sais pas =2)</v>
      </c>
      <c r="C191" s="397">
        <f>AUTOQUESTIONNAIRE!G191</f>
        <v>0</v>
      </c>
      <c r="F191" s="438"/>
      <c r="K191" s="438"/>
      <c r="L191" s="438"/>
      <c r="Q191" s="438"/>
      <c r="AI191" s="652"/>
      <c r="BK191" s="646">
        <f>$C191</f>
        <v>0</v>
      </c>
      <c r="BL191" s="646"/>
    </row>
    <row r="192" spans="1:116">
      <c r="B192" s="352" t="str">
        <f>AUTOQUESTIONNAIRE!D192</f>
        <v>Avez-vous reçu le vaccin contre l'hémophilus ?  (non=0, oui=1, ne sais pas =2)</v>
      </c>
      <c r="C192" s="397">
        <f>AUTOQUESTIONNAIRE!G192</f>
        <v>0</v>
      </c>
      <c r="F192" s="438"/>
      <c r="K192" s="438"/>
      <c r="L192" s="438"/>
      <c r="Q192" s="438"/>
      <c r="AI192" s="652"/>
      <c r="BM192" s="646">
        <f>$C192</f>
        <v>0</v>
      </c>
    </row>
    <row r="193" spans="2:116">
      <c r="B193" s="352" t="str">
        <f>AUTOQUESTIONNAIRE!D193</f>
        <v>Avez-vous reçu le vaccin contre les méningocoques  B ?  (non=0, oui=1, ne sais pas =2)</v>
      </c>
      <c r="C193" s="397">
        <f>AUTOQUESTIONNAIRE!G193</f>
        <v>0</v>
      </c>
      <c r="F193" s="438"/>
      <c r="K193" s="438"/>
      <c r="L193" s="438"/>
      <c r="Q193" s="438"/>
      <c r="AI193" s="652"/>
      <c r="BL193" s="436">
        <f>C193</f>
        <v>0</v>
      </c>
    </row>
    <row r="194" spans="2:116">
      <c r="B194" s="639"/>
      <c r="F194" s="438"/>
      <c r="K194" s="438"/>
      <c r="L194" s="438"/>
      <c r="Q194" s="438"/>
      <c r="AI194" s="652"/>
    </row>
    <row r="195" spans="2:116">
      <c r="B195" s="639"/>
      <c r="F195" s="438"/>
      <c r="K195" s="438"/>
      <c r="L195" s="438"/>
      <c r="Q195" s="438"/>
      <c r="AI195" s="652"/>
    </row>
    <row r="196" spans="2:116">
      <c r="B196" s="639" t="s">
        <v>2940</v>
      </c>
      <c r="C196" s="397">
        <f>AUTOQUESTIONNAIRE!G233</f>
        <v>0</v>
      </c>
      <c r="F196" s="438"/>
      <c r="K196" s="438"/>
      <c r="L196" s="438"/>
      <c r="Q196" s="438"/>
      <c r="AI196" s="652"/>
      <c r="AV196" s="438">
        <f>C196</f>
        <v>0</v>
      </c>
    </row>
    <row r="197" spans="2:116">
      <c r="B197" s="639"/>
      <c r="F197" s="438"/>
      <c r="K197" s="438"/>
      <c r="L197" s="438"/>
      <c r="Q197" s="438"/>
      <c r="AI197" s="652"/>
    </row>
    <row r="198" spans="2:116">
      <c r="B198" s="639"/>
      <c r="F198" s="438"/>
      <c r="K198" s="438"/>
      <c r="L198" s="438"/>
      <c r="Q198" s="438"/>
      <c r="AI198" s="652"/>
    </row>
    <row r="199" spans="2:116">
      <c r="B199" s="639"/>
      <c r="F199" s="438"/>
      <c r="K199" s="438"/>
      <c r="L199" s="438"/>
      <c r="Q199" s="438"/>
      <c r="AI199" s="652"/>
    </row>
    <row r="200" spans="2:116">
      <c r="B200" s="639"/>
      <c r="F200" s="438"/>
      <c r="K200" s="438"/>
      <c r="L200" s="438"/>
      <c r="Q200" s="438"/>
      <c r="AI200" s="652"/>
    </row>
    <row r="201" spans="2:116">
      <c r="B201" s="639"/>
      <c r="F201" s="438"/>
      <c r="K201" s="438"/>
      <c r="L201" s="438"/>
      <c r="Q201" s="438"/>
      <c r="AI201" s="652"/>
    </row>
    <row r="202" spans="2:116">
      <c r="B202" s="639"/>
      <c r="F202" s="438"/>
      <c r="K202" s="438"/>
      <c r="L202" s="438"/>
      <c r="Q202" s="438"/>
      <c r="AI202" s="652"/>
    </row>
    <row r="203" spans="2:116">
      <c r="B203" s="639"/>
      <c r="F203" s="438"/>
      <c r="K203" s="438"/>
      <c r="L203" s="438"/>
      <c r="Q203" s="438"/>
      <c r="AI203" s="652"/>
    </row>
    <row r="204" spans="2:116" ht="110.4">
      <c r="B204" s="633" t="s">
        <v>1302</v>
      </c>
      <c r="F204" s="436" t="s">
        <v>1323</v>
      </c>
      <c r="G204" s="436" t="s">
        <v>1324</v>
      </c>
      <c r="H204" s="436" t="s">
        <v>2655</v>
      </c>
      <c r="I204" s="436" t="s">
        <v>1939</v>
      </c>
      <c r="J204" s="436" t="s">
        <v>1940</v>
      </c>
      <c r="K204" s="436" t="s">
        <v>1325</v>
      </c>
      <c r="L204" s="436" t="s">
        <v>1326</v>
      </c>
      <c r="M204" s="436" t="s">
        <v>1327</v>
      </c>
      <c r="N204" s="436" t="s">
        <v>1328</v>
      </c>
      <c r="O204" s="436" t="s">
        <v>1329</v>
      </c>
      <c r="P204" s="436" t="s">
        <v>1330</v>
      </c>
      <c r="Q204" s="436" t="s">
        <v>1331</v>
      </c>
      <c r="R204" s="436" t="s">
        <v>1332</v>
      </c>
      <c r="S204" s="436" t="s">
        <v>1333</v>
      </c>
      <c r="T204" s="436" t="s">
        <v>1941</v>
      </c>
      <c r="U204" s="436" t="s">
        <v>1334</v>
      </c>
      <c r="V204" s="436" t="s">
        <v>1335</v>
      </c>
      <c r="W204" s="436" t="s">
        <v>1336</v>
      </c>
      <c r="X204" s="436" t="s">
        <v>1337</v>
      </c>
      <c r="Y204" s="936" t="s">
        <v>1345</v>
      </c>
      <c r="Z204" s="436" t="s">
        <v>1447</v>
      </c>
      <c r="AA204" s="436" t="s">
        <v>1338</v>
      </c>
      <c r="AB204" s="436" t="s">
        <v>1319</v>
      </c>
      <c r="AC204" s="436" t="s">
        <v>1339</v>
      </c>
      <c r="AE204" s="436" t="s">
        <v>1353</v>
      </c>
      <c r="AF204" s="436" t="s">
        <v>1340</v>
      </c>
      <c r="AG204" s="436" t="s">
        <v>1341</v>
      </c>
      <c r="AH204" s="436" t="s">
        <v>1343</v>
      </c>
      <c r="AI204" s="655" t="s">
        <v>1361</v>
      </c>
      <c r="AJ204" s="655" t="s">
        <v>1362</v>
      </c>
      <c r="AK204" s="655" t="s">
        <v>1363</v>
      </c>
      <c r="AL204" s="436" t="s">
        <v>1364</v>
      </c>
      <c r="AM204" s="438" t="s">
        <v>1365</v>
      </c>
      <c r="AN204" s="438" t="s">
        <v>1366</v>
      </c>
      <c r="AO204" s="438" t="s">
        <v>1367</v>
      </c>
      <c r="AP204" s="438" t="s">
        <v>1368</v>
      </c>
      <c r="AQ204" s="438" t="s">
        <v>1369</v>
      </c>
      <c r="AR204" s="438" t="s">
        <v>1370</v>
      </c>
      <c r="AS204" s="438" t="s">
        <v>1371</v>
      </c>
      <c r="AT204" s="438" t="s">
        <v>2339</v>
      </c>
      <c r="AU204" s="438" t="s">
        <v>1360</v>
      </c>
      <c r="AV204" s="438" t="s">
        <v>1450</v>
      </c>
      <c r="AW204" s="438" t="s">
        <v>1451</v>
      </c>
      <c r="AX204" s="438" t="s">
        <v>1348</v>
      </c>
      <c r="AY204" s="438" t="s">
        <v>1349</v>
      </c>
      <c r="AZ204" s="438" t="s">
        <v>1350</v>
      </c>
      <c r="BA204" s="438" t="s">
        <v>1351</v>
      </c>
      <c r="BB204" s="656" t="s">
        <v>1404</v>
      </c>
      <c r="BC204" s="656" t="s">
        <v>2700</v>
      </c>
      <c r="BD204" s="656" t="s">
        <v>2337</v>
      </c>
      <c r="BE204" s="656" t="s">
        <v>2701</v>
      </c>
      <c r="BF204" s="656" t="s">
        <v>2702</v>
      </c>
      <c r="BG204" s="656" t="s">
        <v>1399</v>
      </c>
      <c r="BH204" s="656" t="s">
        <v>2703</v>
      </c>
      <c r="BI204" s="656" t="s">
        <v>2704</v>
      </c>
      <c r="BJ204" s="656" t="s">
        <v>2705</v>
      </c>
      <c r="BK204" s="656" t="s">
        <v>2706</v>
      </c>
      <c r="BL204" s="656" t="s">
        <v>2707</v>
      </c>
      <c r="BM204" s="656" t="s">
        <v>2708</v>
      </c>
      <c r="BN204" s="438" t="s">
        <v>2709</v>
      </c>
      <c r="BO204" s="438" t="s">
        <v>1405</v>
      </c>
      <c r="BP204" s="438" t="s">
        <v>1400</v>
      </c>
      <c r="BQ204" s="438" t="s">
        <v>1401</v>
      </c>
      <c r="BR204" s="438" t="s">
        <v>1402</v>
      </c>
      <c r="BS204" s="436" t="s">
        <v>2710</v>
      </c>
      <c r="BU204" s="404" t="s">
        <v>2196</v>
      </c>
      <c r="BV204" s="811" t="s">
        <v>2201</v>
      </c>
      <c r="BW204" s="404" t="s">
        <v>2202</v>
      </c>
      <c r="BX204" s="404" t="s">
        <v>1092</v>
      </c>
      <c r="BY204" s="404" t="s">
        <v>1093</v>
      </c>
      <c r="BZ204" s="404" t="s">
        <v>2203</v>
      </c>
      <c r="CA204" s="404" t="s">
        <v>1695</v>
      </c>
      <c r="CB204" s="404" t="s">
        <v>2184</v>
      </c>
      <c r="CC204" s="404" t="s">
        <v>2189</v>
      </c>
      <c r="CD204" s="404" t="s">
        <v>2190</v>
      </c>
      <c r="CE204" s="404" t="s">
        <v>2198</v>
      </c>
      <c r="CF204" s="404" t="s">
        <v>2191</v>
      </c>
      <c r="CG204" s="404" t="s">
        <v>2192</v>
      </c>
      <c r="CH204" s="404" t="s">
        <v>2193</v>
      </c>
      <c r="CI204" s="404" t="s">
        <v>2194</v>
      </c>
      <c r="CJ204" s="404" t="s">
        <v>2195</v>
      </c>
      <c r="CK204" s="404" t="s">
        <v>2197</v>
      </c>
      <c r="CL204" s="404" t="s">
        <v>2199</v>
      </c>
    </row>
    <row r="205" spans="2:116">
      <c r="B205" s="633" t="s">
        <v>2961</v>
      </c>
      <c r="AI205" s="652"/>
      <c r="BN205" s="919">
        <f>IF($C$4&gt;74,0,1)</f>
        <v>1</v>
      </c>
      <c r="BO205" s="919">
        <f t="shared" ref="BO205:BR205" si="74">IF($C$4&gt;74,0,1)</f>
        <v>1</v>
      </c>
      <c r="BP205" s="919">
        <f t="shared" si="74"/>
        <v>1</v>
      </c>
      <c r="BQ205" s="919">
        <f t="shared" si="74"/>
        <v>1</v>
      </c>
      <c r="BR205" s="919">
        <f t="shared" si="74"/>
        <v>1</v>
      </c>
    </row>
    <row r="206" spans="2:116">
      <c r="B206" s="633" t="s">
        <v>1156</v>
      </c>
      <c r="AI206" s="652"/>
    </row>
    <row r="207" spans="2:116">
      <c r="B207" s="634" t="s">
        <v>126</v>
      </c>
      <c r="C207" s="405"/>
      <c r="D207" s="404"/>
      <c r="E207" s="404"/>
      <c r="F207" s="439">
        <f>MAX(F3:F200)</f>
        <v>1</v>
      </c>
      <c r="G207" s="439">
        <f t="shared" ref="G207:AC207" si="75">MAX(G3:G174)</f>
        <v>1</v>
      </c>
      <c r="H207" s="439">
        <f t="shared" si="75"/>
        <v>1</v>
      </c>
      <c r="I207" s="439">
        <f>MAX(I3:I200)</f>
        <v>1</v>
      </c>
      <c r="J207" s="439">
        <f t="shared" si="75"/>
        <v>1</v>
      </c>
      <c r="K207" s="439">
        <f>MAX(K4:K174)*K3</f>
        <v>1</v>
      </c>
      <c r="L207" s="439">
        <f>MAX(L4:L174)*L3</f>
        <v>0</v>
      </c>
      <c r="M207" s="439">
        <f t="shared" si="75"/>
        <v>1</v>
      </c>
      <c r="N207" s="439">
        <f>MAX(N4:N174)*N3</f>
        <v>1</v>
      </c>
      <c r="O207" s="439">
        <f t="shared" si="75"/>
        <v>0</v>
      </c>
      <c r="P207" s="439">
        <f t="shared" si="75"/>
        <v>1</v>
      </c>
      <c r="Q207" s="439">
        <f t="shared" si="75"/>
        <v>1</v>
      </c>
      <c r="R207" s="439">
        <f t="shared" si="75"/>
        <v>0</v>
      </c>
      <c r="S207" s="439">
        <f t="shared" si="75"/>
        <v>1</v>
      </c>
      <c r="T207" s="439">
        <f t="shared" si="75"/>
        <v>1</v>
      </c>
      <c r="U207" s="439">
        <f t="shared" si="75"/>
        <v>0</v>
      </c>
      <c r="V207" s="439">
        <f t="shared" si="75"/>
        <v>1</v>
      </c>
      <c r="W207" s="439">
        <f t="shared" si="75"/>
        <v>1</v>
      </c>
      <c r="X207" s="439">
        <f t="shared" si="75"/>
        <v>0</v>
      </c>
      <c r="Y207" s="933">
        <f t="shared" si="75"/>
        <v>1</v>
      </c>
      <c r="Z207" s="439">
        <f t="shared" si="75"/>
        <v>1</v>
      </c>
      <c r="AA207" s="439">
        <f t="shared" si="75"/>
        <v>1</v>
      </c>
      <c r="AB207" s="439">
        <f t="shared" si="75"/>
        <v>1</v>
      </c>
      <c r="AC207" s="439">
        <f t="shared" si="75"/>
        <v>1</v>
      </c>
      <c r="AD207" s="439"/>
      <c r="AE207" s="439">
        <f>MAX(AE3:AE174)</f>
        <v>1</v>
      </c>
      <c r="AF207" s="439">
        <f>MAX(AF3:AF174)</f>
        <v>1</v>
      </c>
      <c r="AG207" s="439">
        <f>MAX(AG3:AG174)</f>
        <v>0</v>
      </c>
      <c r="AH207" s="439">
        <f>MAX(AH3:AH174)</f>
        <v>0</v>
      </c>
      <c r="AI207" s="439">
        <f>MAX(AUTOQUESTIONNAIRE!K137,AUTOQUESTIONNAIRE!K139)</f>
        <v>0.5</v>
      </c>
      <c r="AJ207" s="439">
        <f>MAX(AJ3:AJ174)</f>
        <v>0</v>
      </c>
      <c r="AK207" s="439">
        <f>MAX(AK3:AK174)</f>
        <v>1</v>
      </c>
      <c r="AL207" s="439">
        <f>AUTOQUESTIONNAIRE!K108</f>
        <v>0</v>
      </c>
      <c r="AM207" s="439">
        <f t="shared" ref="AM207:BA207" si="76">MAX(AM3:AM174)</f>
        <v>1</v>
      </c>
      <c r="AN207" s="439">
        <f t="shared" si="76"/>
        <v>1</v>
      </c>
      <c r="AO207" s="439">
        <f t="shared" si="76"/>
        <v>0</v>
      </c>
      <c r="AP207" s="439">
        <f>MAX(AP4:AP174)*AP3</f>
        <v>0</v>
      </c>
      <c r="AQ207" s="439">
        <f t="shared" si="76"/>
        <v>1</v>
      </c>
      <c r="AR207" s="439">
        <f t="shared" si="76"/>
        <v>0</v>
      </c>
      <c r="AS207" s="439">
        <f t="shared" si="76"/>
        <v>0</v>
      </c>
      <c r="AT207" s="439">
        <f t="shared" si="76"/>
        <v>0</v>
      </c>
      <c r="AU207" s="439">
        <f t="shared" si="76"/>
        <v>0</v>
      </c>
      <c r="AV207" s="439">
        <f>MAX(AV3:AV200)</f>
        <v>0</v>
      </c>
      <c r="AW207" s="439">
        <f t="shared" si="76"/>
        <v>0</v>
      </c>
      <c r="AX207" s="439">
        <f t="shared" si="76"/>
        <v>0</v>
      </c>
      <c r="AY207" s="439">
        <f t="shared" si="76"/>
        <v>0</v>
      </c>
      <c r="AZ207" s="439">
        <f t="shared" si="76"/>
        <v>0</v>
      </c>
      <c r="BA207" s="439">
        <f t="shared" si="76"/>
        <v>1</v>
      </c>
      <c r="BB207" s="439">
        <f>(MAX(BB3:BB174))*BB4</f>
        <v>0</v>
      </c>
      <c r="BC207" s="439">
        <f>MAX(BC3:BC174)</f>
        <v>1</v>
      </c>
      <c r="BD207" s="439">
        <f>MAX(BD3:BD174)</f>
        <v>1</v>
      </c>
      <c r="BE207" s="439">
        <f>MAX(BE3:BE200)</f>
        <v>0</v>
      </c>
      <c r="BF207" s="439">
        <f>MAX(BF3:BF200)</f>
        <v>1</v>
      </c>
      <c r="BG207" s="439">
        <f>(MAX(BG3:BG174))*AUTOQUESTIONNAIRE!I3</f>
        <v>0</v>
      </c>
      <c r="BH207" s="439">
        <f t="shared" ref="BH207:BM207" si="77">MAX(BH3:BH200)</f>
        <v>0</v>
      </c>
      <c r="BI207" s="439">
        <f t="shared" si="77"/>
        <v>0</v>
      </c>
      <c r="BJ207" s="439">
        <f t="shared" si="77"/>
        <v>0</v>
      </c>
      <c r="BK207" s="439">
        <f t="shared" si="77"/>
        <v>0</v>
      </c>
      <c r="BL207" s="439">
        <f t="shared" si="77"/>
        <v>0</v>
      </c>
      <c r="BM207" s="439">
        <f t="shared" si="77"/>
        <v>0</v>
      </c>
      <c r="BN207" s="439">
        <f>BN205*((MAX(BN3:BN174))*AUTOQUESTIONNAIRE!I3*AUTOQUESTIONNAIRE!G54)</f>
        <v>0</v>
      </c>
      <c r="BO207" s="439">
        <f>MAX(BO3:BO174)*AUTOQUESTIONNAIRE!G58*BO205</f>
        <v>1</v>
      </c>
      <c r="BP207" s="439">
        <f>(MAX(BP3:BP174))*AUTOQUESTIONNAIRE!H3*AUTOQUESTIONNAIRE!G53*BP205</f>
        <v>1</v>
      </c>
      <c r="BQ207" s="439">
        <f>(MAX(BQ3:BQ174))*E4*AUTOQUESTIONNAIRE!G52*BQ205</f>
        <v>0</v>
      </c>
      <c r="BR207" s="439">
        <f>(MAX(BR3:BR174))*E4*BR205</f>
        <v>0</v>
      </c>
      <c r="BS207" s="439">
        <f>(MAX(BS4:BS174))*BS3</f>
        <v>0</v>
      </c>
      <c r="BU207" s="439">
        <f>MAX(BU3:BU206)*AUTOQUESTIONNAIRE!$H$3</f>
        <v>0</v>
      </c>
      <c r="BV207" s="439">
        <f t="shared" ref="BV207:CL207" si="78">MAX(BV3:BV206)</f>
        <v>0</v>
      </c>
      <c r="BW207" s="439">
        <f t="shared" si="78"/>
        <v>0</v>
      </c>
      <c r="BX207" s="439">
        <f t="shared" si="78"/>
        <v>1</v>
      </c>
      <c r="BY207" s="439">
        <f t="shared" si="78"/>
        <v>1</v>
      </c>
      <c r="BZ207" s="439">
        <f t="shared" si="78"/>
        <v>1</v>
      </c>
      <c r="CA207" s="439">
        <f t="shared" si="78"/>
        <v>1</v>
      </c>
      <c r="CB207" s="439">
        <f t="shared" si="78"/>
        <v>1</v>
      </c>
      <c r="CC207" s="439">
        <f t="shared" si="78"/>
        <v>0</v>
      </c>
      <c r="CD207" s="439">
        <f t="shared" si="78"/>
        <v>1</v>
      </c>
      <c r="CE207" s="439">
        <f t="shared" si="78"/>
        <v>1</v>
      </c>
      <c r="CF207" s="439">
        <f t="shared" si="78"/>
        <v>0</v>
      </c>
      <c r="CG207" s="439">
        <f t="shared" si="78"/>
        <v>0</v>
      </c>
      <c r="CH207" s="439">
        <f t="shared" si="78"/>
        <v>1</v>
      </c>
      <c r="CI207" s="439">
        <f>MAX(CI3:CI206)*AUTOQUESTIONNAIRE!$H$3</f>
        <v>1</v>
      </c>
      <c r="CJ207" s="439">
        <f>MAX(CJ3:CJ206)*AUTOQUESTIONNAIRE!I3</f>
        <v>0</v>
      </c>
      <c r="CK207" s="439">
        <f t="shared" si="78"/>
        <v>0</v>
      </c>
      <c r="CL207" s="439">
        <f t="shared" si="78"/>
        <v>0</v>
      </c>
      <c r="CM207" s="810"/>
      <c r="CN207" s="404"/>
      <c r="CO207" s="404"/>
      <c r="CP207" s="404"/>
      <c r="CQ207" s="404"/>
      <c r="CR207" s="404"/>
      <c r="CS207" s="404"/>
      <c r="CT207" s="404"/>
      <c r="CU207" s="404"/>
      <c r="CV207" s="404"/>
      <c r="CW207" s="404"/>
      <c r="CX207" s="404"/>
      <c r="CY207" s="404"/>
      <c r="CZ207" s="404"/>
      <c r="DA207" s="404"/>
      <c r="DB207" s="404"/>
      <c r="DC207" s="404"/>
      <c r="DD207" s="404"/>
      <c r="DE207" s="404"/>
      <c r="DF207" s="404"/>
      <c r="DG207" s="404"/>
      <c r="DH207" s="404"/>
      <c r="DI207" s="404"/>
      <c r="DJ207" s="404"/>
      <c r="DK207" s="404"/>
      <c r="DL207" s="404"/>
    </row>
    <row r="208" spans="2:116">
      <c r="B208" s="633" t="s">
        <v>1301</v>
      </c>
      <c r="F208" s="436" t="str">
        <f t="shared" ref="F208:AC208" si="79">IF(F207&gt;0,F204," ")</f>
        <v xml:space="preserve">Numération formule sanguine, Plaquettes, </v>
      </c>
      <c r="G208" s="436" t="str">
        <f t="shared" si="79"/>
        <v xml:space="preserve">Glycémie, Hb1Ac, Insuline et indice HOMA-IR, </v>
      </c>
      <c r="H208" s="436" t="str">
        <f t="shared" si="79"/>
        <v xml:space="preserve">Cholestérol Total et fractions HDL et LDL, Triglycérides, </v>
      </c>
      <c r="I208" s="436" t="str">
        <f t="shared" si="79"/>
        <v>Electrophorèse des protéines</v>
      </c>
      <c r="J208" s="436" t="str">
        <f t="shared" si="79"/>
        <v>ASAT, ALAT, GGT</v>
      </c>
      <c r="K208" s="436" t="str">
        <f t="shared" si="79"/>
        <v xml:space="preserve">Testostérone Totale, FSH; Cortisol; Sulfate DHEA, </v>
      </c>
      <c r="L208" s="436" t="str">
        <f t="shared" si="79"/>
        <v xml:space="preserve"> </v>
      </c>
      <c r="M208" s="436" t="str">
        <f t="shared" si="79"/>
        <v xml:space="preserve">Vitamine D2-D3, Vitamine B6; Magnésium sang, </v>
      </c>
      <c r="N208" s="436" t="str">
        <f t="shared" si="79"/>
        <v xml:space="preserve">PSA, </v>
      </c>
      <c r="O208" s="436" t="str">
        <f t="shared" si="79"/>
        <v xml:space="preserve"> </v>
      </c>
      <c r="P208" s="436" t="str">
        <f t="shared" si="79"/>
        <v xml:space="preserve">CPK, </v>
      </c>
      <c r="Q208" s="436" t="str">
        <f t="shared" si="79"/>
        <v xml:space="preserve">TSH, </v>
      </c>
      <c r="R208" s="436" t="str">
        <f t="shared" si="79"/>
        <v xml:space="preserve"> </v>
      </c>
      <c r="S208" s="436" t="str">
        <f t="shared" si="79"/>
        <v xml:space="preserve">Créatininémie, DFG, </v>
      </c>
      <c r="T208" s="436" t="str">
        <f t="shared" si="79"/>
        <v xml:space="preserve">TP/TCK, </v>
      </c>
      <c r="U208" s="436" t="str">
        <f t="shared" si="79"/>
        <v xml:space="preserve"> </v>
      </c>
      <c r="V208" s="436" t="str">
        <f t="shared" si="79"/>
        <v xml:space="preserve">Bilan urinaire des 24 heures (diurése, pH, Densité, Urée, Créatininémie, Sodium, Calcium, Acide Urique), </v>
      </c>
      <c r="W208" s="436" t="str">
        <f t="shared" si="79"/>
        <v xml:space="preserve">Cytologie urinaire avec recherche d'atypie celllaire, </v>
      </c>
      <c r="X208" s="436" t="str">
        <f t="shared" si="79"/>
        <v xml:space="preserve"> </v>
      </c>
      <c r="Y208" s="933" t="str">
        <f t="shared" si="79"/>
        <v xml:space="preserve">test immunochimique fécal (TIF), </v>
      </c>
      <c r="Z208" s="436" t="str">
        <f t="shared" si="79"/>
        <v xml:space="preserve">IgE spécifique, </v>
      </c>
      <c r="AA208" s="436" t="str">
        <f t="shared" si="79"/>
        <v xml:space="preserve">Cotinurie, Methylation AHRR, </v>
      </c>
      <c r="AB208" s="436" t="str">
        <f t="shared" si="79"/>
        <v>-</v>
      </c>
      <c r="AC208" s="436" t="str">
        <f t="shared" si="79"/>
        <v xml:space="preserve">Lipoproteine a, </v>
      </c>
      <c r="AE208" s="436" t="str">
        <f>IF(AE207&gt;0.9,AE204," ")</f>
        <v xml:space="preserve">Questionnaire Nutritionnel, </v>
      </c>
      <c r="AF208" s="436" t="str">
        <f>IF(AF207&gt;0,AF204," ")</f>
        <v xml:space="preserve">Questionnaire AUDIT, </v>
      </c>
      <c r="AG208" s="436" t="str">
        <f>IF(AG207&gt;0,AG204," ")</f>
        <v xml:space="preserve"> </v>
      </c>
      <c r="AH208" s="436" t="str">
        <f>IF(AH207&gt;0,AH204," ")</f>
        <v xml:space="preserve"> </v>
      </c>
      <c r="AI208" s="436" t="str">
        <f>IF(AI207&gt;0.8,AI204," ")</f>
        <v xml:space="preserve"> </v>
      </c>
      <c r="AJ208" s="436" t="str">
        <f t="shared" ref="AJ208:BD208" si="80">IF(AJ207&gt;0,AJ204," ")</f>
        <v xml:space="preserve"> </v>
      </c>
      <c r="AK208" s="436" t="str">
        <f t="shared" si="80"/>
        <v xml:space="preserve">Cs Bucco-dentaire, </v>
      </c>
      <c r="AL208" s="436" t="str">
        <f t="shared" si="80"/>
        <v xml:space="preserve"> </v>
      </c>
      <c r="AM208" s="436" t="str">
        <f t="shared" si="80"/>
        <v xml:space="preserve">Cs Cardiologie, </v>
      </c>
      <c r="AN208" s="436" t="str">
        <f t="shared" si="80"/>
        <v>Cs Pneumo-allergologie,</v>
      </c>
      <c r="AO208" s="436" t="str">
        <f t="shared" si="80"/>
        <v xml:space="preserve"> </v>
      </c>
      <c r="AP208" s="436" t="str">
        <f t="shared" si="80"/>
        <v xml:space="preserve"> </v>
      </c>
      <c r="AQ208" s="436" t="str">
        <f t="shared" si="80"/>
        <v xml:space="preserve">Cs Endocrinologie, </v>
      </c>
      <c r="AR208" s="436" t="str">
        <f t="shared" si="80"/>
        <v xml:space="preserve"> </v>
      </c>
      <c r="AS208" s="436" t="str">
        <f t="shared" si="80"/>
        <v xml:space="preserve"> </v>
      </c>
      <c r="AT208" s="436" t="str">
        <f t="shared" si="80"/>
        <v xml:space="preserve"> </v>
      </c>
      <c r="AU208" s="436" t="str">
        <f t="shared" si="80"/>
        <v xml:space="preserve"> </v>
      </c>
      <c r="AV208" s="436" t="str">
        <f t="shared" si="80"/>
        <v xml:space="preserve"> </v>
      </c>
      <c r="AW208" s="436" t="str">
        <f t="shared" si="80"/>
        <v xml:space="preserve"> </v>
      </c>
      <c r="AX208" s="436" t="str">
        <f t="shared" si="80"/>
        <v xml:space="preserve"> </v>
      </c>
      <c r="AY208" s="436" t="str">
        <f t="shared" si="80"/>
        <v xml:space="preserve"> </v>
      </c>
      <c r="AZ208" s="436" t="str">
        <f t="shared" si="80"/>
        <v xml:space="preserve"> </v>
      </c>
      <c r="BA208" s="436" t="str">
        <f t="shared" si="80"/>
        <v>Supplémentation Ubiquinol,</v>
      </c>
      <c r="BB208" s="436" t="str">
        <f t="shared" si="80"/>
        <v xml:space="preserve"> </v>
      </c>
      <c r="BC208" s="436" t="str">
        <f t="shared" si="80"/>
        <v xml:space="preserve">Vaccination Tetanos (diphtérie, coqueluche, polio), ou Test IgG, </v>
      </c>
      <c r="BD208" s="436" t="str">
        <f t="shared" si="80"/>
        <v xml:space="preserve"> Vaccination grippe, </v>
      </c>
      <c r="BG208" s="436" t="str">
        <f t="shared" ref="BG208:BM208" si="81">IF(BG207&gt;0,BG204," ")</f>
        <v xml:space="preserve"> </v>
      </c>
      <c r="BH208" s="436" t="str">
        <f t="shared" si="81"/>
        <v xml:space="preserve"> </v>
      </c>
      <c r="BI208" s="436" t="str">
        <f t="shared" si="81"/>
        <v xml:space="preserve"> </v>
      </c>
      <c r="BJ208" s="436" t="str">
        <f t="shared" si="81"/>
        <v xml:space="preserve"> </v>
      </c>
      <c r="BK208" s="436" t="str">
        <f t="shared" si="81"/>
        <v xml:space="preserve"> </v>
      </c>
      <c r="BL208" s="436" t="str">
        <f t="shared" si="81"/>
        <v xml:space="preserve"> </v>
      </c>
      <c r="BM208" s="436" t="str">
        <f t="shared" si="81"/>
        <v xml:space="preserve"> </v>
      </c>
      <c r="BN208" s="436" t="str">
        <f t="shared" ref="BN208:BS208" si="82">IF(BN207&gt;0.9,BN204," ")</f>
        <v xml:space="preserve"> </v>
      </c>
      <c r="BO208" s="436" t="str">
        <f t="shared" si="82"/>
        <v xml:space="preserve">Dépistage  cancer du colon, </v>
      </c>
      <c r="BP208" s="436" t="str">
        <f t="shared" si="82"/>
        <v xml:space="preserve">Dépistage cancer de la prostate, </v>
      </c>
      <c r="BQ208" s="436" t="str">
        <f t="shared" si="82"/>
        <v xml:space="preserve"> </v>
      </c>
      <c r="BR208" s="436" t="str">
        <f t="shared" si="82"/>
        <v xml:space="preserve"> </v>
      </c>
      <c r="BS208" s="436" t="str">
        <f t="shared" si="82"/>
        <v xml:space="preserve"> </v>
      </c>
      <c r="BU208" s="436" t="str">
        <f t="shared" ref="BU208:CL208" si="83">IF(BU207&gt;0.9,BU204," ")</f>
        <v xml:space="preserve"> </v>
      </c>
      <c r="BV208" s="436" t="str">
        <f t="shared" si="83"/>
        <v xml:space="preserve"> </v>
      </c>
      <c r="BW208" s="436" t="str">
        <f t="shared" si="83"/>
        <v xml:space="preserve"> </v>
      </c>
      <c r="BX208" s="436" t="str">
        <f t="shared" si="83"/>
        <v>Vitesse de marche</v>
      </c>
      <c r="BY208" s="436" t="str">
        <f t="shared" si="83"/>
        <v>Dynamométrie</v>
      </c>
      <c r="BZ208" s="436" t="str">
        <f t="shared" si="83"/>
        <v>Surface muscle Psoas en L3:</v>
      </c>
      <c r="CA208" s="436" t="str">
        <f t="shared" si="83"/>
        <v>Appui Unipodal &gt; 10sec</v>
      </c>
      <c r="CB208" s="436" t="str">
        <f t="shared" si="83"/>
        <v>DXA (masse musculaire)</v>
      </c>
      <c r="CC208" s="436" t="str">
        <f t="shared" si="83"/>
        <v xml:space="preserve"> </v>
      </c>
      <c r="CD208" s="436" t="str">
        <f t="shared" si="83"/>
        <v>Echographie rénale et vésicale</v>
      </c>
      <c r="CE208" s="436" t="str">
        <f t="shared" si="83"/>
        <v>Echographie hépatique (splénique)</v>
      </c>
      <c r="CF208" s="436" t="str">
        <f t="shared" si="83"/>
        <v xml:space="preserve"> </v>
      </c>
      <c r="CG208" s="436" t="str">
        <f t="shared" si="83"/>
        <v xml:space="preserve"> </v>
      </c>
      <c r="CH208" s="436" t="str">
        <f t="shared" si="83"/>
        <v>Echo-doppler vasculaire artériel</v>
      </c>
      <c r="CI208" s="436" t="str">
        <f t="shared" si="83"/>
        <v>IRM prostatique</v>
      </c>
      <c r="CJ208" s="436" t="str">
        <f t="shared" si="83"/>
        <v xml:space="preserve"> </v>
      </c>
      <c r="CK208" s="436" t="str">
        <f t="shared" si="83"/>
        <v xml:space="preserve"> </v>
      </c>
      <c r="CL208" s="436" t="str">
        <f t="shared" si="83"/>
        <v xml:space="preserve"> </v>
      </c>
    </row>
  </sheetData>
  <conditionalFormatting sqref="C1:C90 C211:C1048576 C92:C209">
    <cfRule type="colorScale" priority="109">
      <colorScale>
        <cfvo type="min"/>
        <cfvo type="percentile" val="50"/>
        <cfvo type="max"/>
        <color rgb="FF63BE7B"/>
        <color rgb="FFFFEB84"/>
        <color rgb="FFF8696B"/>
      </colorScale>
    </cfRule>
  </conditionalFormatting>
  <conditionalFormatting sqref="F178">
    <cfRule type="colorScale" priority="25">
      <colorScale>
        <cfvo type="min"/>
        <cfvo type="percentile" val="50"/>
        <cfvo type="max"/>
        <color rgb="FF63BE7B"/>
        <color rgb="FFFFEB84"/>
        <color rgb="FFF8696B"/>
      </colorScale>
    </cfRule>
  </conditionalFormatting>
  <conditionalFormatting sqref="F113:BN113 BP113:BS113 F114:BS127 F128:Y128 AA128:BS128 F129:BS174 F3:BS112">
    <cfRule type="colorScale" priority="26">
      <colorScale>
        <cfvo type="min"/>
        <cfvo type="percentile" val="50"/>
        <cfvo type="max"/>
        <color rgb="FF63BE7B"/>
        <color rgb="FFFFEB84"/>
        <color rgb="FFF8696B"/>
      </colorScale>
    </cfRule>
  </conditionalFormatting>
  <conditionalFormatting sqref="I178">
    <cfRule type="colorScale" priority="24">
      <colorScale>
        <cfvo type="min"/>
        <cfvo type="percentile" val="50"/>
        <cfvo type="max"/>
        <color rgb="FF63BE7B"/>
        <color rgb="FFFFEB84"/>
        <color rgb="FFF8696B"/>
      </colorScale>
    </cfRule>
  </conditionalFormatting>
  <conditionalFormatting sqref="P95">
    <cfRule type="colorScale" priority="98">
      <colorScale>
        <cfvo type="min"/>
        <cfvo type="percentile" val="50"/>
        <cfvo type="max"/>
        <color rgb="FF63BE7B"/>
        <color rgb="FFFFEB84"/>
        <color rgb="FFF8696B"/>
      </colorScale>
    </cfRule>
  </conditionalFormatting>
  <conditionalFormatting sqref="Z204:AA204 M204:X204 M209:AA209 AA4:AE4 M1:AA21 M22:AE22 E105:Z107 M96:AA104 M95:O95 Q95:AA95 AA7:AE7 L170:M171 F68:L104 F51:AA67 F211:AA1048576 F108:L209 M68:AA94 AA90:AE90 F1:L50 M23:AA50 M108:AA127 M128:Y128 AA128 M129:AA203 M205:AA206 M207:AG208">
    <cfRule type="colorScale" priority="1287">
      <colorScale>
        <cfvo type="min"/>
        <cfvo type="percentile" val="50"/>
        <cfvo type="max"/>
        <color rgb="FF63BE7B"/>
        <color rgb="FFFFEB84"/>
        <color rgb="FFF8696B"/>
      </colorScale>
    </cfRule>
  </conditionalFormatting>
  <conditionalFormatting sqref="AB164">
    <cfRule type="colorScale" priority="29">
      <colorScale>
        <cfvo type="min"/>
        <cfvo type="percentile" val="50"/>
        <cfvo type="max"/>
        <color rgb="FF63BE7B"/>
        <color rgb="FFFFEB84"/>
        <color rgb="FFF8696B"/>
      </colorScale>
    </cfRule>
  </conditionalFormatting>
  <conditionalFormatting sqref="AB21:AE21">
    <cfRule type="colorScale" priority="107">
      <colorScale>
        <cfvo type="min"/>
        <cfvo type="percentile" val="50"/>
        <cfvo type="max"/>
        <color rgb="FF63BE7B"/>
        <color rgb="FFFFEB84"/>
        <color rgb="FFF8696B"/>
      </colorScale>
    </cfRule>
  </conditionalFormatting>
  <conditionalFormatting sqref="AB68:AE82 AB83:AD83">
    <cfRule type="colorScale" priority="106">
      <colorScale>
        <cfvo type="min"/>
        <cfvo type="percentile" val="50"/>
        <cfvo type="max"/>
        <color rgb="FF63BE7B"/>
        <color rgb="FFFFEB84"/>
        <color rgb="FFF8696B"/>
      </colorScale>
    </cfRule>
  </conditionalFormatting>
  <conditionalFormatting sqref="AC95">
    <cfRule type="colorScale" priority="2">
      <colorScale>
        <cfvo type="min"/>
        <cfvo type="percentile" val="50"/>
        <cfvo type="max"/>
        <color rgb="FF63BE7B"/>
        <color rgb="FFFFEB84"/>
        <color rgb="FFF8696B"/>
      </colorScale>
    </cfRule>
  </conditionalFormatting>
  <conditionalFormatting sqref="AC122:AC123">
    <cfRule type="colorScale" priority="105">
      <colorScale>
        <cfvo type="min"/>
        <cfvo type="percentile" val="50"/>
        <cfvo type="max"/>
        <color rgb="FF63BE7B"/>
        <color rgb="FFFFEB84"/>
        <color rgb="FFF8696B"/>
      </colorScale>
    </cfRule>
  </conditionalFormatting>
  <conditionalFormatting sqref="AD150">
    <cfRule type="colorScale" priority="33">
      <colorScale>
        <cfvo type="min"/>
        <cfvo type="percentile" val="50"/>
        <cfvo type="max"/>
        <color rgb="FF63BE7B"/>
        <color rgb="FFFFEB84"/>
        <color rgb="FFF8696B"/>
      </colorScale>
    </cfRule>
  </conditionalFormatting>
  <conditionalFormatting sqref="AD156">
    <cfRule type="colorScale" priority="30">
      <colorScale>
        <cfvo type="min"/>
        <cfvo type="percentile" val="50"/>
        <cfvo type="max"/>
        <color rgb="FF63BE7B"/>
        <color rgb="FFFFEB84"/>
        <color rgb="FFF8696B"/>
      </colorScale>
    </cfRule>
  </conditionalFormatting>
  <conditionalFormatting sqref="AE83">
    <cfRule type="colorScale" priority="39">
      <colorScale>
        <cfvo type="min"/>
        <cfvo type="percentile" val="50"/>
        <cfvo type="max"/>
        <color rgb="FF63BE7B"/>
        <color rgb="FFFFEB84"/>
        <color rgb="FFF8696B"/>
      </colorScale>
    </cfRule>
  </conditionalFormatting>
  <conditionalFormatting sqref="AE85">
    <cfRule type="colorScale" priority="40">
      <colorScale>
        <cfvo type="min"/>
        <cfvo type="percentile" val="50"/>
        <cfvo type="max"/>
        <color rgb="FF63BE7B"/>
        <color rgb="FFFFEB84"/>
        <color rgb="FFF8696B"/>
      </colorScale>
    </cfRule>
  </conditionalFormatting>
  <conditionalFormatting sqref="AE89:AE90">
    <cfRule type="colorScale" priority="41">
      <colorScale>
        <cfvo type="min"/>
        <cfvo type="percentile" val="50"/>
        <cfvo type="max"/>
        <color rgb="FF63BE7B"/>
        <color rgb="FFFFEB84"/>
        <color rgb="FFF8696B"/>
      </colorScale>
    </cfRule>
  </conditionalFormatting>
  <conditionalFormatting sqref="AE149">
    <cfRule type="colorScale" priority="42">
      <colorScale>
        <cfvo type="min"/>
        <cfvo type="percentile" val="50"/>
        <cfvo type="max"/>
        <color rgb="FF63BE7B"/>
        <color rgb="FFFFEB84"/>
        <color rgb="FFF8696B"/>
      </colorScale>
    </cfRule>
  </conditionalFormatting>
  <conditionalFormatting sqref="AF71">
    <cfRule type="colorScale" priority="104">
      <colorScale>
        <cfvo type="min"/>
        <cfvo type="percentile" val="50"/>
        <cfvo type="max"/>
        <color rgb="FF63BE7B"/>
        <color rgb="FFFFEB84"/>
        <color rgb="FFF8696B"/>
      </colorScale>
    </cfRule>
  </conditionalFormatting>
  <conditionalFormatting sqref="AG74">
    <cfRule type="colorScale" priority="103">
      <colorScale>
        <cfvo type="min"/>
        <cfvo type="percentile" val="50"/>
        <cfvo type="max"/>
        <color rgb="FF63BE7B"/>
        <color rgb="FFFFEB84"/>
        <color rgb="FFF8696B"/>
      </colorScale>
    </cfRule>
  </conditionalFormatting>
  <conditionalFormatting sqref="AH146">
    <cfRule type="colorScale" priority="74">
      <colorScale>
        <cfvo type="min"/>
        <cfvo type="percentile" val="50"/>
        <cfvo type="max"/>
        <color rgb="FF63BE7B"/>
        <color rgb="FFFFEB84"/>
        <color rgb="FFF8696B"/>
      </colorScale>
    </cfRule>
  </conditionalFormatting>
  <conditionalFormatting sqref="AH162">
    <cfRule type="colorScale" priority="63">
      <colorScale>
        <cfvo type="min"/>
        <cfvo type="percentile" val="50"/>
        <cfvo type="max"/>
        <color rgb="FF63BE7B"/>
        <color rgb="FFFFEB84"/>
        <color rgb="FFF8696B"/>
      </colorScale>
    </cfRule>
  </conditionalFormatting>
  <conditionalFormatting sqref="AH171">
    <cfRule type="colorScale" priority="64">
      <colorScale>
        <cfvo type="min"/>
        <cfvo type="percentile" val="50"/>
        <cfvo type="max"/>
        <color rgb="FF63BE7B"/>
        <color rgb="FFFFEB84"/>
        <color rgb="FFF8696B"/>
      </colorScale>
    </cfRule>
  </conditionalFormatting>
  <conditionalFormatting sqref="AH174">
    <cfRule type="colorScale" priority="34">
      <colorScale>
        <cfvo type="min"/>
        <cfvo type="percentile" val="50"/>
        <cfvo type="max"/>
        <color rgb="FF63BE7B"/>
        <color rgb="FFFFEB84"/>
        <color rgb="FFF8696B"/>
      </colorScale>
    </cfRule>
  </conditionalFormatting>
  <conditionalFormatting sqref="AH208">
    <cfRule type="colorScale" priority="1">
      <colorScale>
        <cfvo type="min"/>
        <cfvo type="percentile" val="50"/>
        <cfvo type="max"/>
        <color rgb="FF63BE7B"/>
        <color rgb="FFFFEB84"/>
        <color rgb="FFF8696B"/>
      </colorScale>
    </cfRule>
  </conditionalFormatting>
  <conditionalFormatting sqref="AH207:AK207">
    <cfRule type="colorScale" priority="1264">
      <colorScale>
        <cfvo type="min"/>
        <cfvo type="percentile" val="50"/>
        <cfvo type="max"/>
        <color rgb="FF63BE7B"/>
        <color rgb="FFFFEB84"/>
        <color rgb="FFF8696B"/>
      </colorScale>
    </cfRule>
  </conditionalFormatting>
  <conditionalFormatting sqref="AI7">
    <cfRule type="colorScale" priority="1259">
      <colorScale>
        <cfvo type="min"/>
        <cfvo type="percentile" val="50"/>
        <cfvo type="max"/>
        <color rgb="FF63BE7B"/>
        <color rgb="FFFFEB84"/>
        <color rgb="FFF8696B"/>
      </colorScale>
    </cfRule>
  </conditionalFormatting>
  <conditionalFormatting sqref="AI142">
    <cfRule type="colorScale" priority="28">
      <colorScale>
        <cfvo type="min"/>
        <cfvo type="percentile" val="50"/>
        <cfvo type="max"/>
        <color rgb="FF63BE7B"/>
        <color rgb="FFFFEB84"/>
        <color rgb="FFF8696B"/>
      </colorScale>
    </cfRule>
  </conditionalFormatting>
  <conditionalFormatting sqref="AI208:BS208">
    <cfRule type="colorScale" priority="1260">
      <colorScale>
        <cfvo type="min"/>
        <cfvo type="percentile" val="50"/>
        <cfvo type="max"/>
        <color rgb="FF63BE7B"/>
        <color rgb="FFFFEB84"/>
        <color rgb="FFF8696B"/>
      </colorScale>
    </cfRule>
  </conditionalFormatting>
  <conditionalFormatting sqref="AJ68">
    <cfRule type="colorScale" priority="81">
      <colorScale>
        <cfvo type="min"/>
        <cfvo type="percentile" val="50"/>
        <cfvo type="max"/>
        <color rgb="FF63BE7B"/>
        <color rgb="FFFFEB84"/>
        <color rgb="FFF8696B"/>
      </colorScale>
    </cfRule>
  </conditionalFormatting>
  <conditionalFormatting sqref="AJ74:AJ75">
    <cfRule type="colorScale" priority="80">
      <colorScale>
        <cfvo type="min"/>
        <cfvo type="percentile" val="50"/>
        <cfvo type="max"/>
        <color rgb="FF63BE7B"/>
        <color rgb="FFFFEB84"/>
        <color rgb="FFF8696B"/>
      </colorScale>
    </cfRule>
  </conditionalFormatting>
  <conditionalFormatting sqref="AK58">
    <cfRule type="colorScale" priority="82">
      <colorScale>
        <cfvo type="min"/>
        <cfvo type="percentile" val="50"/>
        <cfvo type="max"/>
        <color rgb="FF63BE7B"/>
        <color rgb="FFFFEB84"/>
        <color rgb="FFF8696B"/>
      </colorScale>
    </cfRule>
  </conditionalFormatting>
  <conditionalFormatting sqref="AL207">
    <cfRule type="colorScale" priority="96">
      <colorScale>
        <cfvo type="min"/>
        <cfvo type="percentile" val="50"/>
        <cfvo type="max"/>
        <color rgb="FF63BE7B"/>
        <color rgb="FFFFEB84"/>
        <color rgb="FFF8696B"/>
      </colorScale>
    </cfRule>
  </conditionalFormatting>
  <conditionalFormatting sqref="AM150:AS156 AM158:AS202 AM157:AQ157 AS157">
    <cfRule type="colorScale" priority="1286">
      <colorScale>
        <cfvo type="min"/>
        <cfvo type="percentile" val="50"/>
        <cfvo type="max"/>
        <color rgb="FF63BE7B"/>
        <color rgb="FFFFEB84"/>
        <color rgb="FFF8696B"/>
      </colorScale>
    </cfRule>
  </conditionalFormatting>
  <conditionalFormatting sqref="AM207:BS207">
    <cfRule type="colorScale" priority="1257">
      <colorScale>
        <cfvo type="min"/>
        <cfvo type="percentile" val="50"/>
        <cfvo type="max"/>
        <color rgb="FF63BE7B"/>
        <color rgb="FFFFEB84"/>
        <color rgb="FFF8696B"/>
      </colorScale>
    </cfRule>
  </conditionalFormatting>
  <conditionalFormatting sqref="AN43">
    <cfRule type="colorScale" priority="36">
      <colorScale>
        <cfvo type="min"/>
        <cfvo type="percentile" val="50"/>
        <cfvo type="max"/>
        <color rgb="FF63BE7B"/>
        <color rgb="FFFFEB84"/>
        <color rgb="FFF8696B"/>
      </colorScale>
    </cfRule>
  </conditionalFormatting>
  <conditionalFormatting sqref="AN45">
    <cfRule type="colorScale" priority="38">
      <colorScale>
        <cfvo type="min"/>
        <cfvo type="percentile" val="50"/>
        <cfvo type="max"/>
        <color rgb="FF63BE7B"/>
        <color rgb="FFFFEB84"/>
        <color rgb="FFF8696B"/>
      </colorScale>
    </cfRule>
  </conditionalFormatting>
  <conditionalFormatting sqref="AP65:AP66">
    <cfRule type="colorScale" priority="79">
      <colorScale>
        <cfvo type="min"/>
        <cfvo type="percentile" val="50"/>
        <cfvo type="max"/>
        <color rgb="FF63BE7B"/>
        <color rgb="FFFFEB84"/>
        <color rgb="FFF8696B"/>
      </colorScale>
    </cfRule>
  </conditionalFormatting>
  <conditionalFormatting sqref="AQ7">
    <cfRule type="colorScale" priority="77">
      <colorScale>
        <cfvo type="min"/>
        <cfvo type="percentile" val="50"/>
        <cfvo type="max"/>
        <color rgb="FF63BE7B"/>
        <color rgb="FFFFEB84"/>
        <color rgb="FFF8696B"/>
      </colorScale>
    </cfRule>
  </conditionalFormatting>
  <conditionalFormatting sqref="AR145">
    <cfRule type="colorScale" priority="75">
      <colorScale>
        <cfvo type="min"/>
        <cfvo type="percentile" val="50"/>
        <cfvo type="max"/>
        <color rgb="FF63BE7B"/>
        <color rgb="FFFFEB84"/>
        <color rgb="FFF8696B"/>
      </colorScale>
    </cfRule>
  </conditionalFormatting>
  <conditionalFormatting sqref="AR157">
    <cfRule type="colorScale" priority="62">
      <colorScale>
        <cfvo type="min"/>
        <cfvo type="percentile" val="50"/>
        <cfvo type="max"/>
        <color rgb="FF63BE7B"/>
        <color rgb="FFFFEB84"/>
        <color rgb="FFF8696B"/>
      </colorScale>
    </cfRule>
  </conditionalFormatting>
  <conditionalFormatting sqref="AT44">
    <cfRule type="colorScale" priority="37">
      <colorScale>
        <cfvo type="min"/>
        <cfvo type="percentile" val="50"/>
        <cfvo type="max"/>
        <color rgb="FF63BE7B"/>
        <color rgb="FFFFEB84"/>
        <color rgb="FFF8696B"/>
      </colorScale>
    </cfRule>
  </conditionalFormatting>
  <conditionalFormatting sqref="AT111">
    <cfRule type="colorScale" priority="48">
      <colorScale>
        <cfvo type="min"/>
        <cfvo type="percentile" val="50"/>
        <cfvo type="max"/>
        <color rgb="FF63BE7B"/>
        <color rgb="FFFFEB84"/>
        <color rgb="FFF8696B"/>
      </colorScale>
    </cfRule>
  </conditionalFormatting>
  <conditionalFormatting sqref="AT118:AT119">
    <cfRule type="colorScale" priority="46">
      <colorScale>
        <cfvo type="min"/>
        <cfvo type="percentile" val="50"/>
        <cfvo type="max"/>
        <color rgb="FF63BE7B"/>
        <color rgb="FFFFEB84"/>
        <color rgb="FFF8696B"/>
      </colorScale>
    </cfRule>
  </conditionalFormatting>
  <conditionalFormatting sqref="AU46:AW46">
    <cfRule type="colorScale" priority="35">
      <colorScale>
        <cfvo type="min"/>
        <cfvo type="percentile" val="50"/>
        <cfvo type="max"/>
        <color rgb="FF63BE7B"/>
        <color rgb="FFFFEB84"/>
        <color rgb="FFF8696B"/>
      </colorScale>
    </cfRule>
  </conditionalFormatting>
  <conditionalFormatting sqref="AU144:AW144">
    <cfRule type="colorScale" priority="76">
      <colorScale>
        <cfvo type="min"/>
        <cfvo type="percentile" val="50"/>
        <cfvo type="max"/>
        <color rgb="FF63BE7B"/>
        <color rgb="FFFFEB84"/>
        <color rgb="FFF8696B"/>
      </colorScale>
    </cfRule>
  </conditionalFormatting>
  <conditionalFormatting sqref="AU157:AW170">
    <cfRule type="colorScale" priority="65">
      <colorScale>
        <cfvo type="min"/>
        <cfvo type="percentile" val="50"/>
        <cfvo type="max"/>
        <color rgb="FF63BE7B"/>
        <color rgb="FFFFEB84"/>
        <color rgb="FFF8696B"/>
      </colorScale>
    </cfRule>
  </conditionalFormatting>
  <conditionalFormatting sqref="AV152">
    <cfRule type="colorScale" priority="32">
      <colorScale>
        <cfvo type="min"/>
        <cfvo type="percentile" val="50"/>
        <cfvo type="max"/>
        <color rgb="FF63BE7B"/>
        <color rgb="FFFFEB84"/>
        <color rgb="FFF8696B"/>
      </colorScale>
    </cfRule>
  </conditionalFormatting>
  <conditionalFormatting sqref="AW153">
    <cfRule type="colorScale" priority="31">
      <colorScale>
        <cfvo type="min"/>
        <cfvo type="percentile" val="50"/>
        <cfvo type="max"/>
        <color rgb="FF63BE7B"/>
        <color rgb="FFFFEB84"/>
        <color rgb="FFF8696B"/>
      </colorScale>
    </cfRule>
  </conditionalFormatting>
  <conditionalFormatting sqref="AX83">
    <cfRule type="colorScale" priority="102">
      <colorScale>
        <cfvo type="min"/>
        <cfvo type="percentile" val="50"/>
        <cfvo type="max"/>
        <color rgb="FF63BE7B"/>
        <color rgb="FFFFEB84"/>
        <color rgb="FFF8696B"/>
      </colorScale>
    </cfRule>
  </conditionalFormatting>
  <conditionalFormatting sqref="AX91">
    <cfRule type="colorScale" priority="27">
      <colorScale>
        <cfvo type="min"/>
        <cfvo type="percentile" val="50"/>
        <cfvo type="max"/>
        <color rgb="FF63BE7B"/>
        <color rgb="FFFFEB84"/>
        <color rgb="FFF8696B"/>
      </colorScale>
    </cfRule>
  </conditionalFormatting>
  <conditionalFormatting sqref="AY83">
    <cfRule type="colorScale" priority="101">
      <colorScale>
        <cfvo type="min"/>
        <cfvo type="percentile" val="50"/>
        <cfvo type="max"/>
        <color rgb="FF63BE7B"/>
        <color rgb="FFFFEB84"/>
        <color rgb="FFF8696B"/>
      </colorScale>
    </cfRule>
  </conditionalFormatting>
  <conditionalFormatting sqref="AZ83">
    <cfRule type="colorScale" priority="100">
      <colorScale>
        <cfvo type="min"/>
        <cfvo type="percentile" val="50"/>
        <cfvo type="max"/>
        <color rgb="FF63BE7B"/>
        <color rgb="FFFFEB84"/>
        <color rgb="FFF8696B"/>
      </colorScale>
    </cfRule>
  </conditionalFormatting>
  <conditionalFormatting sqref="BA95">
    <cfRule type="colorScale" priority="99">
      <colorScale>
        <cfvo type="min"/>
        <cfvo type="percentile" val="50"/>
        <cfvo type="max"/>
        <color rgb="FF63BE7B"/>
        <color rgb="FFFFEB84"/>
        <color rgb="FFF8696B"/>
      </colorScale>
    </cfRule>
  </conditionalFormatting>
  <conditionalFormatting sqref="BB4">
    <cfRule type="colorScale" priority="43">
      <colorScale>
        <cfvo type="min"/>
        <cfvo type="percentile" val="50"/>
        <cfvo type="max"/>
        <color rgb="FF63BE7B"/>
        <color rgb="FFFFEB84"/>
        <color rgb="FFF8696B"/>
      </colorScale>
    </cfRule>
  </conditionalFormatting>
  <conditionalFormatting sqref="BB63">
    <cfRule type="colorScale" priority="60">
      <colorScale>
        <cfvo type="min"/>
        <cfvo type="percentile" val="50"/>
        <cfvo type="max"/>
        <color rgb="FF63BE7B"/>
        <color rgb="FFFFEB84"/>
        <color rgb="FFF8696B"/>
      </colorScale>
    </cfRule>
  </conditionalFormatting>
  <conditionalFormatting sqref="BC64">
    <cfRule type="colorScale" priority="61">
      <colorScale>
        <cfvo type="min"/>
        <cfvo type="percentile" val="50"/>
        <cfvo type="max"/>
        <color rgb="FF63BE7B"/>
        <color rgb="FFFFEB84"/>
        <color rgb="FFF8696B"/>
      </colorScale>
    </cfRule>
  </conditionalFormatting>
  <conditionalFormatting sqref="BD62:BF62">
    <cfRule type="colorScale" priority="59">
      <colorScale>
        <cfvo type="min"/>
        <cfvo type="percentile" val="50"/>
        <cfvo type="max"/>
        <color rgb="FF63BE7B"/>
        <color rgb="FFFFEB84"/>
        <color rgb="FFF8696B"/>
      </colorScale>
    </cfRule>
  </conditionalFormatting>
  <conditionalFormatting sqref="BF67">
    <cfRule type="colorScale" priority="15">
      <colorScale>
        <cfvo type="min"/>
        <cfvo type="percentile" val="50"/>
        <cfvo type="max"/>
        <color rgb="FF63BE7B"/>
        <color rgb="FFFFEB84"/>
        <color rgb="FFF8696B"/>
      </colorScale>
    </cfRule>
  </conditionalFormatting>
  <conditionalFormatting sqref="BG55:BM55">
    <cfRule type="colorScale" priority="58">
      <colorScale>
        <cfvo type="min"/>
        <cfvo type="percentile" val="50"/>
        <cfvo type="max"/>
        <color rgb="FF63BE7B"/>
        <color rgb="FFFFEB84"/>
        <color rgb="FFF8696B"/>
      </colorScale>
    </cfRule>
  </conditionalFormatting>
  <conditionalFormatting sqref="BH66">
    <cfRule type="colorScale" priority="14">
      <colorScale>
        <cfvo type="min"/>
        <cfvo type="percentile" val="50"/>
        <cfvo type="max"/>
        <color rgb="FF63BE7B"/>
        <color rgb="FFFFEB84"/>
        <color rgb="FFF8696B"/>
      </colorScale>
    </cfRule>
  </conditionalFormatting>
  <conditionalFormatting sqref="BI189">
    <cfRule type="colorScale" priority="23">
      <colorScale>
        <cfvo type="min"/>
        <cfvo type="percentile" val="50"/>
        <cfvo type="max"/>
        <color rgb="FF63BE7B"/>
        <color rgb="FFFFEB84"/>
        <color rgb="FFF8696B"/>
      </colorScale>
    </cfRule>
    <cfRule type="colorScale" priority="22">
      <colorScale>
        <cfvo type="min"/>
        <cfvo type="percentile" val="50"/>
        <cfvo type="max"/>
        <color rgb="FF63BE7B"/>
        <color rgb="FFFFEB84"/>
        <color rgb="FFF8696B"/>
      </colorScale>
    </cfRule>
  </conditionalFormatting>
  <conditionalFormatting sqref="BJ190">
    <cfRule type="colorScale" priority="20">
      <colorScale>
        <cfvo type="min"/>
        <cfvo type="percentile" val="50"/>
        <cfvo type="max"/>
        <color rgb="FF63BE7B"/>
        <color rgb="FFFFEB84"/>
        <color rgb="FFF8696B"/>
      </colorScale>
    </cfRule>
    <cfRule type="colorScale" priority="21">
      <colorScale>
        <cfvo type="min"/>
        <cfvo type="percentile" val="50"/>
        <cfvo type="max"/>
        <color rgb="FF63BE7B"/>
        <color rgb="FFFFEB84"/>
        <color rgb="FFF8696B"/>
      </colorScale>
    </cfRule>
  </conditionalFormatting>
  <conditionalFormatting sqref="BK191:BL191">
    <cfRule type="colorScale" priority="19">
      <colorScale>
        <cfvo type="min"/>
        <cfvo type="percentile" val="50"/>
        <cfvo type="max"/>
        <color rgb="FF63BE7B"/>
        <color rgb="FFFFEB84"/>
        <color rgb="FFF8696B"/>
      </colorScale>
    </cfRule>
    <cfRule type="colorScale" priority="18">
      <colorScale>
        <cfvo type="min"/>
        <cfvo type="percentile" val="50"/>
        <cfvo type="max"/>
        <color rgb="FF63BE7B"/>
        <color rgb="FFFFEB84"/>
        <color rgb="FFF8696B"/>
      </colorScale>
    </cfRule>
  </conditionalFormatting>
  <conditionalFormatting sqref="BL192">
    <cfRule type="colorScale" priority="4">
      <colorScale>
        <cfvo type="min"/>
        <cfvo type="percentile" val="50"/>
        <cfvo type="max"/>
        <color rgb="FF63BE7B"/>
        <color rgb="FFFFEB84"/>
        <color rgb="FFF8696B"/>
      </colorScale>
    </cfRule>
  </conditionalFormatting>
  <conditionalFormatting sqref="BL193">
    <cfRule type="colorScale" priority="3">
      <colorScale>
        <cfvo type="min"/>
        <cfvo type="percentile" val="50"/>
        <cfvo type="max"/>
        <color rgb="FF63BE7B"/>
        <color rgb="FFFFEB84"/>
        <color rgb="FFF8696B"/>
      </colorScale>
    </cfRule>
  </conditionalFormatting>
  <conditionalFormatting sqref="BM192">
    <cfRule type="colorScale" priority="17">
      <colorScale>
        <cfvo type="min"/>
        <cfvo type="percentile" val="50"/>
        <cfvo type="max"/>
        <color rgb="FF63BE7B"/>
        <color rgb="FFFFEB84"/>
        <color rgb="FFF8696B"/>
      </colorScale>
    </cfRule>
    <cfRule type="colorScale" priority="16">
      <colorScale>
        <cfvo type="min"/>
        <cfvo type="percentile" val="50"/>
        <cfvo type="max"/>
        <color rgb="FF63BE7B"/>
        <color rgb="FFFFEB84"/>
        <color rgb="FFF8696B"/>
      </colorScale>
    </cfRule>
  </conditionalFormatting>
  <conditionalFormatting sqref="BN54">
    <cfRule type="colorScale" priority="57">
      <colorScale>
        <cfvo type="min"/>
        <cfvo type="percentile" val="50"/>
        <cfvo type="max"/>
        <color rgb="FF63BE7B"/>
        <color rgb="FFFFEB84"/>
        <color rgb="FFF8696B"/>
      </colorScale>
    </cfRule>
  </conditionalFormatting>
  <conditionalFormatting sqref="BN112">
    <cfRule type="colorScale" priority="54">
      <colorScale>
        <cfvo type="min"/>
        <cfvo type="percentile" val="50"/>
        <cfvo type="max"/>
        <color rgb="FF63BE7B"/>
        <color rgb="FFFFEB84"/>
        <color rgb="FFF8696B"/>
      </colorScale>
    </cfRule>
  </conditionalFormatting>
  <conditionalFormatting sqref="BN117">
    <cfRule type="colorScale" priority="52">
      <colorScale>
        <cfvo type="min"/>
        <cfvo type="percentile" val="50"/>
        <cfvo type="max"/>
        <color rgb="FF63BE7B"/>
        <color rgb="FFFFEB84"/>
        <color rgb="FFF8696B"/>
      </colorScale>
    </cfRule>
  </conditionalFormatting>
  <conditionalFormatting sqref="BO57">
    <cfRule type="colorScale" priority="56">
      <colorScale>
        <cfvo type="min"/>
        <cfvo type="percentile" val="50"/>
        <cfvo type="max"/>
        <color rgb="FF63BE7B"/>
        <color rgb="FFFFEB84"/>
        <color rgb="FFF8696B"/>
      </colorScale>
    </cfRule>
  </conditionalFormatting>
  <conditionalFormatting sqref="BO110">
    <cfRule type="colorScale" priority="53">
      <colorScale>
        <cfvo type="min"/>
        <cfvo type="percentile" val="50"/>
        <cfvo type="max"/>
        <color rgb="FF63BE7B"/>
        <color rgb="FFFFEB84"/>
        <color rgb="FFF8696B"/>
      </colorScale>
    </cfRule>
  </conditionalFormatting>
  <conditionalFormatting sqref="BO120">
    <cfRule type="colorScale" priority="51">
      <colorScale>
        <cfvo type="min"/>
        <cfvo type="percentile" val="50"/>
        <cfvo type="max"/>
        <color rgb="FF63BE7B"/>
        <color rgb="FFFFEB84"/>
        <color rgb="FFF8696B"/>
      </colorScale>
    </cfRule>
  </conditionalFormatting>
  <conditionalFormatting sqref="BP108">
    <cfRule type="colorScale" priority="55">
      <colorScale>
        <cfvo type="min"/>
        <cfvo type="percentile" val="50"/>
        <cfvo type="max"/>
        <color rgb="FF63BE7B"/>
        <color rgb="FFFFEB84"/>
        <color rgb="FFF8696B"/>
      </colorScale>
    </cfRule>
  </conditionalFormatting>
  <conditionalFormatting sqref="BP109">
    <cfRule type="colorScale" priority="50">
      <colorScale>
        <cfvo type="min"/>
        <cfvo type="percentile" val="50"/>
        <cfvo type="max"/>
        <color rgb="FF63BE7B"/>
        <color rgb="FFFFEB84"/>
        <color rgb="FFF8696B"/>
      </colorScale>
    </cfRule>
  </conditionalFormatting>
  <conditionalFormatting sqref="BP116">
    <cfRule type="colorScale" priority="49">
      <colorScale>
        <cfvo type="min"/>
        <cfvo type="percentile" val="50"/>
        <cfvo type="max"/>
        <color rgb="FF63BE7B"/>
        <color rgb="FFFFEB84"/>
        <color rgb="FFF8696B"/>
      </colorScale>
    </cfRule>
  </conditionalFormatting>
  <conditionalFormatting sqref="BQ68">
    <cfRule type="colorScale" priority="45">
      <colorScale>
        <cfvo type="min"/>
        <cfvo type="percentile" val="50"/>
        <cfvo type="max"/>
        <color rgb="FF63BE7B"/>
        <color rgb="FFFFEB84"/>
        <color rgb="FFF8696B"/>
      </colorScale>
    </cfRule>
  </conditionalFormatting>
  <conditionalFormatting sqref="BR35">
    <cfRule type="colorScale" priority="44">
      <colorScale>
        <cfvo type="min"/>
        <cfvo type="percentile" val="50"/>
        <cfvo type="max"/>
        <color rgb="FF63BE7B"/>
        <color rgb="FFFFEB84"/>
        <color rgb="FFF8696B"/>
      </colorScale>
    </cfRule>
  </conditionalFormatting>
  <conditionalFormatting sqref="BT1">
    <cfRule type="iconSet" priority="8">
      <iconSet reverse="1">
        <cfvo type="percent" val="0"/>
        <cfvo type="percent" val="33"/>
        <cfvo type="percent" val="67"/>
      </iconSet>
    </cfRule>
  </conditionalFormatting>
  <conditionalFormatting sqref="BT1:BT42 BT211:BT1048576 BT44:BT209">
    <cfRule type="duplicateValues" dxfId="73" priority="9"/>
  </conditionalFormatting>
  <conditionalFormatting sqref="BT3:BT6 BT9:BT11 BT13:BT17">
    <cfRule type="colorScale" priority="10">
      <colorScale>
        <cfvo type="min"/>
        <cfvo type="percentile" val="50"/>
        <cfvo type="max"/>
        <color rgb="FF5A8AC6"/>
        <color rgb="FFFCFCFF"/>
        <color rgb="FFF8696B"/>
      </colorScale>
    </cfRule>
  </conditionalFormatting>
  <conditionalFormatting sqref="BT12">
    <cfRule type="colorScale" priority="11">
      <colorScale>
        <cfvo type="min"/>
        <cfvo type="percentile" val="50"/>
        <cfvo type="max"/>
        <color rgb="FF5A8AC6"/>
        <color rgb="FFFCFCFF"/>
        <color rgb="FFF8696B"/>
      </colorScale>
    </cfRule>
  </conditionalFormatting>
  <conditionalFormatting sqref="BT19:BT20">
    <cfRule type="colorScale" priority="12">
      <colorScale>
        <cfvo type="min"/>
        <cfvo type="percentile" val="50"/>
        <cfvo type="max"/>
        <color rgb="FF5A8AC6"/>
        <color rgb="FFFCFCFF"/>
        <color rgb="FFF8696B"/>
      </colorScale>
    </cfRule>
  </conditionalFormatting>
  <conditionalFormatting sqref="BT22:BT23">
    <cfRule type="iconSet" priority="13">
      <iconSet reverse="1">
        <cfvo type="percent" val="0"/>
        <cfvo type="percent" val="33"/>
        <cfvo type="percent" val="67"/>
      </iconSet>
    </cfRule>
  </conditionalFormatting>
  <conditionalFormatting sqref="BU207:CL207">
    <cfRule type="colorScale" priority="5">
      <colorScale>
        <cfvo type="min"/>
        <cfvo type="percentile" val="50"/>
        <cfvo type="max"/>
        <color rgb="FF63BE7B"/>
        <color rgb="FFFFEB84"/>
        <color rgb="FFF8696B"/>
      </colorScale>
    </cfRule>
  </conditionalFormatting>
  <conditionalFormatting sqref="BU208:CL208">
    <cfRule type="colorScale" priority="6">
      <colorScale>
        <cfvo type="min"/>
        <cfvo type="percentile" val="50"/>
        <cfvo type="max"/>
        <color rgb="FF63BE7B"/>
        <color rgb="FFFFEB84"/>
        <color rgb="FFF8696B"/>
      </colorScale>
    </cfRule>
  </conditionalFormatting>
  <pageMargins left="0.7" right="0.7" top="0.75" bottom="0.75" header="0.3" footer="0.3"/>
  <pageSetup scale="1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B7E9E-DF8E-4687-A710-CB3B62799C02}">
  <sheetPr>
    <tabColor rgb="FF9966FF"/>
  </sheetPr>
  <dimension ref="A1:J223"/>
  <sheetViews>
    <sheetView workbookViewId="0">
      <pane ySplit="1" topLeftCell="A69" activePane="bottomLeft" state="frozen"/>
      <selection pane="bottomLeft" activeCell="B77" sqref="B77"/>
    </sheetView>
  </sheetViews>
  <sheetFormatPr baseColWidth="10" defaultColWidth="9.109375" defaultRowHeight="14.4"/>
  <cols>
    <col min="1" max="1" width="49.33203125" customWidth="1"/>
    <col min="2" max="2" width="28.5546875" style="15" customWidth="1"/>
    <col min="3" max="3" width="8.88671875" customWidth="1"/>
    <col min="4" max="5" width="13" customWidth="1"/>
    <col min="6" max="6" width="13.88671875" customWidth="1"/>
    <col min="7" max="7" width="88.44140625" customWidth="1"/>
    <col min="8" max="8" width="25.6640625" customWidth="1"/>
    <col min="9" max="9" width="28.5546875" customWidth="1"/>
    <col min="10" max="10" width="38.77734375" customWidth="1"/>
    <col min="11" max="12" width="13" customWidth="1"/>
    <col min="13" max="13" width="14.77734375" customWidth="1"/>
    <col min="14" max="17" width="13" customWidth="1"/>
  </cols>
  <sheetData>
    <row r="1" spans="1:10">
      <c r="A1" s="840" t="s">
        <v>2781</v>
      </c>
      <c r="B1" s="20" t="s">
        <v>2646</v>
      </c>
      <c r="C1" s="840" t="s">
        <v>2880</v>
      </c>
      <c r="F1" s="840" t="s">
        <v>2726</v>
      </c>
      <c r="G1" s="840" t="s">
        <v>2730</v>
      </c>
      <c r="H1" s="840" t="s">
        <v>2782</v>
      </c>
      <c r="I1" s="840" t="s">
        <v>2846</v>
      </c>
      <c r="J1" s="840" t="s">
        <v>2847</v>
      </c>
    </row>
    <row r="2" spans="1:10">
      <c r="A2" s="965" t="s">
        <v>2849</v>
      </c>
    </row>
    <row r="3" spans="1:10">
      <c r="A3" s="359" t="s">
        <v>2204</v>
      </c>
      <c r="B3" s="981" t="str">
        <f>AUTOQUESTIONNAIRE!F351</f>
        <v>Léa</v>
      </c>
      <c r="C3" s="359"/>
      <c r="D3" s="359"/>
      <c r="E3" s="359"/>
      <c r="F3" s="359"/>
      <c r="G3" s="359"/>
    </row>
    <row r="4" spans="1:10">
      <c r="A4" s="359" t="s">
        <v>2205</v>
      </c>
      <c r="B4" s="981" t="str">
        <f>AUTOQUESTIONNAIRE!F352</f>
        <v>Soucaux</v>
      </c>
      <c r="C4" s="359"/>
      <c r="D4" s="359"/>
      <c r="E4" s="359"/>
      <c r="F4" s="359"/>
      <c r="G4" s="359"/>
    </row>
    <row r="5" spans="1:10">
      <c r="A5" s="359" t="s">
        <v>2720</v>
      </c>
      <c r="B5" s="982">
        <f ca="1">AUTOQUESTIONNAIRE!F2</f>
        <v>46223</v>
      </c>
      <c r="C5" s="359"/>
      <c r="D5" s="359"/>
      <c r="E5" s="359"/>
      <c r="F5" s="359"/>
      <c r="G5" s="359"/>
    </row>
    <row r="6" spans="1:10">
      <c r="A6" s="359" t="s">
        <v>203</v>
      </c>
      <c r="B6" s="983">
        <f>AUTOQUESTIONNAIRE!F4</f>
        <v>65</v>
      </c>
      <c r="C6" s="359"/>
      <c r="D6" s="359"/>
      <c r="E6" s="359"/>
      <c r="F6" s="359"/>
      <c r="G6" s="359"/>
    </row>
    <row r="7" spans="1:10">
      <c r="A7" s="359" t="s">
        <v>2721</v>
      </c>
      <c r="B7" s="981">
        <f>AUTOQUESTIONNAIRE!F6</f>
        <v>180</v>
      </c>
      <c r="C7" s="359"/>
      <c r="D7" s="359"/>
      <c r="E7" s="359"/>
      <c r="F7" s="359"/>
      <c r="G7" s="359"/>
    </row>
    <row r="8" spans="1:10">
      <c r="A8" s="359" t="s">
        <v>2722</v>
      </c>
      <c r="B8" s="981">
        <f>AUTOQUESTIONNAIRE!F7</f>
        <v>120</v>
      </c>
      <c r="C8" s="359"/>
      <c r="D8" s="359"/>
      <c r="E8" s="359"/>
      <c r="F8" s="359"/>
      <c r="G8" s="359"/>
    </row>
    <row r="9" spans="1:10" ht="57.6">
      <c r="A9" s="359" t="s">
        <v>0</v>
      </c>
      <c r="B9" s="983">
        <f>AUTOQUESTIONNAIRE!H6*100</f>
        <v>37.037037037037038</v>
      </c>
      <c r="C9" s="359"/>
      <c r="D9" s="359"/>
      <c r="E9" s="359"/>
      <c r="F9" s="359"/>
      <c r="G9" s="939" t="s">
        <v>2871</v>
      </c>
    </row>
    <row r="10" spans="1:10" ht="72">
      <c r="A10" s="359" t="s">
        <v>2723</v>
      </c>
      <c r="B10" s="981" t="str">
        <f>AUTOQUESTIONNAIRE!H249&amp;IF(AUTOQUESTIONNAIRE!F251=1," - Vapotage","")</f>
        <v>20</v>
      </c>
      <c r="C10" s="359"/>
      <c r="D10" s="359"/>
      <c r="E10" s="359"/>
      <c r="F10" s="359"/>
      <c r="G10" s="939" t="s">
        <v>2872</v>
      </c>
    </row>
    <row r="11" spans="1:10" ht="49.2" customHeight="1">
      <c r="A11" s="359" t="s">
        <v>2881</v>
      </c>
      <c r="B11" s="984" t="str" cm="1">
        <f t="array" ref="B11">IF(_xlfn.TEXTJOIN("; ",TRUE,IF((ISNUMBER(RRImmédiat!$G$2:$G$200))*(RRImmédiat!$G$2:$G$200&gt;2),RRImmédiat!$B$2:$B$200,""))="","N/A",_xlfn.TEXTJOIN("; ",TRUE,IF((ISNUMBER(RRImmédiat!$G$2:$G$200))*(RRImmédiat!$G$2:$G$200&gt;2),RRImmédiat!$B$2:$B$200,"")))</f>
        <v>Hypertension artérielle; Lithiase (calculs) biliaire; Dyslipidémie; Syndrome métabolique; Cancer de la prostate</v>
      </c>
      <c r="C11" s="359"/>
      <c r="D11" s="359"/>
      <c r="E11" s="359"/>
      <c r="F11" s="359"/>
      <c r="G11" s="359"/>
    </row>
    <row r="12" spans="1:10" ht="75.599999999999994" customHeight="1">
      <c r="A12" s="359" t="s">
        <v>2858</v>
      </c>
      <c r="B12" s="1008" t="str">
        <f>_xlfn.TEXTJOIN("; ",TRUE,IF(AUTOQUESTIONNAIRE!F8=1,"Aidant",""),IF(AUTOQUESTIONNAIRE!F185=1,"Allergies",""),IF(AUTOQUESTIONNAIRE!F83=1,"Régime végan",""),IF(AUTOQUESTIONNAIRE!F14=1,"Travail physique",""),IF(AUTOQUESTIONNAIRE!F69=1,"Travail à risque",""),IF(AUTOQUESTIONNAIRE!F9=0,"Isolement social",""),IF(AUTOQUESTIONNAIRE!F155=1,"Difficultés de mémorisation",""),IF(AUTOQUESTIONNAIRE!F337=1,"Difficultés d'autonomie",""),IF(AUTOQUESTIONNAIRE!F170=1,"Détresse émotionnelle",""),IF(AUTOQUESTIONNAIRE!F18=1,"Situation de handicap",""))</f>
        <v>Aidant; Travail physique; Difficultés d'autonomie; Détresse émotionnelle</v>
      </c>
      <c r="C12" s="359"/>
      <c r="D12" s="359"/>
      <c r="E12" s="359"/>
      <c r="F12" s="359"/>
      <c r="G12" s="359"/>
    </row>
    <row r="13" spans="1:10">
      <c r="A13" s="359"/>
      <c r="B13" s="985"/>
      <c r="C13" s="359"/>
      <c r="D13" s="359"/>
      <c r="E13" s="359"/>
      <c r="F13" s="359"/>
      <c r="G13" s="359"/>
    </row>
    <row r="14" spans="1:10">
      <c r="B14" s="986"/>
    </row>
    <row r="15" spans="1:10">
      <c r="B15" s="986"/>
    </row>
    <row r="16" spans="1:10">
      <c r="B16" s="986"/>
    </row>
    <row r="17" spans="1:8">
      <c r="B17" s="986"/>
    </row>
    <row r="18" spans="1:8">
      <c r="B18" s="986"/>
    </row>
    <row r="20" spans="1:8">
      <c r="A20" s="946" t="s">
        <v>2848</v>
      </c>
    </row>
    <row r="21" spans="1:8" ht="273.60000000000002">
      <c r="A21" s="309" t="s">
        <v>2760</v>
      </c>
      <c r="B21" s="987" t="str">
        <f>AFaire!G208&amp;AFaire!H208&amp;AFaire!I208&amp;AFaire!J208&amp;AFaire!K208&amp;AFaire!L208&amp;AFaire!M208&amp;AFaire!N208&amp;AFaire!O208&amp;AFaire!P208&amp;AFaire!Q208&amp;AFaire!R208&amp;AFaire!S208&amp;AFaire!T208&amp;AFaire!U208&amp;AFaire!V208&amp;AFaire!W208&amp;AFaire!X208&amp;AFaire!Y208&amp;AFaire!Z208&amp;AFaire!AA208&amp;AFaire!AB208&amp;AFaire!AC208&amp;AFaire!BS208</f>
        <v xml:space="preserve">Glycémie, Hb1Ac, Insuline et indice HOMA-IR, Cholestérol Total et fractions HDL et LDL, Triglycérides, Electrophorèse des protéinesASAT, ALAT, GGTTestostérone Totale, FSH; Cortisol; Sulfate DHEA,  Vitamine D2-D3, Vitamine B6; Magnésium sang, PSA,  CPK, TSH,  Créatininémie, DFG, TP/TCK,  Bilan urinaire des 24 heures (diurése, pH, Densité, Urée, Créatininémie, Sodium, Calcium, Acide Urique), Cytologie urinaire avec recherche d'atypie celllaire,  test immunochimique fécal (TIF), IgE spécifique, Cotinurie, Methylation AHRR, -Lipoproteine a,  </v>
      </c>
      <c r="C21" s="359"/>
      <c r="D21" s="359"/>
      <c r="E21" s="359"/>
      <c r="F21" s="359"/>
      <c r="G21" s="359"/>
    </row>
    <row r="22" spans="1:8" ht="43.2">
      <c r="A22" s="309" t="s">
        <v>1358</v>
      </c>
      <c r="B22" s="987" t="str">
        <f>AFaire!AI208&amp;AFaire!AJ208&amp;AFaire!AK208&amp;AFaire!AL208&amp;AFaire!AM208&amp;AFaire!AN208&amp;AFaire!AO208&amp;AFaire!AP208&amp;AFaire!AQ208&amp;AFaire!AR208&amp;AFaire!AS208&amp;AFaire!AV208</f>
        <v xml:space="preserve">  Cs Bucco-dentaire,  Cs Cardiologie, Cs Pneumo-allergologie,  Cs Endocrinologie,    </v>
      </c>
      <c r="C22" s="359"/>
      <c r="D22" s="359"/>
      <c r="E22" s="359"/>
      <c r="F22" s="359"/>
      <c r="G22" s="359"/>
    </row>
    <row r="23" spans="1:8" ht="28.8">
      <c r="A23" s="309" t="s">
        <v>1346</v>
      </c>
      <c r="B23" s="987" t="str">
        <f>AFaire!BG208&amp;AFaire!BN208&amp;AFaire!BO208&amp;AFaire!BP208&amp;AFaire!BQ208&amp;AFaire!AT208</f>
        <v xml:space="preserve">  Dépistage  cancer du colon, Dépistage cancer de la prostate,   </v>
      </c>
      <c r="C23" s="359"/>
      <c r="D23" s="359"/>
      <c r="E23" s="359"/>
      <c r="F23" s="359"/>
      <c r="G23" s="359"/>
      <c r="H23" s="972"/>
    </row>
    <row r="24" spans="1:8" ht="43.2">
      <c r="A24" s="309" t="s">
        <v>1403</v>
      </c>
      <c r="B24" s="987" t="str">
        <f>AFaire!BB208&amp;AFaire!BC208&amp;AFaire!BD208</f>
        <v xml:space="preserve"> Vaccination Tetanos (diphtérie, coqueluche, polio), ou Test IgG,  Vaccination grippe, </v>
      </c>
      <c r="C24" s="359"/>
      <c r="D24" s="359"/>
      <c r="E24" s="359"/>
      <c r="F24" s="359"/>
      <c r="G24" s="359"/>
    </row>
    <row r="25" spans="1:8" ht="129.6">
      <c r="A25" s="309" t="s">
        <v>2200</v>
      </c>
      <c r="B25" s="987" t="str">
        <f>AFaire!BU208&amp;AFaire!BV208&amp;AFaire!BW208&amp;AFaire!BX208&amp;AFaire!BY208&amp;AFaire!BZ208&amp;AFaire!CA208&amp;AFaire!CB208&amp;AFaire!CC208&amp;AFaire!CD208&amp;AFaire!CE208&amp;AFaire!CF208&amp;AFaire!CG208&amp;AFaire!CH208&amp;AFaire!CI208&amp;AFaire!CJ208&amp;AFaire!CK208&amp;AFaire!CL208</f>
        <v xml:space="preserve">   Vitesse de marcheDynamométrieSurface muscle Psoas en L3:Appui Unipodal &gt; 10secDXA (masse musculaire) Echographie rénale et vésicaleEchographie hépatique (splénique)  Echo-doppler vasculaire artérielIRM prostatique   </v>
      </c>
      <c r="C25" s="359"/>
      <c r="D25" s="359"/>
      <c r="E25" s="359"/>
      <c r="F25" s="359"/>
      <c r="G25" s="359"/>
    </row>
    <row r="26" spans="1:8" ht="59.4" customHeight="1">
      <c r="A26" s="309" t="s">
        <v>1322</v>
      </c>
      <c r="B26" s="988" t="str">
        <f>AFaire!AF208&amp;AFaire!AG208&amp;AFaire!AH208&amp;AFaire!AE208</f>
        <v xml:space="preserve">Questionnaire AUDIT,   Questionnaire Nutritionnel, </v>
      </c>
      <c r="C26" s="359"/>
      <c r="D26" s="359"/>
      <c r="E26" s="359"/>
      <c r="F26" s="359"/>
      <c r="G26" s="359"/>
    </row>
    <row r="27" spans="1:8" ht="43.2">
      <c r="A27" s="309" t="s">
        <v>2850</v>
      </c>
      <c r="B27" s="1008">
        <f>IF(OR(AUTOQUESTIONNAIRE!F220=0,AUTOQUESTIONNAIRE!F221=0,AUTOQUESTIONNAIRE!F217=0),"Non-fait",((AUTOQUESTIONNAIRE!F220-70)+2*(AUTOQUESTIONNAIRE!F221-AUTOQUESTIONNAIRE!F217))/10)</f>
        <v>1.9</v>
      </c>
      <c r="C27" s="359"/>
      <c r="D27" s="359"/>
      <c r="E27" s="359"/>
      <c r="F27" s="359"/>
      <c r="G27" s="939" t="s">
        <v>2873</v>
      </c>
    </row>
    <row r="28" spans="1:8" ht="57.6">
      <c r="A28" s="801" t="s">
        <v>1937</v>
      </c>
      <c r="B28" s="989">
        <f>MAX(AUTOQUESTIONNAIRE!G215:H215)</f>
        <v>90</v>
      </c>
      <c r="C28" s="359"/>
      <c r="D28" s="359"/>
      <c r="E28" s="359"/>
      <c r="F28" s="359"/>
      <c r="G28" s="939" t="s">
        <v>2874</v>
      </c>
    </row>
    <row r="29" spans="1:8" ht="57.6">
      <c r="A29" s="801" t="s">
        <v>1944</v>
      </c>
      <c r="B29" s="989">
        <f>MAX(AUTOQUESTIONNAIRE!G216:H216)</f>
        <v>44.1</v>
      </c>
      <c r="C29" s="359"/>
      <c r="D29" s="359"/>
      <c r="E29" s="359"/>
      <c r="F29" s="359"/>
      <c r="G29" s="939" t="s">
        <v>2875</v>
      </c>
    </row>
    <row r="30" spans="1:8" ht="57.6">
      <c r="A30" s="309" t="s">
        <v>2783</v>
      </c>
      <c r="B30" s="962">
        <f>AUTOQUESTIONNAIRE!G346</f>
        <v>10</v>
      </c>
      <c r="C30" s="359"/>
      <c r="D30" s="359"/>
      <c r="E30" s="359"/>
      <c r="F30" s="359"/>
      <c r="G30" s="939" t="s">
        <v>2876</v>
      </c>
    </row>
    <row r="31" spans="1:8" ht="57.6">
      <c r="A31" s="309" t="s">
        <v>2678</v>
      </c>
      <c r="B31" s="962">
        <f>AUTOQUESTIONNAIRE!G347</f>
        <v>-70</v>
      </c>
      <c r="C31" s="359"/>
      <c r="D31" s="359"/>
      <c r="E31" s="359"/>
      <c r="F31" s="359"/>
      <c r="G31" s="939" t="s">
        <v>2877</v>
      </c>
    </row>
    <row r="32" spans="1:8">
      <c r="A32" s="868" t="s">
        <v>2761</v>
      </c>
      <c r="B32" s="990" t="str">
        <f>AFaire!AX208&amp;AFaire!AY208&amp;AFaire!AZ208&amp;AFaire!BA208</f>
        <v xml:space="preserve">   Supplémentation Ubiquinol,</v>
      </c>
      <c r="C32" s="359"/>
      <c r="D32" s="359"/>
      <c r="E32" s="359"/>
      <c r="F32" s="359"/>
      <c r="G32" s="359"/>
    </row>
    <row r="33" spans="1:7">
      <c r="A33" s="840"/>
      <c r="B33" s="991"/>
    </row>
    <row r="34" spans="1:7">
      <c r="A34" s="840"/>
      <c r="B34" s="991"/>
    </row>
    <row r="35" spans="1:7">
      <c r="A35" s="840"/>
      <c r="B35" s="991"/>
    </row>
    <row r="36" spans="1:7">
      <c r="A36" s="840"/>
      <c r="B36" s="991"/>
    </row>
    <row r="41" spans="1:7">
      <c r="A41" s="868" t="s">
        <v>2852</v>
      </c>
      <c r="B41" s="149"/>
      <c r="C41" s="359"/>
      <c r="D41" s="359"/>
      <c r="E41" s="359"/>
      <c r="F41" s="359"/>
      <c r="G41" s="359"/>
    </row>
    <row r="42" spans="1:7">
      <c r="A42" s="359" t="s">
        <v>2762</v>
      </c>
      <c r="B42" s="149"/>
      <c r="C42" s="359"/>
      <c r="D42" s="359"/>
      <c r="E42" s="359"/>
      <c r="F42" s="359"/>
      <c r="G42" s="359" t="s">
        <v>2885</v>
      </c>
    </row>
    <row r="43" spans="1:7">
      <c r="A43" s="359" t="s">
        <v>1639</v>
      </c>
      <c r="B43" s="149"/>
      <c r="C43" s="359"/>
      <c r="D43" s="359"/>
      <c r="E43" s="359"/>
      <c r="F43" s="359"/>
      <c r="G43" s="359" t="s">
        <v>2829</v>
      </c>
    </row>
    <row r="44" spans="1:7">
      <c r="A44" s="359" t="s">
        <v>2763</v>
      </c>
      <c r="B44" s="149"/>
      <c r="C44" s="359"/>
      <c r="D44" s="359"/>
      <c r="E44" s="359"/>
      <c r="F44" s="359"/>
      <c r="G44" s="359" t="s">
        <v>2878</v>
      </c>
    </row>
    <row r="45" spans="1:7">
      <c r="A45" s="359" t="s">
        <v>2764</v>
      </c>
      <c r="B45" s="149"/>
      <c r="C45" s="359"/>
      <c r="D45" s="359"/>
      <c r="E45" s="359"/>
      <c r="F45" s="359"/>
      <c r="G45" s="359" t="s">
        <v>2886</v>
      </c>
    </row>
    <row r="53" spans="1:7">
      <c r="A53" s="868" t="s">
        <v>2851</v>
      </c>
      <c r="B53" s="149"/>
      <c r="C53" s="359"/>
      <c r="D53" s="359"/>
      <c r="E53" s="359"/>
      <c r="F53" s="359"/>
      <c r="G53" s="948" t="s">
        <v>2730</v>
      </c>
    </row>
    <row r="54" spans="1:7">
      <c r="A54" s="359" t="s">
        <v>2879</v>
      </c>
      <c r="B54" s="149" t="s">
        <v>2833</v>
      </c>
      <c r="C54" s="359"/>
      <c r="D54" s="359"/>
      <c r="E54" s="359"/>
      <c r="F54" s="359"/>
      <c r="G54" s="945" t="s">
        <v>2806</v>
      </c>
    </row>
    <row r="55" spans="1:7">
      <c r="A55" s="359" t="s">
        <v>2728</v>
      </c>
      <c r="B55" s="149" t="s">
        <v>2831</v>
      </c>
      <c r="C55" s="359"/>
      <c r="D55" s="359"/>
      <c r="E55" s="359"/>
      <c r="F55" s="359"/>
      <c r="G55" s="945" t="s">
        <v>2807</v>
      </c>
    </row>
    <row r="56" spans="1:7">
      <c r="A56" s="359" t="s">
        <v>2729</v>
      </c>
      <c r="B56" s="149" t="s">
        <v>2832</v>
      </c>
      <c r="C56" s="359"/>
      <c r="D56" s="359"/>
      <c r="E56" s="359"/>
      <c r="F56" s="359"/>
      <c r="G56" s="945" t="s">
        <v>2808</v>
      </c>
    </row>
    <row r="57" spans="1:7">
      <c r="A57" s="359" t="s">
        <v>2765</v>
      </c>
      <c r="B57" s="149" t="s">
        <v>465</v>
      </c>
      <c r="C57" s="359"/>
      <c r="D57" s="359"/>
      <c r="E57" s="359"/>
      <c r="F57" s="359"/>
      <c r="G57" s="945" t="s">
        <v>2809</v>
      </c>
    </row>
    <row r="59" spans="1:7">
      <c r="A59" s="868" t="s">
        <v>2726</v>
      </c>
      <c r="B59" s="149"/>
      <c r="C59" s="359"/>
      <c r="D59" s="359"/>
      <c r="E59" s="359"/>
      <c r="F59" s="359"/>
      <c r="G59" s="367" t="s">
        <v>2730</v>
      </c>
    </row>
    <row r="60" spans="1:7">
      <c r="A60" s="359" t="s">
        <v>2766</v>
      </c>
      <c r="B60" s="1009"/>
      <c r="C60" s="359"/>
      <c r="D60" s="359"/>
      <c r="E60" s="359"/>
      <c r="F60" s="359"/>
      <c r="G60" s="942" t="s">
        <v>2810</v>
      </c>
    </row>
    <row r="61" spans="1:7">
      <c r="A61" s="359" t="s">
        <v>2767</v>
      </c>
      <c r="B61" s="1009"/>
      <c r="C61" s="359"/>
      <c r="D61" s="359"/>
      <c r="E61" s="359"/>
      <c r="F61" s="359"/>
      <c r="G61" s="942" t="s">
        <v>2811</v>
      </c>
    </row>
    <row r="62" spans="1:7">
      <c r="A62" s="359" t="s">
        <v>2768</v>
      </c>
      <c r="B62" s="1009"/>
      <c r="C62" s="359"/>
      <c r="D62" s="359"/>
      <c r="E62" s="359"/>
      <c r="F62" s="359"/>
      <c r="G62" s="942" t="s">
        <v>2812</v>
      </c>
    </row>
    <row r="66" spans="1:10">
      <c r="A66" s="946" t="s">
        <v>2853</v>
      </c>
      <c r="G66" s="944" t="s">
        <v>2845</v>
      </c>
    </row>
    <row r="67" spans="1:10">
      <c r="A67" s="868" t="s">
        <v>2724</v>
      </c>
      <c r="B67" s="25" t="s">
        <v>2725</v>
      </c>
      <c r="F67" s="868" t="s">
        <v>2726</v>
      </c>
      <c r="G67" s="868" t="s">
        <v>2730</v>
      </c>
      <c r="H67" s="559" t="s">
        <v>2727</v>
      </c>
      <c r="I67" s="559" t="s">
        <v>2728</v>
      </c>
      <c r="J67" s="559" t="s">
        <v>2729</v>
      </c>
    </row>
    <row r="68" spans="1:10" ht="43.2">
      <c r="A68" s="359" t="s">
        <v>2731</v>
      </c>
      <c r="B68" s="940">
        <f>RRImmédiat!C74</f>
        <v>3</v>
      </c>
      <c r="C68" s="359">
        <v>1</v>
      </c>
      <c r="D68" s="359">
        <v>2</v>
      </c>
      <c r="E68" s="359">
        <v>3</v>
      </c>
      <c r="F68" s="959" t="str">
        <f>IF(ISNUMBER(B68),IF(B68&gt;=3,"Suivi en cours",IF(B68&gt;1.2,"Vigilance",IF(B68&gt;=1.1,"Sensibilisation","Dans la norme"))),"")</f>
        <v>Suivi en cours</v>
      </c>
      <c r="G68" s="939" t="s">
        <v>2795</v>
      </c>
      <c r="H68" s="961" t="str" cm="1">
        <f t="array" ref="H68">_xlfn.TEXTJOIN("; ",TRUE,IF((RRImmédiat!$A$2:$A$200="Cardiovasculaires et circulatoires")*(ISNUMBER(RRImmédiat!$G$2:$G$200))*(RRImmédiat!$G$2:$G$200&gt;2)*(ISERROR(SEARCH("cancer",RRImmédiat!$B$2:$B$200))),RRImmédiat!$B$2:$B$200,""))</f>
        <v>Hypertension artérielle</v>
      </c>
      <c r="I68" s="961" t="str" cm="1">
        <f t="array" ref="I68">_xlfn.TEXTJOIN("; ",TRUE,IF((RRImmédiat!$A$2:$A$200="Cardiovasculaires et circulatoires")*(ISNUMBER(RRImmédiat!$G$2:$G$200))*(RRImmédiat!$G$2:$G$200&gt;1.2)*(RRImmédiat!$G$2:$G$200&lt;2)*(ISERROR(SEARCH("cancer",RRImmédiat!$B$2:$B$200))),RRImmédiat!$B$2:$B$200,""))</f>
        <v/>
      </c>
      <c r="J68" s="961" t="str" cm="1">
        <f t="array" ref="J68">_xlfn.TEXTJOIN("; ",TRUE,IF((RRImmédiat!$A$2:$A$200="Cardiovasculaires et circulatoires")*(ISNUMBER(RRImmédiat!$G$2:$G$200))*(RRImmédiat!$G$2:$G$200&gt;=1)*(RRImmédiat!$G$2:$G$200&lt;=1.2)*(ISERROR(SEARCH("cancer",RRImmédiat!$B$2:$B$200))),RRImmédiat!$B$2:$B$200,""))</f>
        <v>Artériopathie des membres inférieurs</v>
      </c>
    </row>
    <row r="69" spans="1:10" ht="43.2">
      <c r="A69" s="359" t="s">
        <v>2732</v>
      </c>
      <c r="B69" s="940">
        <f>RRImmédiat!C79</f>
        <v>3</v>
      </c>
      <c r="C69" s="359">
        <v>1</v>
      </c>
      <c r="D69" s="359">
        <v>2</v>
      </c>
      <c r="E69" s="359">
        <v>3</v>
      </c>
      <c r="F69" s="959" t="str">
        <f t="shared" ref="F69:F78" si="0">IF(ISNUMBER(B69),IF(B69&gt;=3,"Suivi en cours",IF(B69&gt;1.2,"Vigilance",IF(B69&gt;=1.1,"Sensibilisation","Dans la norme"))),"")</f>
        <v>Suivi en cours</v>
      </c>
      <c r="G69" s="939" t="s">
        <v>2796</v>
      </c>
      <c r="H69" s="961" t="str" cm="1">
        <f t="array" ref="H69">_xlfn.TEXTJOIN("; ",TRUE,IF((RRImmédiat!$A$2:$A$200="Endocrino-Métabolisme")*(ISNUMBER(RRImmédiat!$G$2:$G$200))*(RRImmédiat!$G$2:$G$200&gt;2)*(ISERROR(SEARCH("cancer",RRImmédiat!$B$2:$B$200))),RRImmédiat!$B$2:$B$200,""))</f>
        <v>Dyslipidémie; Syndrome métabolique</v>
      </c>
      <c r="I69" s="961" t="str" cm="1">
        <f t="array" ref="I69">_xlfn.TEXTJOIN("; ",TRUE,IF((RRImmédiat!$A$2:$A$200="Endocrino-Métabolisme")*(ISNUMBER(RRImmédiat!$G$2:$G$200))*(RRImmédiat!$G$2:$G$200&gt;1.2)*(RRImmédiat!$G$2:$G$200&lt;2)*(ISERROR(SEARCH("cancer",RRImmédiat!$B$2:$B$200))),RRImmédiat!$B$2:$B$200,""))</f>
        <v/>
      </c>
      <c r="J69" s="961" t="str" cm="1">
        <f t="array" ref="J69">_xlfn.TEXTJOIN("; ",TRUE,IF((RRImmédiat!$A$2:$A$200="Endocrino-Métabolisme")*(ISNUMBER(RRImmédiat!$G$2:$G$200))*(RRImmédiat!$G$2:$G$200&gt;=1)*(RRImmédiat!$G$2:$G$200&lt;=1.2)*(ISERROR(SEARCH("cancer",RRImmédiat!$B$2:$B$200))),RRImmédiat!$B$2:$B$200,""))</f>
        <v>Diabète; Dysfonction thyroïdienne</v>
      </c>
    </row>
    <row r="70" spans="1:10" ht="43.2">
      <c r="A70" s="359" t="s">
        <v>2733</v>
      </c>
      <c r="B70" s="940">
        <f>RRImmédiat!C76</f>
        <v>1.2</v>
      </c>
      <c r="C70" s="359">
        <v>1</v>
      </c>
      <c r="D70" s="359">
        <v>2</v>
      </c>
      <c r="E70" s="359">
        <v>3</v>
      </c>
      <c r="F70" s="959" t="str">
        <f t="shared" si="0"/>
        <v>Sensibilisation</v>
      </c>
      <c r="G70" s="939" t="s">
        <v>2797</v>
      </c>
      <c r="H70" s="961" t="str" cm="1">
        <f t="array" ref="H70">_xlfn.TEXTJOIN("; ",TRUE,IF((RRImmédiat!$A$2:$A$200="Digestives")*(ISNUMBER(RRImmédiat!$G$2:$G$200))*(RRImmédiat!$G$2:$G$200&gt;2)*(ISERROR(SEARCH("cancer",RRImmédiat!$B$2:$B$200))),RRImmédiat!$B$2:$B$200,""))</f>
        <v/>
      </c>
      <c r="I70" s="961" t="str" cm="1">
        <f t="array" ref="I70">_xlfn.TEXTJOIN("; ",TRUE,IF((RRImmédiat!$A$2:$A$200="Digestives")*(ISNUMBER(RRImmédiat!$G$2:$G$200))*(RRImmédiat!$G$2:$G$200&gt;1.2)*(RRImmédiat!$G$2:$G$200&lt;2)*(ISERROR(SEARCH("cancer",RRImmédiat!$B$2:$B$200))),RRImmédiat!$B$2:$B$200,""))</f>
        <v/>
      </c>
      <c r="J70" s="961" t="str" cm="1">
        <f t="array" ref="J70">_xlfn.TEXTJOIN("; ",TRUE,IF((RRImmédiat!$A$2:$A$200="Digestives")*(ISNUMBER(RRImmédiat!$G$2:$G$200))*(RRImmédiat!$G$2:$G$200&gt;=1)*(RRImmédiat!$G$2:$G$200&lt;=1.2)*(ISERROR(SEARCH("cancer",RRImmédiat!$B$2:$B$200))),RRImmédiat!$B$2:$B$200,""))</f>
        <v/>
      </c>
    </row>
    <row r="71" spans="1:10" ht="43.2">
      <c r="A71" s="359" t="s">
        <v>2734</v>
      </c>
      <c r="B71" s="940">
        <f>RRImmédiat!C77</f>
        <v>3</v>
      </c>
      <c r="C71" s="359">
        <v>1</v>
      </c>
      <c r="D71" s="359">
        <v>2</v>
      </c>
      <c r="E71" s="359">
        <v>3</v>
      </c>
      <c r="F71" s="959" t="str">
        <f t="shared" si="0"/>
        <v>Suivi en cours</v>
      </c>
      <c r="G71" s="939" t="s">
        <v>2798</v>
      </c>
      <c r="H71" s="961" t="str" cm="1">
        <f t="array" ref="H71">_xlfn.TEXTJOIN("; ",TRUE,IF((RRImmédiat!$A$2:$A$200="Hépatiques")*(ISNUMBER(RRImmédiat!$G$2:$G$200))*(RRImmédiat!$G$2:$G$200&gt;2)*(ISERROR(SEARCH("cancer",RRImmédiat!$B$2:$B$200))),RRImmédiat!$B$2:$B$200,""))</f>
        <v/>
      </c>
      <c r="I71" s="961" t="str" cm="1">
        <f t="array" ref="I71">_xlfn.TEXTJOIN("; ",TRUE,IF((RRImmédiat!$A$2:$A$200="Hépatiques")*(ISNUMBER(RRImmédiat!$G$2:$G$200))*(RRImmédiat!$G$2:$G$200&gt;1.2)*(RRImmédiat!$G$2:$G$200&lt;2)*(ISERROR(SEARCH("cancer",RRImmédiat!$B$2:$B$200))),RRImmédiat!$B$2:$B$200,""))</f>
        <v/>
      </c>
      <c r="J71" s="961" t="str" cm="1">
        <f t="array" ref="J71">_xlfn.TEXTJOIN("; ",TRUE,IF((RRImmédiat!$A$2:$A$200="Hépatiques")*(ISNUMBER(RRImmédiat!$G$2:$G$200))*(RRImmédiat!$G$2:$G$200&gt;=1)*(RRImmédiat!$G$2:$G$200&lt;=1.2)*(ISERROR(SEARCH("cancer",RRImmédiat!$B$2:$B$200))),RRImmédiat!$B$2:$B$200,""))</f>
        <v/>
      </c>
    </row>
    <row r="72" spans="1:10" ht="28.8">
      <c r="A72" s="359" t="s">
        <v>2735</v>
      </c>
      <c r="B72" s="940">
        <f>RRImmédiat!C72</f>
        <v>1.2</v>
      </c>
      <c r="C72" s="359">
        <v>1</v>
      </c>
      <c r="D72" s="359">
        <v>2</v>
      </c>
      <c r="E72" s="359">
        <v>3</v>
      </c>
      <c r="F72" s="959" t="str">
        <f t="shared" si="0"/>
        <v>Sensibilisation</v>
      </c>
      <c r="G72" s="939" t="s">
        <v>2799</v>
      </c>
      <c r="H72" s="961" t="str" cm="1">
        <f t="array" ref="H72">_xlfn.TEXTJOIN("; ",TRUE,IF((RRImmédiat!$A$2:$A$200="Uro-génital")*(ISNUMBER(RRImmédiat!$G$2:$G$200))*(RRImmédiat!$G$2:$G$200&gt;2)*(ISERROR(SEARCH("cancer",RRImmédiat!$B$2:$B$200))),RRImmédiat!$B$2:$B$200,""))</f>
        <v/>
      </c>
      <c r="I72" s="961" t="str" cm="1">
        <f t="array" ref="I72">_xlfn.TEXTJOIN("; ",TRUE,IF((RRImmédiat!$A$2:$A$200="Uro-génital")*(ISNUMBER(RRImmédiat!$G$2:$G$200))*(RRImmédiat!$G$2:$G$200&gt;1.2)*(RRImmédiat!$G$2:$G$200&lt;2)*(ISERROR(SEARCH("cancer",RRImmédiat!$B$2:$B$200))),RRImmédiat!$B$2:$B$200,""))</f>
        <v xml:space="preserve">Insuffisance rénale chronique; Lithiase (calculs) urinaire </v>
      </c>
      <c r="J72" s="961" t="str" cm="1">
        <f t="array" ref="J72">_xlfn.TEXTJOIN("; ",TRUE,IF((RRImmédiat!$A$2:$A$200="Uro-génital")*(ISNUMBER(RRImmédiat!$G$2:$G$200))*(RRImmédiat!$G$2:$G$200&gt;=1)*(RRImmédiat!$G$2:$G$200&lt;=1.2)*(ISERROR(SEARCH("cancer",RRImmédiat!$B$2:$B$200))),RRImmédiat!$B$2:$B$200,""))</f>
        <v>Dysfonction érectile</v>
      </c>
    </row>
    <row r="73" spans="1:10" ht="43.2">
      <c r="A73" s="359" t="s">
        <v>2736</v>
      </c>
      <c r="B73" s="940">
        <f>RRImmédiat!C78</f>
        <v>1.44</v>
      </c>
      <c r="C73" s="359">
        <v>1</v>
      </c>
      <c r="D73" s="359">
        <v>2</v>
      </c>
      <c r="E73" s="359">
        <v>3</v>
      </c>
      <c r="F73" s="959" t="str">
        <f t="shared" si="0"/>
        <v>Vigilance</v>
      </c>
      <c r="G73" s="939" t="s">
        <v>2800</v>
      </c>
      <c r="H73" s="961" t="str" cm="1">
        <f t="array" ref="H73">_xlfn.TEXTJOIN("; ",TRUE,IF((RRImmédiat!$A$2:$A$200="Locomoteur &amp; peau")*(ISNUMBER(RRImmédiat!$G$2:$G$200))*(RRImmédiat!$G$2:$G$200&gt;2)*(ISERROR(SEARCH("cancer",RRImmédiat!$B$2:$B$200))),RRImmédiat!$B$2:$B$200,""))</f>
        <v/>
      </c>
      <c r="I73" s="961" t="str" cm="1">
        <f t="array" ref="I73">_xlfn.TEXTJOIN("; ",TRUE,IF((RRImmédiat!$A$2:$A$200="Locomoteur &amp; peau")*(ISNUMBER(RRImmédiat!$G$2:$G$200))*(RRImmédiat!$G$2:$G$200&gt;1.2)*(RRImmédiat!$G$2:$G$200&lt;2)*(ISERROR(SEARCH("cancer",RRImmédiat!$B$2:$B$200))),RRImmédiat!$B$2:$B$200,""))</f>
        <v>Ostéopénie</v>
      </c>
      <c r="J73" s="961" t="str" cm="1">
        <f t="array" ref="J73">_xlfn.TEXTJOIN("; ",TRUE,IF((RRImmédiat!$A$2:$A$200="Locomoteur &amp; peau")*(ISNUMBER(RRImmédiat!$G$2:$G$200))*(RRImmédiat!$G$2:$G$200&gt;=1)*(RRImmédiat!$G$2:$G$200&lt;=1.2)*(ISERROR(SEARCH("cancer",RRImmédiat!$B$2:$B$200))),RRImmédiat!$B$2:$B$200,""))</f>
        <v>Sarcopénie; Arthrose dégénérative</v>
      </c>
    </row>
    <row r="74" spans="1:10" ht="28.8">
      <c r="A74" s="359" t="s">
        <v>2737</v>
      </c>
      <c r="B74" s="940">
        <f>RRImmédiat!C73</f>
        <v>2</v>
      </c>
      <c r="C74" s="359">
        <v>1</v>
      </c>
      <c r="D74" s="359">
        <v>2</v>
      </c>
      <c r="E74" s="359">
        <v>3</v>
      </c>
      <c r="F74" s="959" t="str">
        <f t="shared" si="0"/>
        <v>Vigilance</v>
      </c>
      <c r="G74" s="939" t="s">
        <v>2801</v>
      </c>
      <c r="H74" s="961" t="str" cm="1">
        <f t="array" ref="H74">_xlfn.TEXTJOIN("; ",TRUE,IF((RRImmédiat!$A$2:$A$200="Nerveux")*(ISNUMBER(RRImmédiat!$G$2:$G$200))*(RRImmédiat!$G$2:$G$200&gt;2)*(ISERROR(SEARCH("cancer",RRImmédiat!$B$2:$B$200))),RRImmédiat!$B$2:$B$200,""))</f>
        <v/>
      </c>
      <c r="I74" s="961" t="str" cm="1">
        <f t="array" ref="I74">_xlfn.TEXTJOIN("; ",TRUE,IF((RRImmédiat!$A$2:$A$200="Nerveux")*(ISNUMBER(RRImmédiat!$G$2:$G$200))*(RRImmédiat!$G$2:$G$200&gt;1.2)*(RRImmédiat!$G$2:$G$200&lt;2),RRImmédiat!$B$2:$B$200,""))</f>
        <v>Accident vasculaire cérébral (AVC)</v>
      </c>
      <c r="J74" s="961" t="str" cm="1">
        <f t="array" ref="J74">_xlfn.TEXTJOIN("; ",TRUE,IF((RRImmédiat!$A$2:$A$200="Nerveux")*(ISNUMBER(RRImmédiat!$G$2:$G$200))*(RRImmédiat!$G$2:$G$200&gt;=1)*(RRImmédiat!$G$2:$G$200&lt;=1.2)*(ISERROR(SEARCH("cancer",RRImmédiat!$B$2:$B$200))),RRImmédiat!$B$2:$B$200,""))</f>
        <v>Apnée du sommeil</v>
      </c>
    </row>
    <row r="75" spans="1:10" ht="28.8">
      <c r="A75" s="359" t="s">
        <v>2738</v>
      </c>
      <c r="B75" s="940">
        <f>RRImmédiat!C75</f>
        <v>1.2</v>
      </c>
      <c r="C75" s="359">
        <v>1</v>
      </c>
      <c r="D75" s="359">
        <v>2</v>
      </c>
      <c r="E75" s="359">
        <v>3</v>
      </c>
      <c r="F75" s="959" t="str">
        <f t="shared" si="0"/>
        <v>Sensibilisation</v>
      </c>
      <c r="G75" s="939" t="s">
        <v>2802</v>
      </c>
      <c r="H75" s="961" t="str" cm="1">
        <f t="array" ref="H75">_xlfn.TEXTJOIN("; ",TRUE,IF((RRImmédiat!$A$2:$A$200="Respiratoire")*(ISNUMBER(RRImmédiat!$G$2:$G$200))*(RRImmédiat!$G$2:$G$200&gt;2)*(ISERROR(SEARCH("cancer",RRImmédiat!$B$2:$B$200))),RRImmédiat!$B$2:$B$200,""))</f>
        <v/>
      </c>
      <c r="I75" s="961" t="str" cm="1">
        <f t="array" ref="I75">_xlfn.TEXTJOIN("; ",TRUE,IF((RRImmédiat!$A$2:$A$200="Respiratoire")*(ISNUMBER(RRImmédiat!$G$2:$G$200))*(RRImmédiat!$G$2:$G$200&gt;1.2)*(RRImmédiat!$G$2:$G$200&lt;2)*(ISERROR(SEARCH("cancer",RRImmédiat!$B$2:$B$200))),RRImmédiat!$B$2:$B$200,""))</f>
        <v/>
      </c>
      <c r="J75" s="961" t="str" cm="1">
        <f t="array" ref="J75">_xlfn.TEXTJOIN("; ",TRUE,IF((RRImmédiat!$A$2:$A$200="Respiratoire")*(ISNUMBER(RRImmédiat!$G$2:$G$200))*(RRImmédiat!$G$2:$G$200&gt;=1)*(RRImmédiat!$G$2:$G$200&lt;=1.2)*(ISERROR(SEARCH("cancer",RRImmédiat!$B$2:$B$200))),RRImmédiat!$B$2:$B$200,""))</f>
        <v>BPCO (Bronchopneumopathie chronique obstructive)</v>
      </c>
    </row>
    <row r="76" spans="1:10" ht="43.2">
      <c r="A76" s="359" t="s">
        <v>2352</v>
      </c>
      <c r="B76" s="940">
        <f>IF(AUTOQUESTIONNAIRE!K153=0,1,AUTOQUESTIONNAIRE!K153)</f>
        <v>2</v>
      </c>
      <c r="C76" s="359">
        <v>1</v>
      </c>
      <c r="D76" s="359">
        <v>2</v>
      </c>
      <c r="E76" s="359">
        <v>3</v>
      </c>
      <c r="F76" s="959" t="str">
        <f t="shared" si="0"/>
        <v>Vigilance</v>
      </c>
      <c r="G76" s="939" t="s">
        <v>2803</v>
      </c>
      <c r="H76" s="961"/>
      <c r="I76" s="961" t="str">
        <f>IF(AUTOQUESTIONNAIRE!K187&gt;2,_xlfn.TEXTJOIN("; ",TRUE,IF((AUTOQUESTIONNAIRE!F186=1)+(AUTOQUESTIONNAIRE!F267&lt;=16)&gt;=1,"Vision",""),IF(AUTOQUESTIONNAIRE!F187=1,"Audition","")),"")</f>
        <v/>
      </c>
      <c r="J76" s="961" t="str">
        <f>IF((AUTOQUESTIONNAIRE!K187&gt;1.2)*(AUTOQUESTIONNAIRE!K187&lt;2),_xlfn.TEXTJOIN("; ",TRUE,IF(AUTOQUESTIONNAIRE!F186=1,"Vision",""),IF(AUTOQUESTIONNAIRE!F267&lt;=16,"Vision",""),IF(AUTOQUESTIONNAIRE!F187=1,"Audition","")),"")</f>
        <v/>
      </c>
    </row>
    <row r="77" spans="1:10" ht="43.2">
      <c r="A77" s="359" t="s">
        <v>1437</v>
      </c>
      <c r="B77" s="940">
        <f>RRImmédiat!C71</f>
        <v>1.6</v>
      </c>
      <c r="C77" s="359">
        <v>1</v>
      </c>
      <c r="D77" s="359">
        <v>2</v>
      </c>
      <c r="E77" s="359">
        <v>3</v>
      </c>
      <c r="F77" s="959" t="str">
        <f t="shared" si="0"/>
        <v>Vigilance</v>
      </c>
      <c r="G77" s="939" t="s">
        <v>2804</v>
      </c>
      <c r="H77" s="961" t="str" cm="1">
        <f t="array" ref="H77">_xlfn.TEXTJOIN("; ",TRUE,IF((RRImmédiat!$A$2:$A$200="Uro")*(ISNUMBER(RRImmédiat!$G$2:$G$200))*(RRImmédiat!$G$2:$G$200&gt;2)*(ISERROR(SEARCH("cancer",RRImmédiat!$B$2:$B$200)))*(ISERROR(SEARCH("tumeur",RRImmédiat!$B$2:$B$200))),RRImmédiat!$B$2:$B$200,""))</f>
        <v/>
      </c>
      <c r="I77" s="961" t="str" cm="1">
        <f t="array" ref="I77">_xlfn.TEXTJOIN("; ",TRUE,IF((RRImmédiat!$A$2:$A$200="Uro")*(ISNUMBER(RRImmédiat!$G$2:$G$200))*(RRImmédiat!$G$2:$G$200&gt;1.2)*(RRImmédiat!$G$2:$G$200&lt;2)*(ISERROR(SEARCH("cancer",RRImmédiat!$B$2:$B$200)))*(ISERROR(SEARCH("tumeur",RRImmédiat!$B$2:$B$200))),RRImmédiat!$B$2:$B$200,""))</f>
        <v/>
      </c>
      <c r="J77" s="961" t="str" cm="1">
        <f t="array" ref="J77">_xlfn.TEXTJOIN("; ",TRUE,IF((RRImmédiat!$A$2:$A$200="Uro")*(ISNUMBER(RRImmédiat!$G$2:$G$200))*(RRImmédiat!$G$2:$G$200&gt;=1)*(RRImmédiat!$G$2:$G$200&lt;=1.2)*(ISERROR(SEARCH("cancer",RRImmédiat!$B$2:$B$200)))*(ISERROR(SEARCH("tumeur",RRImmédiat!$B$2:$B$200))),RRImmédiat!$B$2:$B$200,""))</f>
        <v/>
      </c>
    </row>
    <row r="78" spans="1:10" ht="28.8">
      <c r="A78" s="359" t="s">
        <v>1431</v>
      </c>
      <c r="B78" s="940">
        <f>RRImmédiat!C70</f>
        <v>2.4</v>
      </c>
      <c r="C78" s="359">
        <v>1</v>
      </c>
      <c r="D78" s="359">
        <v>2</v>
      </c>
      <c r="E78" s="359">
        <v>3</v>
      </c>
      <c r="F78" s="959" t="str">
        <f t="shared" si="0"/>
        <v>Vigilance</v>
      </c>
      <c r="G78" s="939" t="s">
        <v>2805</v>
      </c>
      <c r="H78" s="961" t="str" cm="1">
        <f t="array" ref="H78">_xlfn.TEXTJOIN("; ",TRUE,IF((ISNUMBER(RRImmédiat!$G$2:$G$200))*(RRImmédiat!$G$2:$G$200&gt;2)*((ISNUMBER(SEARCH("cancer",RRImmédiat!$B$2:$B$200)))+(ISNUMBER(SEARCH("tumeur",RRImmédiat!$B$2:$B$200)))),TRIM(SUBSTITUTE(SUBSTITUTE(SUBSTITUTE(SUBSTITUTE(SUBSTITUTE(SUBSTITUTE(RRImmédiat!$B$2:$B$200,"Cancer des ",""),"Cancer de ",""),"Cancer du ",""),"Cancer ",""),"Tumeur des ",""),"Tumeur ","")),""))</f>
        <v>la prostate</v>
      </c>
      <c r="I78" s="961" t="str" cm="1">
        <f t="array" ref="I78">_xlfn.TEXTJOIN("; ",TRUE,IF((ISNUMBER(RRImmédiat!$G$2:$G$200))*(RRImmédiat!$G$2:$G$200&gt;1.2)*(RRImmédiat!$G$2:$G$200&lt;2)*((ISNUMBER(SEARCH("cancer",RRImmédiat!$B$2:$B$200)))+(ISNUMBER(SEARCH("tumeur",RRImmédiat!$B$2:$B$200)))),TRIM(SUBSTITUTE(SUBSTITUTE(SUBSTITUTE(SUBSTITUTE(SUBSTITUTE(SUBSTITUTE(RRImmédiat!$B$2:$B$200,"Cancer des ",""),"Cancer de ",""),"Cancer du ",""),"Cancer ",""),"Tumeur des ",""),"Tumeur ","")),""))</f>
        <v/>
      </c>
      <c r="J78" s="961" t="str" cm="1">
        <f t="array" ref="J78">_xlfn.TEXTJOIN("; ",TRUE,IF((ISNUMBER(RRImmédiat!$G$2:$G$200))*(RRImmédiat!$G$2:$G$200&gt;=1)*(RRImmédiat!$G$2:$G$200&lt;=1.2)*((ISNUMBER(SEARCH("cancer",RRImmédiat!$B$2:$B$200)))+(ISNUMBER(SEARCH("tumeur",RRImmédiat!$B$2:$B$200)))),TRIM(SUBSTITUTE(SUBSTITUTE(SUBSTITUTE(SUBSTITUTE(SUBSTITUTE(SUBSTITUTE(RRImmédiat!$B$2:$B$200,"Cancer des ",""),"Cancer de ",""),"Cancer du ",""),"Cancer ",""),"Tumeur des ",""),"Tumeur ","")),""))</f>
        <v>côlon et du rectum; pancréas; poumon et des bronches; rein</v>
      </c>
    </row>
    <row r="79" spans="1:10">
      <c r="B79" s="940">
        <v>1</v>
      </c>
    </row>
    <row r="80" spans="1:10">
      <c r="B80" s="28"/>
    </row>
    <row r="81" spans="1:7">
      <c r="B81" s="28"/>
    </row>
    <row r="82" spans="1:7">
      <c r="B82" s="28"/>
    </row>
    <row r="83" spans="1:7">
      <c r="B83" s="28"/>
    </row>
    <row r="84" spans="1:7">
      <c r="B84" s="28"/>
    </row>
    <row r="85" spans="1:7">
      <c r="B85" s="28"/>
    </row>
    <row r="86" spans="1:7">
      <c r="B86" s="28"/>
    </row>
    <row r="87" spans="1:7">
      <c r="B87" s="28"/>
    </row>
    <row r="89" spans="1:7">
      <c r="A89" s="952" t="s">
        <v>2855</v>
      </c>
      <c r="B89" s="149"/>
      <c r="C89" s="359"/>
      <c r="D89" s="359"/>
      <c r="E89" s="359"/>
      <c r="F89" s="359"/>
      <c r="G89" s="953" t="s">
        <v>2814</v>
      </c>
    </row>
    <row r="90" spans="1:7">
      <c r="A90" s="868" t="s">
        <v>240</v>
      </c>
      <c r="B90" s="25" t="s">
        <v>2646</v>
      </c>
      <c r="C90" s="359"/>
      <c r="D90" s="359"/>
      <c r="E90" s="359"/>
      <c r="F90" s="868" t="s">
        <v>2726</v>
      </c>
      <c r="G90" s="359"/>
    </row>
    <row r="91" spans="1:7">
      <c r="A91" s="359" t="s">
        <v>251</v>
      </c>
      <c r="B91" s="941">
        <f>1-AUTOQUESTIONNAIRE!K141</f>
        <v>0.88888888888888884</v>
      </c>
      <c r="C91" s="359"/>
      <c r="D91" s="359"/>
      <c r="E91" s="359"/>
      <c r="F91" s="959" t="str">
        <f t="shared" ref="F91:F98" si="1">IF(ISNUMBER(B91),IF(B91&gt;0.75,"Norme",IF(B91&gt;=0.51,"Sensibilisation","Vigilance")),"")</f>
        <v>Norme</v>
      </c>
      <c r="G91" s="359"/>
    </row>
    <row r="92" spans="1:7">
      <c r="A92" s="359" t="s">
        <v>766</v>
      </c>
      <c r="B92" s="941">
        <f>1-AUTOQUESTIONNAIRE!K142</f>
        <v>1</v>
      </c>
      <c r="C92" s="359"/>
      <c r="D92" s="359"/>
      <c r="E92" s="359"/>
      <c r="F92" s="959" t="str">
        <f t="shared" si="1"/>
        <v>Norme</v>
      </c>
      <c r="G92" s="359"/>
    </row>
    <row r="93" spans="1:7">
      <c r="A93" s="359" t="s">
        <v>2739</v>
      </c>
      <c r="B93" s="941">
        <f>1-AUTOQUESTIONNAIRE!K143</f>
        <v>0.93333333333333335</v>
      </c>
      <c r="C93" s="359"/>
      <c r="D93" s="359"/>
      <c r="E93" s="359"/>
      <c r="F93" s="959" t="str">
        <f t="shared" si="1"/>
        <v>Norme</v>
      </c>
      <c r="G93" s="359"/>
    </row>
    <row r="94" spans="1:7">
      <c r="A94" s="359" t="s">
        <v>2740</v>
      </c>
      <c r="B94" s="941">
        <f>1-AUTOQUESTIONNAIRE!K144</f>
        <v>1</v>
      </c>
      <c r="C94" s="359"/>
      <c r="D94" s="359"/>
      <c r="E94" s="359"/>
      <c r="F94" s="959" t="str">
        <f t="shared" si="1"/>
        <v>Norme</v>
      </c>
      <c r="G94" s="359"/>
    </row>
    <row r="95" spans="1:7">
      <c r="A95" s="359" t="s">
        <v>2343</v>
      </c>
      <c r="B95" s="941">
        <f>1-AUTOQUESTIONNAIRE!K145</f>
        <v>0.875</v>
      </c>
      <c r="C95" s="359"/>
      <c r="D95" s="359"/>
      <c r="E95" s="359"/>
      <c r="F95" s="959" t="str">
        <f t="shared" si="1"/>
        <v>Norme</v>
      </c>
      <c r="G95" s="359"/>
    </row>
    <row r="96" spans="1:7">
      <c r="A96" s="359" t="s">
        <v>2648</v>
      </c>
      <c r="B96" s="941">
        <f>AUTOQUESTIONNAIRE!K137</f>
        <v>0.5</v>
      </c>
      <c r="C96" s="359"/>
      <c r="D96" s="359"/>
      <c r="E96" s="359"/>
      <c r="F96" s="959" t="str">
        <f t="shared" si="1"/>
        <v>Vigilance</v>
      </c>
      <c r="G96" s="359"/>
    </row>
    <row r="97" spans="1:7">
      <c r="A97" s="359" t="s">
        <v>735</v>
      </c>
      <c r="B97" s="941">
        <f>AUTOQUESTIONNAIRE!K146</f>
        <v>1</v>
      </c>
      <c r="C97" s="359"/>
      <c r="D97" s="359"/>
      <c r="E97" s="359"/>
      <c r="F97" s="959" t="str">
        <f t="shared" si="1"/>
        <v>Norme</v>
      </c>
      <c r="G97" s="359"/>
    </row>
    <row r="98" spans="1:7">
      <c r="A98" s="359" t="s">
        <v>736</v>
      </c>
      <c r="B98" s="941">
        <f>AUTOQUESTIONNAIRE!K147</f>
        <v>1</v>
      </c>
      <c r="C98" s="359"/>
      <c r="D98" s="359"/>
      <c r="E98" s="359"/>
      <c r="F98" s="959" t="str">
        <f t="shared" si="1"/>
        <v>Norme</v>
      </c>
      <c r="G98" s="359"/>
    </row>
    <row r="105" spans="1:7">
      <c r="A105" s="952" t="s">
        <v>2856</v>
      </c>
      <c r="B105" s="149"/>
      <c r="C105" s="359"/>
      <c r="D105" s="359"/>
      <c r="E105" s="359"/>
      <c r="F105" s="359"/>
      <c r="G105" s="953" t="s">
        <v>2813</v>
      </c>
    </row>
    <row r="106" spans="1:7">
      <c r="A106" s="868" t="s">
        <v>2741</v>
      </c>
      <c r="B106" s="989" t="str">
        <f>IF(AUTOQUESTIONNAIRE!F344="","",IF(AUTOQUESTIONNAIRE!F344=0,"",AUTOQUESTIONNAIRE!F344))</f>
        <v>Mon arthrose</v>
      </c>
      <c r="C106" s="359"/>
      <c r="D106" s="359"/>
      <c r="E106" s="359"/>
      <c r="F106" s="359"/>
      <c r="G106" s="359"/>
    </row>
    <row r="107" spans="1:7">
      <c r="A107" s="840"/>
      <c r="B107" s="986"/>
    </row>
    <row r="108" spans="1:7">
      <c r="A108" s="840"/>
      <c r="B108" s="986"/>
    </row>
    <row r="109" spans="1:7">
      <c r="A109" s="840"/>
      <c r="B109" s="986"/>
    </row>
    <row r="110" spans="1:7">
      <c r="A110" s="840"/>
      <c r="B110" s="986"/>
    </row>
    <row r="111" spans="1:7">
      <c r="A111" s="840"/>
      <c r="B111" s="986"/>
    </row>
    <row r="113" spans="1:7">
      <c r="A113" s="952" t="s">
        <v>2857</v>
      </c>
      <c r="B113" s="149"/>
      <c r="C113" s="359"/>
      <c r="D113" s="359"/>
      <c r="E113" s="359"/>
      <c r="F113" s="359"/>
      <c r="G113" s="953" t="s">
        <v>2794</v>
      </c>
    </row>
    <row r="114" spans="1:7">
      <c r="A114" s="868" t="s">
        <v>2742</v>
      </c>
      <c r="B114" s="25" t="s">
        <v>2646</v>
      </c>
      <c r="C114" s="359"/>
      <c r="D114" s="359"/>
      <c r="E114" s="359"/>
      <c r="F114" s="359"/>
      <c r="G114" s="367" t="s">
        <v>2730</v>
      </c>
    </row>
    <row r="115" spans="1:7">
      <c r="A115" s="359" t="s">
        <v>2834</v>
      </c>
      <c r="B115" s="981">
        <f>AUTOQUESTIONNAIRE!F218</f>
        <v>0</v>
      </c>
      <c r="C115" s="359"/>
      <c r="D115" s="359"/>
      <c r="E115" s="359"/>
      <c r="F115" s="359"/>
      <c r="G115" s="359" t="s">
        <v>2784</v>
      </c>
    </row>
    <row r="116" spans="1:7">
      <c r="A116" s="359" t="s">
        <v>2835</v>
      </c>
      <c r="B116" s="981">
        <f>AUTOQUESTIONNAIRE!F219</f>
        <v>0</v>
      </c>
      <c r="C116" s="359"/>
      <c r="D116" s="359"/>
      <c r="E116" s="359"/>
      <c r="F116" s="359"/>
      <c r="G116" s="359" t="s">
        <v>2785</v>
      </c>
    </row>
    <row r="117" spans="1:7">
      <c r="A117" s="359" t="s">
        <v>2836</v>
      </c>
      <c r="B117" s="981">
        <f>AUTOQUESTIONNAIRE!F217</f>
        <v>70</v>
      </c>
      <c r="C117" s="359"/>
      <c r="D117" s="359"/>
      <c r="E117" s="359"/>
      <c r="F117" s="359"/>
      <c r="G117" s="359" t="s">
        <v>2786</v>
      </c>
    </row>
    <row r="118" spans="1:7" ht="57.6">
      <c r="A118" s="939" t="s">
        <v>2837</v>
      </c>
      <c r="B118" s="981" t="str">
        <f>IF(ISNUMBER(SEARCH("Cholestérol",B21)),"","N/A")</f>
        <v/>
      </c>
      <c r="C118" s="359"/>
      <c r="D118" s="359"/>
      <c r="E118" s="359"/>
      <c r="F118" s="359"/>
      <c r="G118" s="359" t="s">
        <v>2787</v>
      </c>
    </row>
    <row r="119" spans="1:7">
      <c r="A119" s="359" t="s">
        <v>2838</v>
      </c>
      <c r="B119" s="981">
        <f>AUTOQUESTIONNAIRE!F228</f>
        <v>0</v>
      </c>
      <c r="C119" s="359"/>
      <c r="D119" s="359"/>
      <c r="E119" s="359"/>
      <c r="F119" s="359"/>
      <c r="G119" s="359" t="s">
        <v>2788</v>
      </c>
    </row>
    <row r="120" spans="1:7">
      <c r="A120" s="359" t="s">
        <v>2839</v>
      </c>
      <c r="B120" s="981" t="str">
        <f>IF(ISNUMBER(SEARCH("Glycémie",B21)),"","N/A")</f>
        <v/>
      </c>
      <c r="C120" s="359"/>
      <c r="D120" s="359"/>
      <c r="E120" s="359"/>
      <c r="F120" s="359"/>
      <c r="G120" s="359" t="s">
        <v>2789</v>
      </c>
    </row>
    <row r="121" spans="1:7">
      <c r="A121" s="359" t="s">
        <v>2840</v>
      </c>
      <c r="B121" s="981" t="str">
        <f>IF(ISNUMBER(SEARCH("Hb1Ac",B21)),"","N/A")</f>
        <v/>
      </c>
      <c r="C121" s="359"/>
      <c r="D121" s="359"/>
      <c r="E121" s="359"/>
      <c r="F121" s="359"/>
      <c r="G121" s="359" t="s">
        <v>2790</v>
      </c>
    </row>
    <row r="122" spans="1:7">
      <c r="A122" s="359" t="s">
        <v>2841</v>
      </c>
      <c r="B122" s="981" t="str">
        <f>IF(ISNUMBER(SEARCH("Créatininémie",B21)),"","N/A")</f>
        <v/>
      </c>
      <c r="C122" s="359"/>
      <c r="D122" s="359"/>
      <c r="E122" s="359"/>
      <c r="F122" s="359"/>
      <c r="G122" s="359" t="s">
        <v>2791</v>
      </c>
    </row>
    <row r="123" spans="1:7">
      <c r="A123" s="359" t="s">
        <v>2842</v>
      </c>
      <c r="B123" s="981" t="str">
        <f>IF(AUTOQUESTIONNAIRE!F233=2,"Normal",IF(AUTOQUESTIONNAIRE!F233=1,"A vérifier",IF(AUTOQUESTIONNAIRE!F233&lt;&gt;0,AUTOQUESTIONNAIRE!F233,IF(AUTOQUESTIONNAIRE!F152=1,"A faire","N/A"))))</f>
        <v>Normal</v>
      </c>
      <c r="C123" s="359"/>
      <c r="D123" s="359"/>
      <c r="E123" s="359"/>
      <c r="F123" s="359"/>
      <c r="G123" s="359" t="s">
        <v>2792</v>
      </c>
    </row>
    <row r="124" spans="1:7" ht="28.8">
      <c r="A124" s="939" t="s">
        <v>2843</v>
      </c>
      <c r="B124" s="981" t="str">
        <f>IF(AUTOQUESTIONNAIRE!F236=2,"Normal",IF(AUTOQUESTIONNAIRE!F236=1,"A vérifier",IF(AUTOQUESTIONNAIRE!F236&lt;&gt;0,AUTOQUESTIONNAIRE!F236,IF(AUTOQUESTIONNAIRE!F4&gt;=50,"A faire","N/A"))))</f>
        <v>A vérifier</v>
      </c>
      <c r="C124" s="359"/>
      <c r="D124" s="359"/>
      <c r="E124" s="359"/>
      <c r="F124" s="359"/>
      <c r="G124" s="359" t="s">
        <v>2793</v>
      </c>
    </row>
    <row r="125" spans="1:7">
      <c r="A125" s="841"/>
      <c r="B125" s="992"/>
    </row>
    <row r="126" spans="1:7">
      <c r="A126" s="841"/>
      <c r="B126" s="992"/>
    </row>
    <row r="127" spans="1:7">
      <c r="A127" s="841"/>
      <c r="B127" s="992"/>
    </row>
    <row r="128" spans="1:7">
      <c r="A128" s="841"/>
      <c r="B128" s="992"/>
    </row>
    <row r="129" spans="1:8">
      <c r="A129" s="841"/>
      <c r="B129" s="992"/>
    </row>
    <row r="130" spans="1:8">
      <c r="A130" s="841"/>
      <c r="B130" s="992"/>
    </row>
    <row r="131" spans="1:8">
      <c r="A131" s="946" t="s">
        <v>2860</v>
      </c>
      <c r="B131" s="992"/>
    </row>
    <row r="132" spans="1:8">
      <c r="A132" s="868" t="s">
        <v>2859</v>
      </c>
      <c r="B132" s="531" t="str">
        <f>_xlfn.TEXTJOIN("; ",TRUE,IF(AUTOQUESTIONNAIRE!F68=1,"Tabac",""),IF(AUTOQUESTIONNAIRE!F251=1,"Vapotage",""),IF(AUTOQUESTIONNAIRE!F71=1,"Alcool",""),IF(AUTOQUESTIONNAIRE!F74=1,"Substances récréatives",""),IF(AUTOQUESTIONNAIRE!F87=3,"Ecran",""),IF(AUTOQUESTIONNAIRE!F75=1,"Jeux",""))</f>
        <v>Alcool; Ecran</v>
      </c>
    </row>
    <row r="134" spans="1:8">
      <c r="G134" s="944" t="s">
        <v>2815</v>
      </c>
    </row>
    <row r="135" spans="1:8">
      <c r="A135" s="868" t="s">
        <v>2743</v>
      </c>
      <c r="B135" s="25" t="s">
        <v>2646</v>
      </c>
      <c r="F135" s="868" t="s">
        <v>2726</v>
      </c>
      <c r="G135" s="950" t="s">
        <v>2744</v>
      </c>
    </row>
    <row r="136" spans="1:8">
      <c r="A136" s="359" t="s">
        <v>2745</v>
      </c>
      <c r="B136" s="940">
        <f>1-AUTOQUESTIONNAIRE!K83</f>
        <v>1</v>
      </c>
      <c r="C136" s="149">
        <v>0</v>
      </c>
      <c r="D136" s="359">
        <v>0.5</v>
      </c>
      <c r="E136" s="359">
        <v>1</v>
      </c>
      <c r="F136" s="959" t="str">
        <f>IF(ISNUMBER(B136),IF(B136&gt;0.65,"Vigilance",IF(B136&gt;=0.3,"Sensibilisation","Norme")),"")</f>
        <v>Vigilance</v>
      </c>
      <c r="G136" s="951" t="s">
        <v>2816</v>
      </c>
    </row>
    <row r="137" spans="1:8">
      <c r="A137" s="359" t="s">
        <v>2746</v>
      </c>
      <c r="B137" s="940">
        <f>1-AUTOQUESTIONNAIRE!K70</f>
        <v>0.19999999999999996</v>
      </c>
      <c r="C137" s="149">
        <v>0</v>
      </c>
      <c r="D137" s="359">
        <v>0.5</v>
      </c>
      <c r="E137" s="359">
        <v>1</v>
      </c>
      <c r="F137" s="959" t="str">
        <f t="shared" ref="F137:F146" si="2">IF(ISNUMBER(B137),IF(B137&gt;0.65,"Vigilance",IF(B137&gt;=0.3,"Sensibilisation","Norme")),"")</f>
        <v>Norme</v>
      </c>
      <c r="G137" s="951" t="s">
        <v>2844</v>
      </c>
      <c r="H137" s="949"/>
    </row>
    <row r="138" spans="1:8">
      <c r="A138" s="359" t="s">
        <v>2882</v>
      </c>
      <c r="B138" s="940">
        <f>1-MIN(AUTOQUESTIONNAIRE!K57,AUTOQUESTIONNAIRE!K58)</f>
        <v>0.8</v>
      </c>
      <c r="C138" s="149">
        <v>0</v>
      </c>
      <c r="D138" s="359">
        <v>0.5</v>
      </c>
      <c r="E138" s="359">
        <v>1</v>
      </c>
      <c r="F138" s="959" t="str">
        <f t="shared" si="2"/>
        <v>Vigilance</v>
      </c>
      <c r="G138" s="951" t="s">
        <v>2817</v>
      </c>
    </row>
    <row r="139" spans="1:8">
      <c r="A139" s="359" t="s">
        <v>2747</v>
      </c>
      <c r="B139" s="940">
        <f>1-AUTOQUESTIONNAIRE!K18</f>
        <v>0.8</v>
      </c>
      <c r="C139" s="149">
        <v>0</v>
      </c>
      <c r="D139" s="359">
        <v>0.5</v>
      </c>
      <c r="E139" s="359">
        <v>1</v>
      </c>
      <c r="F139" s="959" t="str">
        <f t="shared" si="2"/>
        <v>Vigilance</v>
      </c>
      <c r="G139" s="951" t="s">
        <v>2818</v>
      </c>
    </row>
    <row r="140" spans="1:8">
      <c r="A140" s="359" t="s">
        <v>2651</v>
      </c>
      <c r="B140" s="940">
        <f>1-AUTOQUESTIONNAIRE!K72</f>
        <v>0</v>
      </c>
      <c r="C140" s="149">
        <v>0</v>
      </c>
      <c r="D140" s="359">
        <v>0.5</v>
      </c>
      <c r="E140" s="359">
        <v>1</v>
      </c>
      <c r="F140" s="959" t="str">
        <f t="shared" si="2"/>
        <v>Norme</v>
      </c>
      <c r="G140" s="951" t="s">
        <v>2819</v>
      </c>
    </row>
    <row r="141" spans="1:8">
      <c r="A141" s="359" t="s">
        <v>2748</v>
      </c>
      <c r="B141" s="940">
        <f>1-AUTOQUESTIONNAIRE!K93</f>
        <v>0.30000000000000004</v>
      </c>
      <c r="C141" s="149">
        <v>0</v>
      </c>
      <c r="D141" s="359">
        <v>0.5</v>
      </c>
      <c r="E141" s="359">
        <v>1</v>
      </c>
      <c r="F141" s="959" t="str">
        <f t="shared" si="2"/>
        <v>Sensibilisation</v>
      </c>
      <c r="G141" s="951" t="s">
        <v>2820</v>
      </c>
    </row>
    <row r="142" spans="1:8">
      <c r="A142" s="359" t="s">
        <v>2649</v>
      </c>
      <c r="B142" s="940">
        <f>1-AUTOQUESTIONNAIRE!K81</f>
        <v>0.57894736842105265</v>
      </c>
      <c r="C142" s="149">
        <v>0</v>
      </c>
      <c r="D142" s="359">
        <v>0.5</v>
      </c>
      <c r="E142" s="359">
        <v>1</v>
      </c>
      <c r="F142" s="959" t="str">
        <f t="shared" si="2"/>
        <v>Sensibilisation</v>
      </c>
      <c r="G142" s="951" t="s">
        <v>2821</v>
      </c>
    </row>
    <row r="143" spans="1:8">
      <c r="A143" s="359" t="s">
        <v>2749</v>
      </c>
      <c r="B143" s="940">
        <f>1-AUTOQUESTIONNAIRE!K68</f>
        <v>9.9999999999999978E-2</v>
      </c>
      <c r="C143" s="149">
        <v>0</v>
      </c>
      <c r="D143" s="359">
        <v>0.5</v>
      </c>
      <c r="E143" s="359">
        <v>1</v>
      </c>
      <c r="F143" s="959" t="str">
        <f t="shared" si="2"/>
        <v>Norme</v>
      </c>
      <c r="G143" s="951" t="s">
        <v>2822</v>
      </c>
    </row>
    <row r="144" spans="1:8">
      <c r="A144" s="359" t="s">
        <v>2750</v>
      </c>
      <c r="B144" s="940">
        <f>1-(MIN(AUTOQUESTIONNAIRE!K19,AUTOQUESTIONNAIRE!K159))</f>
        <v>1</v>
      </c>
      <c r="C144" s="149">
        <v>0</v>
      </c>
      <c r="D144" s="359">
        <v>0.5</v>
      </c>
      <c r="E144" s="359">
        <v>1</v>
      </c>
      <c r="F144" s="959" t="str">
        <f t="shared" si="2"/>
        <v>Vigilance</v>
      </c>
      <c r="G144" s="951" t="s">
        <v>2823</v>
      </c>
    </row>
    <row r="145" spans="1:7">
      <c r="A145" s="359" t="s">
        <v>2751</v>
      </c>
      <c r="B145" s="940">
        <f>1-AUTOQUESTIONNAIRE!K79</f>
        <v>0</v>
      </c>
      <c r="C145" s="149">
        <v>0</v>
      </c>
      <c r="D145" s="359">
        <v>0.5</v>
      </c>
      <c r="E145" s="359">
        <v>1</v>
      </c>
      <c r="F145" s="959" t="str">
        <f t="shared" si="2"/>
        <v>Norme</v>
      </c>
      <c r="G145" s="951" t="s">
        <v>2824</v>
      </c>
    </row>
    <row r="146" spans="1:7">
      <c r="A146" s="359" t="s">
        <v>2883</v>
      </c>
      <c r="B146" s="940">
        <f>1-AUTOQUESTIONNAIRE!K137</f>
        <v>0.5</v>
      </c>
      <c r="C146" s="149">
        <v>0</v>
      </c>
      <c r="D146" s="359">
        <v>0.5</v>
      </c>
      <c r="E146" s="359">
        <v>1</v>
      </c>
      <c r="F146" s="959" t="str">
        <f t="shared" si="2"/>
        <v>Sensibilisation</v>
      </c>
      <c r="G146" s="951" t="s">
        <v>2825</v>
      </c>
    </row>
    <row r="155" spans="1:7">
      <c r="A155" s="946" t="s">
        <v>2863</v>
      </c>
      <c r="G155" s="944" t="s">
        <v>2826</v>
      </c>
    </row>
    <row r="156" spans="1:7" ht="43.2">
      <c r="A156" s="964" t="s">
        <v>2861</v>
      </c>
      <c r="B156" s="981" t="str">
        <f>_xlfn.TEXTJOIN(", ",TRUE,IF(B23&lt;&gt;"","Dépistage",""),IF(B24&lt;&gt;"","Vaccin",""),IF(ISNUMBER(SEARCH("Bucco-dentaire",B22))+(ISNUMBER(SEARCH("Gynécologie",B22))*(AUTOQUESTIONNAIRE!F65&lt;&gt;1))+ISNUMBER(SEARCH("Ophtalmologie",B22)),"Consultation de routine",""),IF(AUTOQUESTIONNAIRE!F68=1,"Tabac",""),IF(AUTOQUESTIONNAIRE!F71=1,"Alcool",""))</f>
        <v>Dépistage, Vaccin, Consultation de routine, Alcool</v>
      </c>
    </row>
    <row r="158" spans="1:7">
      <c r="A158" s="868" t="s">
        <v>2775</v>
      </c>
      <c r="B158" s="25" t="s">
        <v>2646</v>
      </c>
      <c r="C158" s="947" t="s">
        <v>2769</v>
      </c>
      <c r="D158" s="359"/>
      <c r="E158" s="359"/>
      <c r="F158" s="359"/>
      <c r="G158" s="868" t="s">
        <v>2730</v>
      </c>
    </row>
    <row r="159" spans="1:7">
      <c r="A159" s="359" t="s">
        <v>2752</v>
      </c>
      <c r="B159" s="993">
        <f>AUTOQUESTIONNAIRE!F6-100-((AUTOQUESTIONNAIRE!F6-150)/4)</f>
        <v>72.5</v>
      </c>
      <c r="C159" s="359"/>
      <c r="D159" s="359"/>
      <c r="E159" s="359"/>
      <c r="F159" s="359"/>
      <c r="G159" s="1028" t="s">
        <v>2868</v>
      </c>
    </row>
    <row r="160" spans="1:7">
      <c r="A160" s="359" t="s">
        <v>2753</v>
      </c>
      <c r="B160" s="994">
        <f>AUTOQUESTIONNAIRE!F7-(AUTOQUESTIONNAIRE!F7-B159)*0.4</f>
        <v>101</v>
      </c>
      <c r="C160" s="359"/>
      <c r="D160" s="359"/>
      <c r="E160" s="359"/>
      <c r="F160" s="359"/>
      <c r="G160" s="1030"/>
    </row>
    <row r="161" spans="1:7">
      <c r="A161" s="359" t="s">
        <v>587</v>
      </c>
      <c r="B161" s="995">
        <f>((10*AUTOQUESTIONNAIRE!F7)+(6.25*AUTOQUESTIONNAIRE!F6)-(5*AUTOQUESTIONNAIRE!F4+5))</f>
        <v>1995</v>
      </c>
      <c r="C161" s="958" t="str">
        <f>IF((B9&gt;=18)*(B9&lt;=25),"Oui","Non")</f>
        <v>Non</v>
      </c>
      <c r="D161" s="359"/>
      <c r="E161" s="359"/>
      <c r="F161" s="359"/>
      <c r="G161" s="1030"/>
    </row>
    <row r="162" spans="1:7">
      <c r="A162" s="359" t="s">
        <v>2776</v>
      </c>
      <c r="B162" s="995">
        <f>B161*0.86</f>
        <v>1715.7</v>
      </c>
      <c r="C162" s="958" t="str">
        <f>IF(B9&gt;25,"Oui","Non")</f>
        <v>Oui</v>
      </c>
      <c r="D162" s="359"/>
      <c r="E162" s="359"/>
      <c r="F162" s="359"/>
      <c r="G162" s="1030"/>
    </row>
    <row r="163" spans="1:7">
      <c r="A163" s="359" t="s">
        <v>2777</v>
      </c>
      <c r="B163" s="995">
        <f>B161*1.14</f>
        <v>2274.2999999999997</v>
      </c>
      <c r="C163" s="958" t="str">
        <f>IF(B9&lt;18,"Oui","Non")</f>
        <v>Non</v>
      </c>
      <c r="D163" s="359"/>
      <c r="E163" s="359"/>
      <c r="F163" s="359"/>
      <c r="G163" s="1029"/>
    </row>
    <row r="164" spans="1:7">
      <c r="B164" s="996"/>
      <c r="C164" s="954"/>
      <c r="G164" s="956"/>
    </row>
    <row r="165" spans="1:7">
      <c r="B165" s="996"/>
      <c r="C165" s="954"/>
      <c r="G165" s="956"/>
    </row>
    <row r="166" spans="1:7">
      <c r="B166" s="996"/>
      <c r="C166" s="954"/>
      <c r="G166" s="956"/>
    </row>
    <row r="168" spans="1:7">
      <c r="A168" s="868" t="s">
        <v>2772</v>
      </c>
      <c r="B168" s="25" t="s">
        <v>2646</v>
      </c>
      <c r="C168" s="359"/>
      <c r="D168" s="359"/>
      <c r="E168" s="359"/>
      <c r="F168" s="359"/>
      <c r="G168" s="868" t="s">
        <v>2730</v>
      </c>
    </row>
    <row r="169" spans="1:7" ht="144" customHeight="1">
      <c r="A169" s="359" t="s">
        <v>2754</v>
      </c>
      <c r="B169" s="983">
        <f>0.8*B159</f>
        <v>58</v>
      </c>
      <c r="C169" s="359"/>
      <c r="D169" s="359"/>
      <c r="E169" s="359"/>
      <c r="F169" s="359"/>
      <c r="G169" s="1028" t="s">
        <v>2867</v>
      </c>
    </row>
    <row r="170" spans="1:7">
      <c r="A170" s="359" t="s">
        <v>2755</v>
      </c>
      <c r="B170" s="8">
        <v>3.8</v>
      </c>
      <c r="C170" s="359"/>
      <c r="D170" s="359"/>
      <c r="E170" s="359"/>
      <c r="F170" s="359"/>
      <c r="G170" s="1030"/>
    </row>
    <row r="171" spans="1:7">
      <c r="A171" s="359" t="s">
        <v>1443</v>
      </c>
      <c r="B171" s="983">
        <f>IF(AUTOQUESTIONNAIRE!H3=1,2,1.8)</f>
        <v>2</v>
      </c>
      <c r="C171" s="359"/>
      <c r="D171" s="359"/>
      <c r="E171" s="359"/>
      <c r="F171" s="359"/>
      <c r="G171" s="1029"/>
    </row>
    <row r="172" spans="1:7">
      <c r="B172" s="997"/>
      <c r="G172" s="956"/>
    </row>
    <row r="173" spans="1:7">
      <c r="B173" s="997"/>
      <c r="G173" s="956"/>
    </row>
    <row r="174" spans="1:7">
      <c r="B174" s="997"/>
      <c r="G174" s="956"/>
    </row>
    <row r="176" spans="1:7">
      <c r="A176" s="868" t="s">
        <v>2774</v>
      </c>
      <c r="B176" s="25" t="s">
        <v>2646</v>
      </c>
      <c r="C176" s="947" t="s">
        <v>2770</v>
      </c>
      <c r="D176" s="359"/>
      <c r="E176" s="359"/>
      <c r="F176" s="359"/>
      <c r="G176" s="868" t="s">
        <v>2730</v>
      </c>
    </row>
    <row r="177" spans="1:7" ht="216" customHeight="1">
      <c r="A177" s="359" t="s">
        <v>2756</v>
      </c>
      <c r="B177" s="995">
        <f>207.5-(0.78*AUTOQUESTIONNAIRE!F4)</f>
        <v>156.80000000000001</v>
      </c>
      <c r="C177" s="960" t="str">
        <f>IF(AUTOQUESTIONNAIRE!F3=1,"Oui","Non")</f>
        <v>Oui</v>
      </c>
      <c r="D177" s="359"/>
      <c r="E177" s="359"/>
      <c r="F177" s="359"/>
      <c r="G177" s="1028" t="s">
        <v>2866</v>
      </c>
    </row>
    <row r="178" spans="1:7">
      <c r="A178" s="359" t="s">
        <v>2757</v>
      </c>
      <c r="B178" s="995">
        <f>208.3-(0.74*AUTOQUESTIONNAIRE!F4)</f>
        <v>160.20000000000002</v>
      </c>
      <c r="C178" s="960" t="str">
        <f>IF(AUTOQUESTIONNAIRE!F3=0,"Oui","Non")</f>
        <v>Non</v>
      </c>
      <c r="D178" s="359"/>
      <c r="E178" s="359"/>
      <c r="F178" s="359"/>
      <c r="G178" s="1030"/>
    </row>
    <row r="179" spans="1:7">
      <c r="A179" s="963" t="s">
        <v>2758</v>
      </c>
      <c r="B179" s="995">
        <f>(70/100)*B177</f>
        <v>109.76</v>
      </c>
      <c r="C179" s="960" t="str">
        <f>IF(AUTOQUESTIONNAIRE!F3=1,"Oui","Non")</f>
        <v>Oui</v>
      </c>
      <c r="D179" s="359"/>
      <c r="E179" s="359"/>
      <c r="F179" s="359"/>
      <c r="G179" s="1030"/>
    </row>
    <row r="180" spans="1:7">
      <c r="A180" s="963" t="s">
        <v>2759</v>
      </c>
      <c r="B180" s="995">
        <f>70%*B178</f>
        <v>112.14</v>
      </c>
      <c r="C180" s="960" t="str">
        <f>IF(AUTOQUESTIONNAIRE!F3=0,"Oui","Non")</f>
        <v>Non</v>
      </c>
      <c r="D180" s="359"/>
      <c r="E180" s="359"/>
      <c r="F180" s="359"/>
      <c r="G180" s="1029"/>
    </row>
    <row r="181" spans="1:7">
      <c r="B181" s="996"/>
      <c r="C181" s="957"/>
    </row>
    <row r="182" spans="1:7">
      <c r="B182" s="996"/>
      <c r="C182" s="957"/>
    </row>
    <row r="183" spans="1:7">
      <c r="B183" s="996"/>
      <c r="C183" s="957"/>
    </row>
    <row r="185" spans="1:7">
      <c r="A185" s="868" t="s">
        <v>2778</v>
      </c>
      <c r="B185" s="25" t="s">
        <v>2646</v>
      </c>
      <c r="C185" s="947" t="s">
        <v>2862</v>
      </c>
      <c r="D185" s="359"/>
      <c r="E185" s="359"/>
      <c r="F185" s="359"/>
      <c r="G185" s="868" t="s">
        <v>2730</v>
      </c>
    </row>
    <row r="186" spans="1:7" ht="72">
      <c r="A186" s="359"/>
      <c r="B186" s="149"/>
      <c r="C186" s="959" t="str">
        <f>IF(AUTOQUESTIONNAIRE!F68=1,"Oui","Non")</f>
        <v>Non</v>
      </c>
      <c r="D186" s="359"/>
      <c r="E186" s="359"/>
      <c r="F186" s="359"/>
      <c r="G186" s="966" t="s">
        <v>2827</v>
      </c>
    </row>
    <row r="187" spans="1:7">
      <c r="G187" s="956"/>
    </row>
    <row r="188" spans="1:7">
      <c r="G188" s="956"/>
    </row>
    <row r="189" spans="1:7">
      <c r="G189" s="956"/>
    </row>
    <row r="191" spans="1:7">
      <c r="A191" s="868" t="s">
        <v>2779</v>
      </c>
      <c r="B191" s="25" t="s">
        <v>2646</v>
      </c>
      <c r="C191" s="947" t="s">
        <v>2862</v>
      </c>
      <c r="D191" s="359"/>
      <c r="E191" s="359"/>
      <c r="F191" s="359"/>
      <c r="G191" s="868" t="s">
        <v>2730</v>
      </c>
    </row>
    <row r="192" spans="1:7" ht="86.4">
      <c r="A192" s="359"/>
      <c r="B192" s="149"/>
      <c r="C192" s="959" t="str">
        <f>IF(AUTOQUESTIONNAIRE!F71=1,"Oui","Non")</f>
        <v>Oui</v>
      </c>
      <c r="D192" s="359"/>
      <c r="E192" s="359"/>
      <c r="F192" s="359"/>
      <c r="G192" s="966" t="s">
        <v>2828</v>
      </c>
    </row>
    <row r="193" spans="1:8">
      <c r="G193" s="841"/>
    </row>
    <row r="194" spans="1:8">
      <c r="G194" s="841"/>
    </row>
    <row r="195" spans="1:8">
      <c r="G195" s="841"/>
    </row>
    <row r="197" spans="1:8">
      <c r="A197" s="943" t="s">
        <v>2884</v>
      </c>
      <c r="B197" s="25" t="s">
        <v>2646</v>
      </c>
      <c r="C197" s="947" t="s">
        <v>2862</v>
      </c>
      <c r="D197" s="359"/>
      <c r="E197" s="359"/>
      <c r="F197" s="359"/>
      <c r="G197" s="868" t="s">
        <v>2730</v>
      </c>
    </row>
    <row r="198" spans="1:8" ht="57.6">
      <c r="A198" s="359"/>
      <c r="B198" s="990" t="str">
        <f>AFaire!BB208&amp;AFaire!BC208&amp;AFaire!BD208</f>
        <v xml:space="preserve"> Vaccination Tetanos (diphtérie, coqueluche, polio), ou Test IgG,  Vaccination grippe, </v>
      </c>
      <c r="C198" s="959" t="str">
        <f>IF(LEN(TRIM(B198))&gt;0,"Oui","Non")</f>
        <v>Oui</v>
      </c>
      <c r="D198" s="359"/>
      <c r="E198" s="359"/>
      <c r="F198" s="359"/>
      <c r="G198" s="966" t="s">
        <v>2870</v>
      </c>
    </row>
    <row r="199" spans="1:8">
      <c r="B199" s="998"/>
      <c r="G199" s="841"/>
    </row>
    <row r="200" spans="1:8">
      <c r="B200" s="998"/>
      <c r="G200" s="841"/>
    </row>
    <row r="201" spans="1:8">
      <c r="B201" s="998"/>
      <c r="G201" s="841"/>
    </row>
    <row r="202" spans="1:8">
      <c r="B202" s="999"/>
    </row>
    <row r="203" spans="1:8">
      <c r="A203" s="943" t="s">
        <v>2773</v>
      </c>
      <c r="B203" s="16" t="s">
        <v>2646</v>
      </c>
      <c r="C203" s="947" t="s">
        <v>2862</v>
      </c>
      <c r="D203" s="359"/>
      <c r="E203" s="359"/>
      <c r="F203" s="359"/>
      <c r="G203" s="868" t="s">
        <v>2730</v>
      </c>
    </row>
    <row r="204" spans="1:8" ht="70.2" customHeight="1">
      <c r="A204" s="359" t="s">
        <v>944</v>
      </c>
      <c r="B204" s="990" t="str">
        <f>AFaire!BG208&amp;AFaire!BN208&amp;AFaire!BO208&amp;AFaire!BP208&amp;AFaire!BQ208&amp;AFaire!AT208</f>
        <v xml:space="preserve">  Dépistage  cancer du colon, Dépistage cancer de la prostate,   </v>
      </c>
      <c r="C204" s="959" t="str">
        <f>IF(LEN(TRIM(B204))&gt;0,"Oui","Non")</f>
        <v>Oui</v>
      </c>
      <c r="D204" s="359"/>
      <c r="E204" s="359"/>
      <c r="F204" s="359"/>
      <c r="G204" s="1028" t="s">
        <v>2865</v>
      </c>
      <c r="H204" s="972"/>
    </row>
    <row r="205" spans="1:8">
      <c r="A205" s="359" t="s">
        <v>2771</v>
      </c>
      <c r="B205" s="1010" t="str">
        <f>IF(RRImmédiat!C41&gt;1.2,", Dépistage apnée du sommeil","")</f>
        <v/>
      </c>
      <c r="C205" s="959" t="str">
        <f>IF(LEN(TRIM(B205))&gt;0,"Oui","Non")</f>
        <v>Non</v>
      </c>
      <c r="D205" s="359"/>
      <c r="E205" s="359"/>
      <c r="F205" s="359"/>
      <c r="G205" s="1029"/>
    </row>
    <row r="206" spans="1:8">
      <c r="G206" s="955"/>
    </row>
    <row r="207" spans="1:8">
      <c r="B207" s="1000"/>
      <c r="G207" s="955"/>
    </row>
    <row r="208" spans="1:8">
      <c r="B208" s="1000"/>
      <c r="G208" s="955"/>
    </row>
    <row r="209" spans="1:7">
      <c r="B209" s="999"/>
    </row>
    <row r="210" spans="1:7">
      <c r="A210" s="868" t="s">
        <v>2780</v>
      </c>
      <c r="B210" s="16" t="s">
        <v>2646</v>
      </c>
      <c r="C210" s="947" t="s">
        <v>2862</v>
      </c>
      <c r="D210" s="359"/>
      <c r="E210" s="359"/>
      <c r="F210" s="359"/>
      <c r="G210" s="868" t="s">
        <v>2730</v>
      </c>
    </row>
    <row r="211" spans="1:7" ht="43.2">
      <c r="A211" s="359"/>
      <c r="B211" s="981" t="str">
        <f>_xlfn.TEXTJOIN(", ",TRUE,IF(ISNUMBER(SEARCH("Bucco-dentaire",B22)),"Dentiste",""),IF((ISNUMBER(SEARCH("Gynécologie",B22)))*(AUTOQUESTIONNAIRE!F65&lt;&gt;1),"Gynécologue",""),IF(ISNUMBER(SEARCH("Ophtalmologie",B22)),"Ophtalmologue",""))</f>
        <v>Dentiste</v>
      </c>
      <c r="C211" s="959" t="str">
        <f>IF(LEN(TRIM(B211))&gt;0,"Oui","Non")</f>
        <v>Oui</v>
      </c>
      <c r="D211" s="359"/>
      <c r="E211" s="359"/>
      <c r="F211" s="359"/>
      <c r="G211" s="939" t="s">
        <v>2869</v>
      </c>
    </row>
    <row r="212" spans="1:7">
      <c r="B212" s="1000"/>
      <c r="G212" s="841"/>
    </row>
    <row r="213" spans="1:7">
      <c r="B213" s="1000"/>
      <c r="G213" s="841"/>
    </row>
    <row r="214" spans="1:7">
      <c r="B214" s="1000"/>
      <c r="G214" s="841"/>
    </row>
    <row r="215" spans="1:7">
      <c r="B215" s="1000"/>
      <c r="G215" s="841"/>
    </row>
    <row r="216" spans="1:7">
      <c r="B216" s="1000"/>
      <c r="G216" s="841"/>
    </row>
    <row r="218" spans="1:7">
      <c r="A218" s="952" t="s">
        <v>2864</v>
      </c>
      <c r="B218" s="149"/>
      <c r="C218" s="359"/>
      <c r="D218" s="359"/>
      <c r="E218" s="359"/>
      <c r="F218" s="359"/>
      <c r="G218" s="953" t="s">
        <v>2830</v>
      </c>
    </row>
    <row r="219" spans="1:7">
      <c r="A219" s="559" t="s">
        <v>2761</v>
      </c>
      <c r="B219" s="16" t="s">
        <v>2646</v>
      </c>
      <c r="C219" s="565"/>
      <c r="D219" s="565"/>
      <c r="E219" s="565"/>
      <c r="F219" s="565"/>
      <c r="G219" s="559" t="s">
        <v>2730</v>
      </c>
    </row>
    <row r="220" spans="1:7">
      <c r="A220" s="565"/>
      <c r="B220" s="981" t="str">
        <f>IF(ISNUMBER(SEARCH("VitaD",B32)),A43,"")</f>
        <v/>
      </c>
      <c r="C220" s="565"/>
      <c r="D220" s="565"/>
      <c r="E220" s="565"/>
      <c r="F220" s="565"/>
      <c r="G220" s="958" t="str">
        <f>IF(ISNUMBER(SEARCH("VitaD",B32)),G43,"")</f>
        <v/>
      </c>
    </row>
    <row r="221" spans="1:7">
      <c r="A221" s="565"/>
      <c r="B221" s="981" t="str">
        <f>IF(ISNUMBER(SEARCH("B12",B32)),A42,"")</f>
        <v/>
      </c>
      <c r="C221" s="565"/>
      <c r="D221" s="565"/>
      <c r="E221" s="565"/>
      <c r="F221" s="565"/>
      <c r="G221" s="958" t="str">
        <f>IF(ISNUMBER(SEARCH("B12",B32)),G42,"")</f>
        <v/>
      </c>
    </row>
    <row r="222" spans="1:7">
      <c r="A222" s="565"/>
      <c r="B222" s="981" t="str">
        <f>IF(ISNUMBER(SEARCH("B6",B32)),A45,"")</f>
        <v/>
      </c>
      <c r="C222" s="565"/>
      <c r="D222" s="565"/>
      <c r="E222" s="565"/>
      <c r="F222" s="565"/>
      <c r="G222" s="958" t="str">
        <f>IF(ISNUMBER(SEARCH("B6",B32)),G45,"")</f>
        <v/>
      </c>
    </row>
    <row r="223" spans="1:7">
      <c r="A223" s="565"/>
      <c r="B223" s="981" t="str">
        <f>IF(ISNUMBER(SEARCH("ubiquinol",B32)),A44,"")</f>
        <v>Ubiquinol</v>
      </c>
      <c r="C223" s="565"/>
      <c r="D223" s="565"/>
      <c r="E223" s="565"/>
      <c r="F223" s="565"/>
      <c r="G223" s="958" t="str">
        <f>IF(ISNUMBER(SEARCH("B6",B32)),G44,"")</f>
        <v/>
      </c>
    </row>
  </sheetData>
  <mergeCells count="4">
    <mergeCell ref="G204:G205"/>
    <mergeCell ref="G159:G163"/>
    <mergeCell ref="G169:G171"/>
    <mergeCell ref="G177:G180"/>
  </mergeCells>
  <conditionalFormatting sqref="B68:B87">
    <cfRule type="colorScale" priority="7">
      <colorScale>
        <cfvo type="min"/>
        <cfvo type="percentile" val="50"/>
        <cfvo type="max"/>
        <color rgb="FF63BE7B"/>
        <color rgb="FFFFEB84"/>
        <color rgb="FFF8696B"/>
      </colorScale>
    </cfRule>
    <cfRule type="colorScale" priority="8">
      <colorScale>
        <cfvo type="min"/>
        <cfvo type="percentile" val="50"/>
        <cfvo type="max"/>
        <color rgb="FF63BE7B"/>
        <color rgb="FFFFEB84"/>
        <color rgb="FFF8696B"/>
      </colorScale>
    </cfRule>
  </conditionalFormatting>
  <conditionalFormatting sqref="B91:B98">
    <cfRule type="colorScale" priority="6">
      <colorScale>
        <cfvo type="min"/>
        <cfvo type="percentile" val="50"/>
        <cfvo type="max"/>
        <color rgb="FFF8696B"/>
        <color rgb="FFFFEB84"/>
        <color rgb="FF63BE7B"/>
      </colorScale>
    </cfRule>
  </conditionalFormatting>
  <conditionalFormatting sqref="B136:B146">
    <cfRule type="colorScale" priority="1">
      <colorScale>
        <cfvo type="min"/>
        <cfvo type="percentile" val="50"/>
        <cfvo type="max"/>
        <color rgb="FF63BE7B"/>
        <color rgb="FFFFEB84"/>
        <color rgb="FFF8696B"/>
      </colorScale>
    </cfRule>
    <cfRule type="colorScale" priority="2">
      <colorScale>
        <cfvo type="min"/>
        <cfvo type="percentile" val="50"/>
        <cfvo type="max"/>
        <color rgb="FF63BE7B"/>
        <color rgb="FFFFEB84"/>
        <color rgb="FFF8696B"/>
      </colorScale>
    </cfRule>
    <cfRule type="colorScale" priority="3">
      <colorScale>
        <cfvo type="min"/>
        <cfvo type="percentile" val="50"/>
        <cfvo type="max"/>
        <color rgb="FFF8696B"/>
        <color rgb="FFFFEB84"/>
        <color rgb="FF63BE7B"/>
      </colorScale>
    </cfRule>
    <cfRule type="colorScale" priority="4">
      <colorScale>
        <cfvo type="min"/>
        <cfvo type="percentile" val="50"/>
        <cfvo type="max"/>
        <color rgb="FFF8696B"/>
        <color rgb="FFFFEB84"/>
        <color rgb="FF63BE7B"/>
      </colorScale>
    </cfRule>
    <cfRule type="colorScale" priority="5">
      <colorScale>
        <cfvo type="min"/>
        <cfvo type="percentile" val="50"/>
        <cfvo type="max"/>
        <color rgb="FF63BE7B"/>
        <color rgb="FFFFEB84"/>
        <color rgb="FFF8696B"/>
      </colorScale>
    </cfRule>
  </conditionalFormatting>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48571-2A71-4440-ACFB-DEC2D9C6D01A}">
  <sheetPr codeName="Feuil10">
    <tabColor rgb="FF9966FF"/>
    <pageSetUpPr fitToPage="1"/>
  </sheetPr>
  <dimension ref="A1:K164"/>
  <sheetViews>
    <sheetView zoomScale="64" zoomScaleNormal="64" workbookViewId="0">
      <pane ySplit="1" topLeftCell="A161" activePane="bottomLeft" state="frozen"/>
      <selection pane="bottomLeft" activeCell="C158" sqref="C158"/>
    </sheetView>
  </sheetViews>
  <sheetFormatPr baseColWidth="10" defaultColWidth="10.88671875" defaultRowHeight="21"/>
  <cols>
    <col min="1" max="1" width="69.88671875" style="443" customWidth="1"/>
    <col min="2" max="2" width="16.5546875" style="444" customWidth="1"/>
    <col min="3" max="3" width="144.44140625" style="445" customWidth="1"/>
    <col min="4" max="4" width="11.88671875" style="462" customWidth="1"/>
    <col min="5" max="5" width="15.77734375" style="443" customWidth="1"/>
    <col min="6" max="6" width="15.5546875" style="443" customWidth="1"/>
    <col min="7" max="7" width="17.109375" style="443" customWidth="1"/>
    <col min="8" max="16384" width="10.88671875" style="443"/>
  </cols>
  <sheetData>
    <row r="1" spans="1:8" ht="35.700000000000003" customHeight="1">
      <c r="A1" s="443" t="s">
        <v>98</v>
      </c>
      <c r="B1" s="444" t="s">
        <v>360</v>
      </c>
      <c r="C1" s="445" t="s">
        <v>300</v>
      </c>
      <c r="D1" s="683" t="s">
        <v>2032</v>
      </c>
      <c r="F1" s="443" t="s">
        <v>361</v>
      </c>
    </row>
    <row r="2" spans="1:8" s="453" customFormat="1">
      <c r="A2" s="446" t="s">
        <v>291</v>
      </c>
      <c r="B2" s="447"/>
      <c r="C2" s="448"/>
      <c r="D2" s="683"/>
      <c r="E2" s="449" t="s">
        <v>362</v>
      </c>
      <c r="F2" s="450" t="s">
        <v>364</v>
      </c>
      <c r="G2" s="451" t="s">
        <v>363</v>
      </c>
      <c r="H2" s="452" t="s">
        <v>495</v>
      </c>
    </row>
    <row r="3" spans="1:8" s="453" customFormat="1" ht="105">
      <c r="A3" s="454" t="s">
        <v>496</v>
      </c>
      <c r="B3" s="447">
        <f>AUTOQUESTIONNAIRE!F6-100-((AUTOQUESTIONNAIRE!F6-150)/4)</f>
        <v>72.5</v>
      </c>
      <c r="C3" s="455" t="s">
        <v>313</v>
      </c>
      <c r="D3" s="683" t="s">
        <v>2036</v>
      </c>
      <c r="E3" s="443"/>
      <c r="F3" s="443" t="s">
        <v>365</v>
      </c>
      <c r="G3" s="443"/>
      <c r="H3" s="452"/>
    </row>
    <row r="4" spans="1:8" ht="105">
      <c r="A4" s="456" t="s">
        <v>292</v>
      </c>
      <c r="B4" s="444">
        <f>AUTOQUESTIONNAIRE!H6*100</f>
        <v>37.037037037037038</v>
      </c>
      <c r="C4" s="445" t="s">
        <v>275</v>
      </c>
      <c r="D4" s="683" t="s">
        <v>2036</v>
      </c>
      <c r="E4" s="449" t="s">
        <v>368</v>
      </c>
      <c r="F4" s="450" t="s">
        <v>367</v>
      </c>
      <c r="G4" s="451" t="s">
        <v>366</v>
      </c>
      <c r="H4" s="452" t="s">
        <v>495</v>
      </c>
    </row>
    <row r="5" spans="1:8" ht="126">
      <c r="A5" s="967" t="s">
        <v>2941</v>
      </c>
      <c r="B5" s="444">
        <f>AUTOQUESTIONNAIRE!F215</f>
        <v>80</v>
      </c>
      <c r="C5" s="457" t="s">
        <v>2943</v>
      </c>
      <c r="D5" s="796" t="s">
        <v>2036</v>
      </c>
      <c r="E5" s="449" t="s">
        <v>2944</v>
      </c>
      <c r="F5" s="450" t="s">
        <v>2946</v>
      </c>
      <c r="G5" s="451" t="s">
        <v>2945</v>
      </c>
      <c r="H5" s="452" t="s">
        <v>495</v>
      </c>
    </row>
    <row r="6" spans="1:8" ht="105">
      <c r="A6" s="1001"/>
      <c r="B6" s="1001"/>
      <c r="C6" s="1001"/>
      <c r="D6" s="797" t="s">
        <v>2036</v>
      </c>
      <c r="E6" s="449" t="s">
        <v>2942</v>
      </c>
      <c r="F6" s="450" t="s">
        <v>370</v>
      </c>
      <c r="G6" s="451" t="s">
        <v>371</v>
      </c>
      <c r="H6" s="452" t="s">
        <v>495</v>
      </c>
    </row>
    <row r="7" spans="1:8" ht="84">
      <c r="A7" s="446" t="s">
        <v>499</v>
      </c>
      <c r="B7" s="444">
        <f>AUTOQUESTIONNAIRE!F218</f>
        <v>0</v>
      </c>
      <c r="C7" s="457" t="s">
        <v>276</v>
      </c>
      <c r="D7" s="683" t="s">
        <v>2043</v>
      </c>
      <c r="E7" s="449" t="s">
        <v>372</v>
      </c>
      <c r="F7" s="450" t="s">
        <v>373</v>
      </c>
      <c r="G7" s="451" t="s">
        <v>374</v>
      </c>
      <c r="H7" s="452" t="s">
        <v>495</v>
      </c>
    </row>
    <row r="8" spans="1:8" ht="84">
      <c r="A8" s="446" t="s">
        <v>500</v>
      </c>
      <c r="B8" s="444">
        <f>AUTOQUESTIONNAIRE!F219</f>
        <v>0</v>
      </c>
      <c r="C8" s="457" t="s">
        <v>277</v>
      </c>
      <c r="D8" s="683" t="s">
        <v>2043</v>
      </c>
      <c r="E8" s="449" t="s">
        <v>369</v>
      </c>
      <c r="F8" s="450" t="s">
        <v>375</v>
      </c>
      <c r="G8" s="451" t="s">
        <v>376</v>
      </c>
      <c r="H8" s="452" t="s">
        <v>495</v>
      </c>
    </row>
    <row r="9" spans="1:8" s="463" customFormat="1">
      <c r="A9" s="459" t="s">
        <v>232</v>
      </c>
      <c r="B9" s="460"/>
      <c r="C9" s="461"/>
      <c r="D9" s="462"/>
      <c r="E9" s="443"/>
      <c r="F9" s="443"/>
      <c r="G9" s="443"/>
      <c r="H9" s="462"/>
    </row>
    <row r="10" spans="1:8" ht="105">
      <c r="A10" s="464" t="s">
        <v>587</v>
      </c>
      <c r="B10" s="444">
        <f>ImportBiologie!H57</f>
        <v>2.0049999999999999</v>
      </c>
      <c r="C10" s="455" t="s">
        <v>278</v>
      </c>
      <c r="D10" s="683" t="s">
        <v>2038</v>
      </c>
      <c r="F10" s="443" t="s">
        <v>365</v>
      </c>
      <c r="H10" s="452" t="s">
        <v>495</v>
      </c>
    </row>
    <row r="11" spans="1:8" ht="105">
      <c r="A11" s="464" t="s">
        <v>590</v>
      </c>
      <c r="B11" s="444">
        <f>B10*0.86</f>
        <v>1.7242999999999999</v>
      </c>
      <c r="C11" s="455" t="s">
        <v>279</v>
      </c>
      <c r="D11" s="683" t="s">
        <v>2038</v>
      </c>
      <c r="F11" s="443" t="s">
        <v>365</v>
      </c>
      <c r="H11" s="452" t="s">
        <v>495</v>
      </c>
    </row>
    <row r="12" spans="1:8" ht="105">
      <c r="A12" s="464" t="s">
        <v>588</v>
      </c>
      <c r="B12" s="444">
        <f>B10*1.14</f>
        <v>2.2856999999999998</v>
      </c>
      <c r="C12" s="455" t="s">
        <v>280</v>
      </c>
      <c r="D12" s="683" t="s">
        <v>2038</v>
      </c>
      <c r="F12" s="443" t="s">
        <v>365</v>
      </c>
      <c r="H12" s="452" t="s">
        <v>495</v>
      </c>
    </row>
    <row r="13" spans="1:8" ht="84">
      <c r="A13" s="465" t="s">
        <v>293</v>
      </c>
      <c r="B13" s="466">
        <f>ImportBiologie!C41</f>
        <v>0</v>
      </c>
      <c r="C13" s="445" t="s">
        <v>380</v>
      </c>
      <c r="D13" s="683" t="s">
        <v>2039</v>
      </c>
      <c r="E13" s="449" t="s">
        <v>377</v>
      </c>
      <c r="F13" s="450" t="s">
        <v>379</v>
      </c>
      <c r="G13" s="451" t="s">
        <v>378</v>
      </c>
      <c r="H13" s="452" t="s">
        <v>495</v>
      </c>
    </row>
    <row r="14" spans="1:8" ht="105">
      <c r="A14" s="464" t="s">
        <v>501</v>
      </c>
      <c r="B14" s="466">
        <f>ImportBiologie!C35</f>
        <v>15</v>
      </c>
      <c r="C14" s="457" t="s">
        <v>384</v>
      </c>
      <c r="D14" s="683" t="s">
        <v>2038</v>
      </c>
      <c r="E14" s="449" t="s">
        <v>381</v>
      </c>
      <c r="F14" s="450" t="s">
        <v>382</v>
      </c>
      <c r="G14" s="451" t="s">
        <v>383</v>
      </c>
      <c r="H14" s="452" t="s">
        <v>495</v>
      </c>
    </row>
    <row r="15" spans="1:8" s="470" customFormat="1">
      <c r="A15" s="467" t="s">
        <v>294</v>
      </c>
      <c r="B15" s="468"/>
      <c r="C15" s="469"/>
      <c r="D15" s="462"/>
      <c r="E15" s="443"/>
      <c r="F15" s="443"/>
      <c r="G15" s="443"/>
      <c r="H15" s="462"/>
    </row>
    <row r="16" spans="1:8" ht="105">
      <c r="A16" s="471" t="s">
        <v>502</v>
      </c>
      <c r="B16" s="444">
        <f>ImportBiologie!H38/8.5</f>
        <v>0.49411764705882355</v>
      </c>
      <c r="C16" s="472" t="s">
        <v>388</v>
      </c>
      <c r="D16" s="683" t="s">
        <v>2036</v>
      </c>
      <c r="E16" s="449" t="s">
        <v>387</v>
      </c>
      <c r="F16" s="450" t="s">
        <v>386</v>
      </c>
      <c r="G16" s="451" t="s">
        <v>385</v>
      </c>
      <c r="H16" s="452" t="s">
        <v>495</v>
      </c>
    </row>
    <row r="17" spans="1:8" ht="63">
      <c r="A17" s="967" t="s">
        <v>503</v>
      </c>
      <c r="B17" s="444" t="str">
        <f>IF(RRImmédiat!G41&lt;0.99,"Faible",IF(RRImmédiat!G41&gt;1.2,"Elevé","Intermédiaire"))</f>
        <v>Intermédiaire</v>
      </c>
      <c r="C17" s="472" t="s">
        <v>2935</v>
      </c>
      <c r="D17" s="683" t="s">
        <v>2040</v>
      </c>
      <c r="E17" s="449" t="s">
        <v>637</v>
      </c>
      <c r="F17" s="450" t="s">
        <v>2936</v>
      </c>
      <c r="G17" s="451" t="s">
        <v>639</v>
      </c>
      <c r="H17" s="452" t="s">
        <v>495</v>
      </c>
    </row>
    <row r="18" spans="1:8" s="476" customFormat="1">
      <c r="A18" s="473" t="s">
        <v>295</v>
      </c>
      <c r="B18" s="474"/>
      <c r="C18" s="475"/>
      <c r="D18" s="462"/>
      <c r="E18" s="449"/>
      <c r="F18" s="450"/>
      <c r="G18" s="451"/>
      <c r="H18" s="452" t="s">
        <v>495</v>
      </c>
    </row>
    <row r="19" spans="1:8" ht="147">
      <c r="A19" s="477" t="s">
        <v>504</v>
      </c>
      <c r="B19" s="458">
        <f>ImportBiologie!C2</f>
        <v>0</v>
      </c>
      <c r="C19" s="472" t="s">
        <v>537</v>
      </c>
      <c r="D19" s="683" t="s">
        <v>2037</v>
      </c>
      <c r="E19" s="449" t="s">
        <v>540</v>
      </c>
      <c r="F19" s="450" t="s">
        <v>541</v>
      </c>
      <c r="G19" s="451" t="s">
        <v>444</v>
      </c>
      <c r="H19" s="452" t="s">
        <v>495</v>
      </c>
    </row>
    <row r="20" spans="1:8" ht="147">
      <c r="A20" s="477" t="s">
        <v>505</v>
      </c>
      <c r="B20" s="478">
        <f>ImportBiologie!C3</f>
        <v>6</v>
      </c>
      <c r="C20" s="457" t="s">
        <v>390</v>
      </c>
      <c r="D20" s="683" t="s">
        <v>2037</v>
      </c>
      <c r="E20" s="449" t="s">
        <v>391</v>
      </c>
      <c r="F20" s="450"/>
      <c r="G20" s="451"/>
      <c r="H20" s="452" t="s">
        <v>495</v>
      </c>
    </row>
    <row r="21" spans="1:8" ht="147">
      <c r="A21" s="477" t="s">
        <v>506</v>
      </c>
      <c r="B21" s="444">
        <f>ImportBiologie!C4</f>
        <v>1</v>
      </c>
      <c r="C21" s="457" t="s">
        <v>398</v>
      </c>
      <c r="D21" s="683" t="s">
        <v>2037</v>
      </c>
      <c r="E21" s="449" t="s">
        <v>400</v>
      </c>
      <c r="F21" s="450" t="s">
        <v>401</v>
      </c>
      <c r="G21" s="451" t="s">
        <v>399</v>
      </c>
      <c r="H21" s="452" t="s">
        <v>495</v>
      </c>
    </row>
    <row r="22" spans="1:8" ht="147">
      <c r="A22" s="477" t="s">
        <v>507</v>
      </c>
      <c r="B22" s="444">
        <f>ImportBiologie!C5</f>
        <v>5</v>
      </c>
      <c r="C22" s="457" t="s">
        <v>281</v>
      </c>
      <c r="D22" s="683" t="s">
        <v>2037</v>
      </c>
      <c r="E22" s="449" t="s">
        <v>392</v>
      </c>
      <c r="F22" s="450" t="s">
        <v>396</v>
      </c>
      <c r="G22" s="451" t="s">
        <v>397</v>
      </c>
      <c r="H22" s="452" t="s">
        <v>495</v>
      </c>
    </row>
    <row r="23" spans="1:8" ht="147">
      <c r="A23" s="477" t="s">
        <v>508</v>
      </c>
      <c r="B23" s="444">
        <f>ImportBiologie!C6</f>
        <v>3</v>
      </c>
      <c r="C23" s="457" t="s">
        <v>282</v>
      </c>
      <c r="D23" s="683" t="s">
        <v>2037</v>
      </c>
      <c r="E23" s="449" t="s">
        <v>393</v>
      </c>
      <c r="F23" s="450" t="s">
        <v>394</v>
      </c>
      <c r="G23" s="451" t="s">
        <v>395</v>
      </c>
      <c r="H23" s="452" t="s">
        <v>495</v>
      </c>
    </row>
    <row r="24" spans="1:8" ht="126">
      <c r="A24" s="477" t="s">
        <v>509</v>
      </c>
      <c r="B24" s="478">
        <f>ImportBiologie!C7</f>
        <v>2</v>
      </c>
      <c r="C24" s="457" t="s">
        <v>283</v>
      </c>
      <c r="D24" s="683" t="s">
        <v>1032</v>
      </c>
      <c r="E24" s="449" t="s">
        <v>391</v>
      </c>
      <c r="F24" s="479" t="s">
        <v>406</v>
      </c>
      <c r="G24" s="451" t="s">
        <v>402</v>
      </c>
      <c r="H24" s="452" t="s">
        <v>495</v>
      </c>
    </row>
    <row r="25" spans="1:8" ht="63">
      <c r="A25" s="477" t="s">
        <v>510</v>
      </c>
      <c r="B25" s="458" t="str">
        <f>ImportBiologie!H27</f>
        <v>L</v>
      </c>
      <c r="C25" s="472" t="s">
        <v>403</v>
      </c>
      <c r="D25" s="683" t="s">
        <v>1032</v>
      </c>
      <c r="E25" s="458" t="s">
        <v>405</v>
      </c>
      <c r="F25" s="450" t="s">
        <v>407</v>
      </c>
      <c r="G25" s="451" t="s">
        <v>404</v>
      </c>
      <c r="H25" s="452" t="s">
        <v>495</v>
      </c>
    </row>
    <row r="26" spans="1:8" ht="63">
      <c r="A26" s="477" t="s">
        <v>511</v>
      </c>
      <c r="B26" s="466">
        <f>ImportBiologie!H26</f>
        <v>0</v>
      </c>
      <c r="C26" s="445" t="s">
        <v>408</v>
      </c>
      <c r="D26" s="683" t="s">
        <v>1032</v>
      </c>
      <c r="E26" s="449" t="s">
        <v>409</v>
      </c>
      <c r="F26" s="450" t="s">
        <v>410</v>
      </c>
      <c r="G26" s="451" t="s">
        <v>411</v>
      </c>
      <c r="H26" s="452" t="s">
        <v>495</v>
      </c>
    </row>
    <row r="27" spans="1:8" ht="147">
      <c r="A27" s="477" t="s">
        <v>512</v>
      </c>
      <c r="B27" s="466">
        <f>ImportBiologie!C10</f>
        <v>0</v>
      </c>
      <c r="C27" s="457" t="s">
        <v>284</v>
      </c>
      <c r="D27" s="683" t="s">
        <v>2037</v>
      </c>
      <c r="E27" s="449" t="s">
        <v>412</v>
      </c>
      <c r="F27" s="450" t="s">
        <v>414</v>
      </c>
      <c r="G27" s="451" t="s">
        <v>413</v>
      </c>
      <c r="H27" s="452" t="s">
        <v>495</v>
      </c>
    </row>
    <row r="28" spans="1:8" ht="147">
      <c r="A28" s="465" t="s">
        <v>333</v>
      </c>
      <c r="B28" s="480">
        <f>ImportBiologie!C9</f>
        <v>0</v>
      </c>
      <c r="C28" s="445" t="s">
        <v>418</v>
      </c>
      <c r="D28" s="683" t="s">
        <v>2037</v>
      </c>
      <c r="E28" s="449" t="s">
        <v>415</v>
      </c>
      <c r="F28" s="450" t="s">
        <v>417</v>
      </c>
      <c r="G28" s="451" t="s">
        <v>416</v>
      </c>
      <c r="H28" s="452" t="s">
        <v>495</v>
      </c>
    </row>
    <row r="29" spans="1:8" ht="105">
      <c r="A29" s="481" t="s">
        <v>1</v>
      </c>
      <c r="B29" s="444">
        <f>ImportBiologie!C11</f>
        <v>2.8</v>
      </c>
      <c r="C29" s="472" t="s">
        <v>343</v>
      </c>
      <c r="D29" s="796" t="s">
        <v>1053</v>
      </c>
      <c r="E29" s="449" t="s">
        <v>419</v>
      </c>
      <c r="F29" s="479" t="s">
        <v>421</v>
      </c>
      <c r="G29" s="451" t="s">
        <v>420</v>
      </c>
      <c r="H29" s="452" t="s">
        <v>495</v>
      </c>
    </row>
    <row r="30" spans="1:8" ht="105">
      <c r="A30" s="477" t="s">
        <v>513</v>
      </c>
      <c r="B30" s="466">
        <f>ImportBiologie!C12</f>
        <v>0</v>
      </c>
      <c r="C30" s="457" t="s">
        <v>423</v>
      </c>
      <c r="D30" s="683" t="s">
        <v>1027</v>
      </c>
      <c r="E30" s="482" t="s">
        <v>422</v>
      </c>
      <c r="F30" s="450" t="s">
        <v>431</v>
      </c>
      <c r="G30" s="451" t="s">
        <v>432</v>
      </c>
      <c r="H30" s="452" t="s">
        <v>495</v>
      </c>
    </row>
    <row r="31" spans="1:8" ht="63">
      <c r="A31" s="465" t="s">
        <v>296</v>
      </c>
      <c r="B31" s="480">
        <f>ImportBiologie!C13</f>
        <v>0</v>
      </c>
      <c r="C31" s="457" t="s">
        <v>426</v>
      </c>
      <c r="D31" s="683" t="s">
        <v>1027</v>
      </c>
      <c r="E31" s="449" t="s">
        <v>425</v>
      </c>
      <c r="F31" s="450" t="s">
        <v>427</v>
      </c>
      <c r="G31" s="451" t="s">
        <v>424</v>
      </c>
      <c r="H31" s="452" t="s">
        <v>495</v>
      </c>
    </row>
    <row r="32" spans="1:8" ht="63">
      <c r="A32" s="465" t="s">
        <v>297</v>
      </c>
      <c r="B32" s="480">
        <f>ImportBiologie!C14</f>
        <v>0</v>
      </c>
      <c r="C32" s="457" t="s">
        <v>428</v>
      </c>
      <c r="D32" s="683" t="s">
        <v>1027</v>
      </c>
      <c r="E32" s="449" t="s">
        <v>429</v>
      </c>
      <c r="F32" s="450" t="s">
        <v>430</v>
      </c>
      <c r="G32" s="451"/>
      <c r="H32" s="452" t="s">
        <v>495</v>
      </c>
    </row>
    <row r="33" spans="1:8" ht="63">
      <c r="A33" s="477" t="s">
        <v>1554</v>
      </c>
      <c r="B33" s="466">
        <f>ImportBiologie!C15</f>
        <v>0</v>
      </c>
      <c r="C33" s="457" t="s">
        <v>434</v>
      </c>
      <c r="D33" s="683" t="s">
        <v>1027</v>
      </c>
      <c r="E33" s="449" t="s">
        <v>433</v>
      </c>
      <c r="F33" s="450" t="s">
        <v>436</v>
      </c>
      <c r="G33" s="451" t="s">
        <v>435</v>
      </c>
      <c r="H33" s="452" t="s">
        <v>495</v>
      </c>
    </row>
    <row r="34" spans="1:8" ht="63">
      <c r="A34" s="477" t="s">
        <v>1555</v>
      </c>
      <c r="B34" s="466">
        <f>ImportBiologie!C16</f>
        <v>0</v>
      </c>
      <c r="C34" s="457" t="s">
        <v>437</v>
      </c>
      <c r="D34" s="683" t="s">
        <v>1027</v>
      </c>
      <c r="E34" s="449" t="s">
        <v>439</v>
      </c>
      <c r="F34" s="450"/>
      <c r="G34" s="451" t="s">
        <v>443</v>
      </c>
      <c r="H34" s="452" t="s">
        <v>495</v>
      </c>
    </row>
    <row r="35" spans="1:8" ht="63">
      <c r="A35" s="465" t="s">
        <v>1556</v>
      </c>
      <c r="B35" s="480">
        <f>ImportBiologie!C17</f>
        <v>0</v>
      </c>
      <c r="C35" s="457" t="s">
        <v>438</v>
      </c>
      <c r="D35" s="683" t="s">
        <v>1027</v>
      </c>
      <c r="E35" s="449" t="s">
        <v>440</v>
      </c>
      <c r="F35" s="450"/>
      <c r="G35" s="451" t="s">
        <v>444</v>
      </c>
      <c r="H35" s="452" t="s">
        <v>495</v>
      </c>
    </row>
    <row r="36" spans="1:8" ht="84">
      <c r="A36" s="477" t="s">
        <v>1557</v>
      </c>
      <c r="B36" s="466">
        <f>ImportBiologie!C18</f>
        <v>0</v>
      </c>
      <c r="C36" s="457" t="s">
        <v>445</v>
      </c>
      <c r="D36" s="683" t="s">
        <v>1027</v>
      </c>
      <c r="E36" s="449" t="s">
        <v>441</v>
      </c>
      <c r="F36" s="450" t="s">
        <v>446</v>
      </c>
      <c r="G36" s="451" t="s">
        <v>447</v>
      </c>
      <c r="H36" s="452" t="s">
        <v>495</v>
      </c>
    </row>
    <row r="37" spans="1:8" ht="63">
      <c r="A37" s="477" t="s">
        <v>1558</v>
      </c>
      <c r="B37" s="466">
        <f>ImportBiologie!C19</f>
        <v>200</v>
      </c>
      <c r="C37" s="457" t="s">
        <v>448</v>
      </c>
      <c r="D37" s="683" t="s">
        <v>1027</v>
      </c>
      <c r="E37" s="449" t="s">
        <v>442</v>
      </c>
      <c r="F37" s="450" t="s">
        <v>450</v>
      </c>
      <c r="G37" s="451" t="s">
        <v>449</v>
      </c>
      <c r="H37" s="452" t="s">
        <v>495</v>
      </c>
    </row>
    <row r="38" spans="1:8" ht="126">
      <c r="A38" s="477" t="s">
        <v>8</v>
      </c>
      <c r="B38" s="466">
        <f>ImportBiologie!C21</f>
        <v>0</v>
      </c>
      <c r="C38" s="457" t="s">
        <v>514</v>
      </c>
      <c r="D38" s="683" t="s">
        <v>1027</v>
      </c>
      <c r="E38" s="449" t="s">
        <v>452</v>
      </c>
      <c r="F38" s="450" t="s">
        <v>453</v>
      </c>
      <c r="G38" s="451" t="s">
        <v>454</v>
      </c>
      <c r="H38" s="452" t="s">
        <v>495</v>
      </c>
    </row>
    <row r="39" spans="1:8" ht="126">
      <c r="A39" s="483" t="s">
        <v>17</v>
      </c>
      <c r="B39" s="458">
        <f>ImportBiologie!C23</f>
        <v>10</v>
      </c>
      <c r="C39" s="457" t="s">
        <v>285</v>
      </c>
      <c r="D39" s="683" t="s">
        <v>1036</v>
      </c>
      <c r="E39" s="482" t="s">
        <v>457</v>
      </c>
      <c r="F39" s="450" t="s">
        <v>459</v>
      </c>
      <c r="G39" s="451" t="s">
        <v>458</v>
      </c>
      <c r="H39" s="452" t="s">
        <v>495</v>
      </c>
    </row>
    <row r="40" spans="1:8" ht="126">
      <c r="A40" s="483" t="s">
        <v>18</v>
      </c>
      <c r="B40" s="458">
        <f>ImportBiologie!C24</f>
        <v>10</v>
      </c>
      <c r="C40" s="457" t="s">
        <v>286</v>
      </c>
      <c r="D40" s="683" t="s">
        <v>1036</v>
      </c>
      <c r="E40" s="482" t="s">
        <v>457</v>
      </c>
      <c r="F40" s="450" t="s">
        <v>456</v>
      </c>
      <c r="G40" s="451" t="s">
        <v>455</v>
      </c>
      <c r="H40" s="452" t="s">
        <v>495</v>
      </c>
    </row>
    <row r="41" spans="1:8" ht="63">
      <c r="A41" s="483" t="s">
        <v>515</v>
      </c>
      <c r="B41" s="458">
        <f>ImportBiologie!C25</f>
        <v>0</v>
      </c>
      <c r="C41" s="484" t="s">
        <v>287</v>
      </c>
      <c r="D41" s="683" t="s">
        <v>1036</v>
      </c>
      <c r="E41" s="449" t="s">
        <v>460</v>
      </c>
      <c r="F41" s="450" t="s">
        <v>461</v>
      </c>
      <c r="G41" s="451" t="s">
        <v>462</v>
      </c>
      <c r="H41" s="452" t="s">
        <v>495</v>
      </c>
    </row>
    <row r="42" spans="1:8" ht="63">
      <c r="A42" s="483" t="s">
        <v>586</v>
      </c>
      <c r="B42" s="458">
        <f>B39/B40</f>
        <v>1</v>
      </c>
      <c r="C42" s="455" t="s">
        <v>328</v>
      </c>
      <c r="D42" s="683" t="s">
        <v>1036</v>
      </c>
      <c r="E42" s="449" t="s">
        <v>465</v>
      </c>
      <c r="F42" s="450" t="s">
        <v>463</v>
      </c>
      <c r="G42" s="451" t="s">
        <v>464</v>
      </c>
      <c r="H42" s="452" t="s">
        <v>495</v>
      </c>
    </row>
    <row r="43" spans="1:8" ht="63">
      <c r="A43" s="483" t="s">
        <v>239</v>
      </c>
      <c r="B43" s="458">
        <f>ImportBiologie!H30</f>
        <v>1.0277402395547233</v>
      </c>
      <c r="C43" s="445" t="s">
        <v>329</v>
      </c>
      <c r="D43" s="683" t="s">
        <v>1036</v>
      </c>
      <c r="E43" s="449" t="s">
        <v>466</v>
      </c>
      <c r="F43" s="450" t="s">
        <v>467</v>
      </c>
      <c r="G43" s="451" t="s">
        <v>468</v>
      </c>
      <c r="H43" s="452" t="s">
        <v>495</v>
      </c>
    </row>
    <row r="44" spans="1:8" ht="63">
      <c r="A44" s="485" t="s">
        <v>516</v>
      </c>
      <c r="B44" s="466">
        <f>ImportBiologie!C31</f>
        <v>0</v>
      </c>
      <c r="C44" s="445" t="s">
        <v>1559</v>
      </c>
      <c r="D44" s="683" t="s">
        <v>2035</v>
      </c>
      <c r="E44" s="449" t="s">
        <v>469</v>
      </c>
      <c r="F44" s="450"/>
      <c r="G44" s="451" t="s">
        <v>470</v>
      </c>
      <c r="H44" s="452" t="s">
        <v>495</v>
      </c>
    </row>
    <row r="45" spans="1:8" ht="147">
      <c r="A45" s="473" t="s">
        <v>517</v>
      </c>
      <c r="B45" s="478">
        <f>ImportBiologie!C33</f>
        <v>0</v>
      </c>
      <c r="C45" s="457" t="s">
        <v>344</v>
      </c>
      <c r="D45" s="683" t="s">
        <v>2039</v>
      </c>
      <c r="E45" s="449" t="s">
        <v>471</v>
      </c>
      <c r="F45" s="450" t="s">
        <v>472</v>
      </c>
      <c r="G45" s="451" t="s">
        <v>473</v>
      </c>
      <c r="H45" s="452" t="s">
        <v>495</v>
      </c>
    </row>
    <row r="46" spans="1:8" ht="84">
      <c r="A46" s="485" t="s">
        <v>518</v>
      </c>
      <c r="B46" s="458">
        <f>ImportBiologie!C36</f>
        <v>45</v>
      </c>
      <c r="C46" s="457" t="s">
        <v>288</v>
      </c>
      <c r="D46" s="683" t="s">
        <v>2039</v>
      </c>
      <c r="E46" s="449" t="s">
        <v>474</v>
      </c>
      <c r="F46" s="486" t="s">
        <v>562</v>
      </c>
      <c r="G46" s="451" t="s">
        <v>475</v>
      </c>
      <c r="H46" s="452" t="s">
        <v>495</v>
      </c>
    </row>
    <row r="47" spans="1:8" ht="42">
      <c r="A47" s="485" t="s">
        <v>519</v>
      </c>
      <c r="B47" s="444">
        <f>ImportBiologie!C37</f>
        <v>0</v>
      </c>
      <c r="C47" s="457" t="s">
        <v>289</v>
      </c>
      <c r="D47" s="683" t="s">
        <v>2039</v>
      </c>
      <c r="E47" s="449" t="s">
        <v>476</v>
      </c>
      <c r="F47" s="450" t="s">
        <v>477</v>
      </c>
      <c r="G47" s="451" t="s">
        <v>389</v>
      </c>
      <c r="H47" s="452" t="s">
        <v>495</v>
      </c>
    </row>
    <row r="48" spans="1:8" ht="42">
      <c r="A48" s="476" t="s">
        <v>520</v>
      </c>
      <c r="B48" s="487">
        <f>ImportBiologie!H35</f>
        <v>1</v>
      </c>
      <c r="C48" s="488" t="s">
        <v>312</v>
      </c>
      <c r="D48" s="683" t="s">
        <v>2039</v>
      </c>
      <c r="E48" s="449" t="s">
        <v>393</v>
      </c>
      <c r="F48" s="450" t="s">
        <v>478</v>
      </c>
      <c r="G48" s="451" t="s">
        <v>464</v>
      </c>
      <c r="H48" s="452" t="s">
        <v>495</v>
      </c>
    </row>
    <row r="49" spans="1:8" ht="63">
      <c r="A49" s="481" t="s">
        <v>521</v>
      </c>
      <c r="B49" s="458">
        <f>ImportBiologie!J29</f>
        <v>0.11199999999999999</v>
      </c>
      <c r="C49" s="457" t="s">
        <v>332</v>
      </c>
      <c r="D49" s="796" t="s">
        <v>1053</v>
      </c>
      <c r="E49" s="449" t="s">
        <v>485</v>
      </c>
      <c r="F49" s="450" t="s">
        <v>486</v>
      </c>
      <c r="G49" s="451" t="s">
        <v>487</v>
      </c>
      <c r="H49" s="452" t="s">
        <v>495</v>
      </c>
    </row>
    <row r="50" spans="1:8" ht="63">
      <c r="A50" s="481" t="s">
        <v>522</v>
      </c>
      <c r="B50" s="458">
        <f>ImportBiologie!H32</f>
        <v>4.1999999999999993</v>
      </c>
      <c r="C50" s="457" t="s">
        <v>494</v>
      </c>
      <c r="D50" s="796" t="s">
        <v>1053</v>
      </c>
      <c r="E50" s="449" t="s">
        <v>419</v>
      </c>
      <c r="F50" s="479" t="s">
        <v>421</v>
      </c>
      <c r="G50" s="451" t="s">
        <v>420</v>
      </c>
      <c r="H50" s="452" t="s">
        <v>495</v>
      </c>
    </row>
    <row r="51" spans="1:8" ht="63">
      <c r="A51" s="485" t="s">
        <v>523</v>
      </c>
      <c r="B51" s="458" t="e">
        <f>ImportBiologie!C60</f>
        <v>#DIV/0!</v>
      </c>
      <c r="C51" s="457" t="s">
        <v>290</v>
      </c>
      <c r="D51" s="683" t="s">
        <v>1027</v>
      </c>
      <c r="E51" s="449" t="s">
        <v>488</v>
      </c>
      <c r="F51" s="450" t="s">
        <v>489</v>
      </c>
      <c r="G51" s="451"/>
      <c r="H51" s="452" t="s">
        <v>495</v>
      </c>
    </row>
    <row r="52" spans="1:8" ht="63">
      <c r="A52" s="476" t="s">
        <v>524</v>
      </c>
      <c r="B52" s="478">
        <f>ImportBiologie!C30</f>
        <v>0</v>
      </c>
      <c r="C52" s="445" t="s">
        <v>491</v>
      </c>
      <c r="D52" s="683" t="s">
        <v>2041</v>
      </c>
      <c r="E52" s="449" t="s">
        <v>492</v>
      </c>
      <c r="F52" s="450" t="s">
        <v>493</v>
      </c>
      <c r="G52" s="451" t="s">
        <v>451</v>
      </c>
      <c r="H52" s="452" t="s">
        <v>495</v>
      </c>
    </row>
    <row r="53" spans="1:8" s="492" customFormat="1">
      <c r="A53" s="489"/>
      <c r="B53" s="490"/>
      <c r="C53" s="491"/>
      <c r="D53" s="683"/>
      <c r="E53" s="449"/>
      <c r="F53" s="450"/>
      <c r="G53" s="451"/>
      <c r="H53" s="493"/>
    </row>
    <row r="54" spans="1:8" s="492" customFormat="1" ht="84">
      <c r="A54" s="489" t="s">
        <v>351</v>
      </c>
      <c r="B54" s="490">
        <f>ImportBiologie!C38</f>
        <v>0</v>
      </c>
      <c r="C54" s="491" t="s">
        <v>353</v>
      </c>
      <c r="D54" s="683" t="s">
        <v>2039</v>
      </c>
      <c r="E54" s="449" t="s">
        <v>347</v>
      </c>
      <c r="G54" s="451" t="s">
        <v>346</v>
      </c>
      <c r="H54" s="493" t="s">
        <v>495</v>
      </c>
    </row>
    <row r="55" spans="1:8" s="492" customFormat="1" ht="63">
      <c r="A55" s="489" t="s">
        <v>298</v>
      </c>
      <c r="B55" s="490">
        <f>ImportBiologie!C39</f>
        <v>0</v>
      </c>
      <c r="C55" s="491" t="s">
        <v>352</v>
      </c>
      <c r="D55" s="683" t="s">
        <v>1027</v>
      </c>
      <c r="E55" s="449" t="s">
        <v>347</v>
      </c>
      <c r="G55" s="451" t="s">
        <v>346</v>
      </c>
      <c r="H55" s="493" t="s">
        <v>495</v>
      </c>
    </row>
    <row r="56" spans="1:8" s="492" customFormat="1" ht="105">
      <c r="A56" s="489" t="s">
        <v>354</v>
      </c>
      <c r="B56" s="490">
        <f>ImportBiologie!C40</f>
        <v>0</v>
      </c>
      <c r="C56" s="491" t="s">
        <v>355</v>
      </c>
      <c r="D56" s="683" t="s">
        <v>2039</v>
      </c>
      <c r="E56" s="449" t="s">
        <v>347</v>
      </c>
      <c r="G56" s="451" t="s">
        <v>346</v>
      </c>
      <c r="H56" s="493" t="s">
        <v>495</v>
      </c>
    </row>
    <row r="57" spans="1:8" s="492" customFormat="1" ht="63">
      <c r="A57" s="489" t="s">
        <v>299</v>
      </c>
      <c r="B57" s="490">
        <f>ImportBiologie!C45</f>
        <v>0</v>
      </c>
      <c r="C57" s="491" t="s">
        <v>345</v>
      </c>
      <c r="D57" s="683" t="s">
        <v>2039</v>
      </c>
      <c r="E57" s="449" t="s">
        <v>479</v>
      </c>
      <c r="G57" s="451" t="s">
        <v>480</v>
      </c>
      <c r="H57" s="493" t="s">
        <v>495</v>
      </c>
    </row>
    <row r="58" spans="1:8" s="492" customFormat="1" ht="105">
      <c r="A58" s="489" t="s">
        <v>305</v>
      </c>
      <c r="B58" s="490">
        <f>ImportBiologie!C46</f>
        <v>0</v>
      </c>
      <c r="C58" s="491" t="s">
        <v>484</v>
      </c>
      <c r="D58" s="683" t="s">
        <v>2039</v>
      </c>
      <c r="E58" s="449" t="s">
        <v>483</v>
      </c>
      <c r="F58" s="450" t="s">
        <v>482</v>
      </c>
      <c r="G58" s="451"/>
      <c r="H58" s="493" t="s">
        <v>495</v>
      </c>
    </row>
    <row r="59" spans="1:8" s="492" customFormat="1" ht="84">
      <c r="A59" s="489" t="s">
        <v>356</v>
      </c>
      <c r="B59" s="490">
        <f>ImportBiologie!C51</f>
        <v>0</v>
      </c>
      <c r="C59" s="491" t="s">
        <v>554</v>
      </c>
      <c r="D59" s="683" t="s">
        <v>2039</v>
      </c>
      <c r="E59" s="449" t="s">
        <v>556</v>
      </c>
      <c r="G59" s="451" t="s">
        <v>558</v>
      </c>
      <c r="H59" s="493" t="s">
        <v>495</v>
      </c>
    </row>
    <row r="60" spans="1:8" s="492" customFormat="1" ht="63">
      <c r="A60" s="489" t="s">
        <v>357</v>
      </c>
      <c r="B60" s="490">
        <f>ImportBiologie!C52</f>
        <v>0</v>
      </c>
      <c r="C60" s="491" t="s">
        <v>555</v>
      </c>
      <c r="D60" s="683" t="s">
        <v>2039</v>
      </c>
      <c r="E60" s="449" t="s">
        <v>557</v>
      </c>
      <c r="G60" s="451" t="s">
        <v>558</v>
      </c>
      <c r="H60" s="493" t="s">
        <v>495</v>
      </c>
    </row>
    <row r="61" spans="1:8" s="492" customFormat="1" ht="63">
      <c r="A61" s="492" t="s">
        <v>358</v>
      </c>
      <c r="B61" s="490">
        <f>ImportBiologie!C50</f>
        <v>0</v>
      </c>
      <c r="C61" s="494" t="s">
        <v>359</v>
      </c>
      <c r="D61" s="683" t="s">
        <v>2039</v>
      </c>
      <c r="E61" s="449" t="s">
        <v>557</v>
      </c>
      <c r="G61" s="451" t="s">
        <v>558</v>
      </c>
      <c r="H61" s="493" t="s">
        <v>495</v>
      </c>
    </row>
    <row r="62" spans="1:8" s="492" customFormat="1" ht="168">
      <c r="A62" s="492" t="s">
        <v>525</v>
      </c>
      <c r="B62" s="490">
        <f>ImportBiologie!C42</f>
        <v>0</v>
      </c>
      <c r="C62" s="491" t="s">
        <v>589</v>
      </c>
      <c r="D62" s="683" t="s">
        <v>2039</v>
      </c>
      <c r="E62" s="449" t="s">
        <v>545</v>
      </c>
      <c r="G62" s="451" t="s">
        <v>544</v>
      </c>
    </row>
    <row r="63" spans="1:8" s="492" customFormat="1" ht="84">
      <c r="A63" s="492" t="s">
        <v>536</v>
      </c>
      <c r="B63" s="490">
        <f>ImportBiologie!C44</f>
        <v>0</v>
      </c>
      <c r="C63" s="495" t="s">
        <v>539</v>
      </c>
      <c r="D63" s="683" t="s">
        <v>2039</v>
      </c>
      <c r="E63" s="449"/>
      <c r="G63" s="451" t="s">
        <v>546</v>
      </c>
    </row>
    <row r="64" spans="1:8" s="492" customFormat="1" ht="105">
      <c r="A64" s="489" t="s">
        <v>534</v>
      </c>
      <c r="B64" s="490">
        <f>ImportBiologie!C76</f>
        <v>0</v>
      </c>
      <c r="C64" s="495" t="s">
        <v>584</v>
      </c>
      <c r="D64" s="797" t="s">
        <v>2041</v>
      </c>
      <c r="E64" s="449"/>
      <c r="G64" s="451"/>
    </row>
    <row r="65" spans="1:7" s="492" customFormat="1" ht="105">
      <c r="A65" s="489" t="s">
        <v>535</v>
      </c>
      <c r="B65" s="496">
        <f>ImportBiologie!C75</f>
        <v>0</v>
      </c>
      <c r="C65" s="495" t="s">
        <v>585</v>
      </c>
      <c r="D65" s="796" t="s">
        <v>2041</v>
      </c>
      <c r="E65" s="449"/>
      <c r="G65" s="451"/>
    </row>
    <row r="66" spans="1:7" s="492" customFormat="1" ht="105">
      <c r="A66" s="489" t="s">
        <v>591</v>
      </c>
      <c r="B66" s="490">
        <f>ImportBiologie!C69</f>
        <v>0</v>
      </c>
      <c r="C66" s="495" t="s">
        <v>531</v>
      </c>
      <c r="D66" s="683" t="s">
        <v>2038</v>
      </c>
      <c r="E66" s="449"/>
      <c r="G66" s="451" t="s">
        <v>550</v>
      </c>
    </row>
    <row r="67" spans="1:7" s="492" customFormat="1" ht="105">
      <c r="A67" s="489" t="s">
        <v>560</v>
      </c>
      <c r="B67" s="490">
        <f>ImportBiologie!C70</f>
        <v>0</v>
      </c>
      <c r="C67" s="495" t="s">
        <v>532</v>
      </c>
      <c r="D67" s="683" t="s">
        <v>2038</v>
      </c>
      <c r="E67" s="449"/>
      <c r="G67" s="451"/>
    </row>
    <row r="68" spans="1:7" s="492" customFormat="1" ht="105">
      <c r="A68" s="489" t="s">
        <v>561</v>
      </c>
      <c r="B68" s="490">
        <f>ImportBiologie!E70</f>
        <v>58</v>
      </c>
      <c r="C68" s="495" t="s">
        <v>533</v>
      </c>
      <c r="D68" s="683" t="s">
        <v>2038</v>
      </c>
      <c r="E68" s="449"/>
      <c r="G68" s="451"/>
    </row>
    <row r="69" spans="1:7" s="492" customFormat="1" ht="84">
      <c r="A69" s="492" t="s">
        <v>559</v>
      </c>
      <c r="B69" s="490">
        <f>ImportBiologie!C29</f>
        <v>0</v>
      </c>
      <c r="C69" s="495" t="s">
        <v>551</v>
      </c>
      <c r="D69" s="796" t="s">
        <v>2035</v>
      </c>
      <c r="E69" s="449"/>
      <c r="G69" s="451" t="s">
        <v>549</v>
      </c>
    </row>
    <row r="70" spans="1:7" s="492" customFormat="1" ht="63">
      <c r="A70" s="492" t="s">
        <v>209</v>
      </c>
      <c r="B70" s="490" t="e">
        <f>ImportBiologie!C62</f>
        <v>#DIV/0!</v>
      </c>
      <c r="C70" s="495" t="s">
        <v>529</v>
      </c>
      <c r="D70" s="796" t="s">
        <v>2035</v>
      </c>
      <c r="E70" s="449"/>
      <c r="G70" s="451"/>
    </row>
    <row r="71" spans="1:7" s="492" customFormat="1" ht="63">
      <c r="A71" s="492" t="s">
        <v>527</v>
      </c>
      <c r="B71" s="490" t="e">
        <f>ImportBiologie!C63</f>
        <v>#DIV/0!</v>
      </c>
      <c r="C71" s="495" t="s">
        <v>530</v>
      </c>
      <c r="D71" s="683" t="s">
        <v>2035</v>
      </c>
      <c r="E71" s="449"/>
      <c r="G71" s="451" t="s">
        <v>548</v>
      </c>
    </row>
    <row r="72" spans="1:7" s="492" customFormat="1" ht="147">
      <c r="A72" s="492" t="s">
        <v>538</v>
      </c>
      <c r="B72" s="490">
        <f>ImportBiologie!C87</f>
        <v>6</v>
      </c>
      <c r="C72" s="491" t="s">
        <v>543</v>
      </c>
      <c r="D72" s="683" t="s">
        <v>2037</v>
      </c>
      <c r="E72" s="449"/>
      <c r="G72" s="451" t="s">
        <v>547</v>
      </c>
    </row>
    <row r="73" spans="1:7" s="492" customFormat="1" ht="84">
      <c r="A73" s="492" t="s">
        <v>600</v>
      </c>
      <c r="B73" s="490" t="str">
        <f>ImportBiologie!N52</f>
        <v>Faible</v>
      </c>
      <c r="C73" s="445" t="s">
        <v>640</v>
      </c>
      <c r="D73" s="683" t="s">
        <v>2043</v>
      </c>
      <c r="E73" s="449" t="s">
        <v>637</v>
      </c>
      <c r="F73" s="450" t="s">
        <v>638</v>
      </c>
      <c r="G73" s="451" t="s">
        <v>639</v>
      </c>
    </row>
    <row r="74" spans="1:7" s="492" customFormat="1" ht="84">
      <c r="A74" s="497" t="s">
        <v>610</v>
      </c>
      <c r="B74" s="490">
        <f>AUTOQUESTIONNAIRE!F228</f>
        <v>0</v>
      </c>
      <c r="C74" s="498" t="s">
        <v>612</v>
      </c>
      <c r="D74" s="683" t="s">
        <v>2043</v>
      </c>
      <c r="E74" s="449" t="s">
        <v>624</v>
      </c>
      <c r="G74" s="451" t="s">
        <v>625</v>
      </c>
    </row>
    <row r="75" spans="1:7" s="492" customFormat="1" ht="84">
      <c r="A75" s="497" t="s">
        <v>611</v>
      </c>
      <c r="B75" s="490">
        <f>AUTOQUESTIONNAIRE!F229</f>
        <v>0</v>
      </c>
      <c r="C75" s="498" t="s">
        <v>612</v>
      </c>
      <c r="D75" s="683" t="s">
        <v>2043</v>
      </c>
      <c r="E75" s="449" t="s">
        <v>624</v>
      </c>
      <c r="G75" s="451" t="s">
        <v>625</v>
      </c>
    </row>
    <row r="76" spans="1:7" s="492" customFormat="1" ht="84">
      <c r="A76" s="453" t="s">
        <v>1746</v>
      </c>
      <c r="B76" s="490">
        <f>((AUTOQUESTIONNAIRE!F220-70)+2*(AUTOQUESTIONNAIRE!F221-AUTOQUESTIONNAIRE!F217))/10</f>
        <v>1.9</v>
      </c>
      <c r="C76" s="491" t="s">
        <v>616</v>
      </c>
      <c r="D76" s="683" t="s">
        <v>2043</v>
      </c>
      <c r="E76" s="449" t="s">
        <v>617</v>
      </c>
      <c r="G76" s="451" t="s">
        <v>618</v>
      </c>
    </row>
    <row r="77" spans="1:7" s="492" customFormat="1" ht="84">
      <c r="A77" s="969" t="s">
        <v>619</v>
      </c>
      <c r="B77" s="490">
        <f>AUTOQUESTIONNAIRE!F224-AUTOQUESTIONNAIRE!F223</f>
        <v>0</v>
      </c>
      <c r="C77" s="457" t="s">
        <v>2937</v>
      </c>
      <c r="D77" s="683" t="s">
        <v>2043</v>
      </c>
      <c r="E77" s="449"/>
      <c r="G77" s="451"/>
    </row>
    <row r="78" spans="1:7" s="492" customFormat="1" ht="84">
      <c r="A78" s="969" t="s">
        <v>621</v>
      </c>
      <c r="B78" s="490">
        <f>((AUTOQUESTIONNAIRE!F224-AUTOQUESTIONNAIRE!F225)-(AUTOQUESTIONNAIRE!F218-AUTOQUESTIONNAIRE!F219))</f>
        <v>0</v>
      </c>
      <c r="C78" s="457" t="s">
        <v>620</v>
      </c>
      <c r="D78" s="683" t="s">
        <v>2043</v>
      </c>
      <c r="E78" s="449" t="s">
        <v>622</v>
      </c>
      <c r="G78" s="451" t="s">
        <v>623</v>
      </c>
    </row>
    <row r="79" spans="1:7" s="492" customFormat="1" ht="84">
      <c r="A79" s="969" t="s">
        <v>615</v>
      </c>
      <c r="B79" s="490">
        <f>AUTOQUESTIONNAIRE!F218-AUTOQUESTIONNAIRE!F223</f>
        <v>0</v>
      </c>
      <c r="C79" s="455" t="s">
        <v>626</v>
      </c>
      <c r="D79" s="683" t="s">
        <v>2043</v>
      </c>
      <c r="E79" s="449" t="s">
        <v>628</v>
      </c>
      <c r="F79" s="450" t="s">
        <v>627</v>
      </c>
      <c r="G79" s="451" t="s">
        <v>629</v>
      </c>
    </row>
    <row r="80" spans="1:7" s="492" customFormat="1" ht="84">
      <c r="A80" s="970" t="s">
        <v>631</v>
      </c>
      <c r="B80" s="490" t="str">
        <f>IF(AUTOQUESTIONNAIRE!F230=1,"Anomalie",IF(AUTOQUESTIONNAIRE!F230=0,"Non fait","Normal"))</f>
        <v>Normal</v>
      </c>
      <c r="C80" s="499" t="s">
        <v>630</v>
      </c>
      <c r="D80" s="683" t="s">
        <v>2043</v>
      </c>
      <c r="E80" s="449" t="s">
        <v>362</v>
      </c>
      <c r="G80" s="451" t="s">
        <v>2913</v>
      </c>
    </row>
    <row r="81" spans="1:7" s="492" customFormat="1" ht="84">
      <c r="A81" s="970" t="s">
        <v>632</v>
      </c>
      <c r="B81" s="490" t="str">
        <f>IF(AUTOQUESTIONNAIRE!F231=1,"Anomalie",IF(AUTOQUESTIONNAIRE!F231=0,"Non fait","Normal"))</f>
        <v>Anomalie</v>
      </c>
      <c r="C81" s="499" t="s">
        <v>2939</v>
      </c>
      <c r="D81" s="683" t="s">
        <v>2043</v>
      </c>
      <c r="E81" s="449" t="s">
        <v>362</v>
      </c>
      <c r="G81" s="451" t="s">
        <v>2913</v>
      </c>
    </row>
    <row r="82" spans="1:7" s="492" customFormat="1" ht="63">
      <c r="A82" s="969" t="s">
        <v>737</v>
      </c>
      <c r="B82" s="490">
        <f>AUTOQUESTIONNAIRE!F232</f>
        <v>0</v>
      </c>
      <c r="C82" s="500" t="s">
        <v>741</v>
      </c>
      <c r="D82" s="683" t="s">
        <v>2040</v>
      </c>
      <c r="E82" s="449" t="s">
        <v>738</v>
      </c>
      <c r="G82" s="451" t="s">
        <v>739</v>
      </c>
    </row>
    <row r="83" spans="1:7" s="492" customFormat="1" ht="63">
      <c r="A83" s="968" t="s">
        <v>2940</v>
      </c>
      <c r="B83" s="501" t="str">
        <f>IF(AUTOQUESTIONNAIRE!F233=1,"Anormale",(IF(AUTOQUESTIONNAIRE!F233=0,"Non fait","Normal")))</f>
        <v>Normal</v>
      </c>
      <c r="C83" s="472" t="s">
        <v>777</v>
      </c>
      <c r="D83" s="683" t="s">
        <v>2042</v>
      </c>
      <c r="E83" s="449" t="s">
        <v>362</v>
      </c>
      <c r="G83" s="451" t="s">
        <v>2913</v>
      </c>
    </row>
    <row r="84" spans="1:7" s="492" customFormat="1" ht="63">
      <c r="A84" s="969" t="s">
        <v>748</v>
      </c>
      <c r="B84" s="501" t="str">
        <f>IF(AUTOQUESTIONNAIRE!F237=0,"Non fait",(IF(AUTOQUESTIONNAIRE!F237=1,"Normal","Anormal")))</f>
        <v>Non fait</v>
      </c>
      <c r="C84" s="502" t="s">
        <v>776</v>
      </c>
      <c r="D84" s="683" t="s">
        <v>2042</v>
      </c>
      <c r="E84" s="449" t="s">
        <v>362</v>
      </c>
      <c r="G84" s="451" t="s">
        <v>2913</v>
      </c>
    </row>
    <row r="85" spans="1:7" s="492" customFormat="1" ht="84">
      <c r="A85" s="443" t="s">
        <v>1284</v>
      </c>
      <c r="B85" s="492">
        <f>AUTOQUESTIONNAIRE!F217</f>
        <v>70</v>
      </c>
      <c r="C85" s="502" t="s">
        <v>1288</v>
      </c>
      <c r="D85" s="683" t="s">
        <v>2043</v>
      </c>
      <c r="E85" s="449" t="s">
        <v>1289</v>
      </c>
      <c r="F85" s="450" t="s">
        <v>1290</v>
      </c>
      <c r="G85" s="451" t="s">
        <v>1291</v>
      </c>
    </row>
    <row r="86" spans="1:7" s="492" customFormat="1" ht="84">
      <c r="A86" s="453" t="s">
        <v>1282</v>
      </c>
      <c r="B86" s="503">
        <f>207.5-(0.78*AUTOQUESTIONNAIRE!F4)</f>
        <v>156.80000000000001</v>
      </c>
      <c r="C86" s="504" t="s">
        <v>1287</v>
      </c>
      <c r="D86" s="796" t="s">
        <v>2043</v>
      </c>
    </row>
    <row r="87" spans="1:7" s="492" customFormat="1" ht="84">
      <c r="A87" s="453" t="s">
        <v>1283</v>
      </c>
      <c r="B87" s="503">
        <f>208.3-(0.74*AUTOQUESTIONNAIRE!F4)</f>
        <v>160.20000000000002</v>
      </c>
      <c r="C87" s="504" t="s">
        <v>1286</v>
      </c>
      <c r="D87" s="797" t="s">
        <v>2043</v>
      </c>
    </row>
    <row r="88" spans="1:7" s="492" customFormat="1" ht="84">
      <c r="A88" s="969" t="s">
        <v>1354</v>
      </c>
      <c r="B88" s="503">
        <f>0.7*(B86-B85)+B85</f>
        <v>130.76</v>
      </c>
      <c r="C88" s="457" t="s">
        <v>1285</v>
      </c>
      <c r="D88" s="796" t="s">
        <v>2043</v>
      </c>
    </row>
    <row r="89" spans="1:7" s="492" customFormat="1" ht="84">
      <c r="A89" s="969" t="s">
        <v>1355</v>
      </c>
      <c r="B89" s="503">
        <f>0.7*(B87-B85)+B85</f>
        <v>133.14000000000001</v>
      </c>
      <c r="C89" s="491" t="s">
        <v>1285</v>
      </c>
      <c r="D89" s="797" t="s">
        <v>2043</v>
      </c>
    </row>
    <row r="90" spans="1:7" s="492" customFormat="1" ht="147">
      <c r="A90" s="503" t="s">
        <v>1317</v>
      </c>
      <c r="B90" s="505">
        <f>ImportBiologie!C88</f>
        <v>0</v>
      </c>
      <c r="C90" s="504" t="s">
        <v>1387</v>
      </c>
      <c r="D90" s="683" t="s">
        <v>2037</v>
      </c>
      <c r="E90" s="451" t="s">
        <v>391</v>
      </c>
      <c r="F90" s="482" t="s">
        <v>1417</v>
      </c>
      <c r="G90" s="451" t="s">
        <v>1416</v>
      </c>
    </row>
    <row r="91" spans="1:7" s="492" customFormat="1" ht="147">
      <c r="A91" s="503" t="s">
        <v>1382</v>
      </c>
      <c r="B91" s="505">
        <f>ImportBiologie!E89</f>
        <v>0</v>
      </c>
      <c r="C91" s="506" t="s">
        <v>1383</v>
      </c>
      <c r="D91" s="683" t="s">
        <v>2037</v>
      </c>
      <c r="G91" s="451" t="s">
        <v>1415</v>
      </c>
    </row>
    <row r="92" spans="1:7" s="492" customFormat="1" ht="63">
      <c r="A92" s="716" t="s">
        <v>1210</v>
      </c>
      <c r="B92" s="507">
        <f>ImportBiologie!C89</f>
        <v>10</v>
      </c>
      <c r="C92" s="506" t="s">
        <v>1413</v>
      </c>
      <c r="D92" s="683" t="s">
        <v>2035</v>
      </c>
      <c r="G92" s="451" t="s">
        <v>1414</v>
      </c>
    </row>
    <row r="93" spans="1:7" s="492" customFormat="1" ht="63">
      <c r="A93" s="716" t="s">
        <v>1378</v>
      </c>
      <c r="B93" s="507">
        <f>ImportBiologie!C90</f>
        <v>0</v>
      </c>
      <c r="C93" s="506" t="s">
        <v>1385</v>
      </c>
      <c r="D93" s="797" t="s">
        <v>2035</v>
      </c>
      <c r="G93" s="451" t="s">
        <v>389</v>
      </c>
    </row>
    <row r="94" spans="1:7" s="492" customFormat="1" ht="63">
      <c r="A94" s="716" t="s">
        <v>1238</v>
      </c>
      <c r="B94" s="508">
        <f>ImportBiologie!C91</f>
        <v>0</v>
      </c>
      <c r="C94" s="506" t="s">
        <v>1384</v>
      </c>
      <c r="D94" s="797" t="s">
        <v>2035</v>
      </c>
      <c r="G94" s="451" t="s">
        <v>1412</v>
      </c>
    </row>
    <row r="95" spans="1:7" s="492" customFormat="1" ht="84">
      <c r="A95" s="503" t="s">
        <v>1380</v>
      </c>
      <c r="B95" s="507">
        <f>ImportBiologie!C92</f>
        <v>0</v>
      </c>
      <c r="C95" s="504" t="s">
        <v>1386</v>
      </c>
      <c r="D95" s="683" t="s">
        <v>2043</v>
      </c>
      <c r="G95" s="451" t="s">
        <v>455</v>
      </c>
    </row>
    <row r="96" spans="1:7" s="492" customFormat="1" ht="63">
      <c r="A96" s="503" t="s">
        <v>1318</v>
      </c>
      <c r="B96" s="505">
        <f>ImportBiologie!C94</f>
        <v>0</v>
      </c>
      <c r="C96" s="506" t="s">
        <v>1389</v>
      </c>
      <c r="D96" s="683" t="s">
        <v>2040</v>
      </c>
      <c r="G96" s="451" t="s">
        <v>1411</v>
      </c>
    </row>
    <row r="97" spans="1:7" s="492" customFormat="1" ht="63">
      <c r="A97" s="503" t="s">
        <v>1274</v>
      </c>
      <c r="B97" s="505">
        <f>ImportBiologie!C95</f>
        <v>0</v>
      </c>
      <c r="C97" s="509" t="s">
        <v>1388</v>
      </c>
      <c r="D97" s="683" t="s">
        <v>1036</v>
      </c>
      <c r="G97" s="451" t="s">
        <v>1410</v>
      </c>
    </row>
    <row r="98" spans="1:7" s="492" customFormat="1" ht="105">
      <c r="A98" s="492" t="s">
        <v>1406</v>
      </c>
      <c r="B98" s="490">
        <f>ImportBiologie!C34</f>
        <v>0</v>
      </c>
      <c r="C98" s="717" t="s">
        <v>1407</v>
      </c>
      <c r="D98" s="683" t="s">
        <v>2038</v>
      </c>
      <c r="E98" s="451" t="s">
        <v>628</v>
      </c>
      <c r="F98" s="449" t="s">
        <v>1408</v>
      </c>
      <c r="G98" s="451" t="s">
        <v>1409</v>
      </c>
    </row>
    <row r="99" spans="1:7" s="492" customFormat="1" ht="105">
      <c r="A99" s="453" t="s">
        <v>2934</v>
      </c>
      <c r="B99" s="490">
        <f>AUTOQUESTIONNAIRE!F216</f>
        <v>0</v>
      </c>
      <c r="C99" s="717" t="s">
        <v>2933</v>
      </c>
      <c r="D99" s="796" t="s">
        <v>2036</v>
      </c>
      <c r="G99" s="451" t="s">
        <v>1419</v>
      </c>
    </row>
    <row r="100" spans="1:7" s="492" customFormat="1">
      <c r="A100" s="969"/>
      <c r="B100" s="490"/>
      <c r="C100" s="717"/>
      <c r="D100" s="797"/>
      <c r="G100" s="451"/>
    </row>
    <row r="101" spans="1:7" s="492" customFormat="1" ht="84">
      <c r="A101" s="718" t="s">
        <v>1560</v>
      </c>
      <c r="B101" s="510">
        <f>(ImportBiologie!C96/100)*(ImportBiologie!C15)</f>
        <v>0</v>
      </c>
      <c r="C101" s="511" t="s">
        <v>1548</v>
      </c>
      <c r="D101" s="683" t="s">
        <v>1027</v>
      </c>
      <c r="E101" s="451" t="s">
        <v>1550</v>
      </c>
      <c r="F101" s="449" t="s">
        <v>1551</v>
      </c>
      <c r="G101" s="451" t="s">
        <v>548</v>
      </c>
    </row>
    <row r="102" spans="1:7" s="492" customFormat="1" ht="63">
      <c r="A102" s="718" t="s">
        <v>1561</v>
      </c>
      <c r="B102" s="510">
        <f>ImportBiologie!C97</f>
        <v>0.1</v>
      </c>
      <c r="C102" s="511" t="s">
        <v>1549</v>
      </c>
      <c r="D102" s="683" t="s">
        <v>1027</v>
      </c>
      <c r="E102" s="451" t="s">
        <v>1552</v>
      </c>
      <c r="F102" s="449" t="s">
        <v>1553</v>
      </c>
      <c r="G102" s="451" t="s">
        <v>411</v>
      </c>
    </row>
    <row r="103" spans="1:7" s="492" customFormat="1">
      <c r="B103" s="490"/>
      <c r="C103" s="491"/>
      <c r="D103" s="493"/>
    </row>
    <row r="104" spans="1:7" s="492" customFormat="1" ht="126">
      <c r="A104" s="713" t="s">
        <v>1615</v>
      </c>
      <c r="B104" s="490">
        <f>AUTOQUESTIONNAIRE!F241</f>
        <v>25</v>
      </c>
      <c r="C104" s="445" t="s">
        <v>2096</v>
      </c>
      <c r="D104" s="796" t="s">
        <v>1053</v>
      </c>
      <c r="E104" s="969" t="s">
        <v>389</v>
      </c>
      <c r="F104" s="969" t="s">
        <v>381</v>
      </c>
      <c r="G104" s="451" t="s">
        <v>2107</v>
      </c>
    </row>
    <row r="105" spans="1:7" s="492" customFormat="1" ht="105">
      <c r="A105" s="713" t="s">
        <v>1913</v>
      </c>
      <c r="B105" s="490">
        <f>AUTOQUESTIONNAIRE!F214</f>
        <v>0</v>
      </c>
      <c r="C105" s="504" t="s">
        <v>2097</v>
      </c>
      <c r="D105" s="683" t="s">
        <v>2036</v>
      </c>
      <c r="E105" s="969" t="s">
        <v>2887</v>
      </c>
      <c r="F105" s="969"/>
      <c r="G105" s="969" t="s">
        <v>2893</v>
      </c>
    </row>
    <row r="106" spans="1:7" s="492" customFormat="1" ht="63">
      <c r="A106" s="714" t="s">
        <v>2108</v>
      </c>
      <c r="B106" s="490">
        <f>AUTOQUESTIONNAIRE!F242</f>
        <v>0</v>
      </c>
      <c r="C106" s="719" t="s">
        <v>2100</v>
      </c>
      <c r="D106" s="683" t="s">
        <v>2041</v>
      </c>
      <c r="E106" s="969" t="s">
        <v>2888</v>
      </c>
      <c r="F106" s="969"/>
      <c r="G106" s="969" t="s">
        <v>409</v>
      </c>
    </row>
    <row r="107" spans="1:7" s="492" customFormat="1" ht="63">
      <c r="A107" s="714" t="s">
        <v>1093</v>
      </c>
      <c r="B107" s="490">
        <f>AUTOQUESTIONNAIRE!F243</f>
        <v>0</v>
      </c>
      <c r="C107" s="720" t="s">
        <v>2099</v>
      </c>
      <c r="D107" s="683" t="s">
        <v>2041</v>
      </c>
      <c r="E107" s="969" t="s">
        <v>2889</v>
      </c>
      <c r="F107" s="969"/>
      <c r="G107" s="969" t="s">
        <v>2894</v>
      </c>
    </row>
    <row r="108" spans="1:7" ht="63">
      <c r="A108" s="714" t="s">
        <v>1094</v>
      </c>
      <c r="B108" s="490">
        <f>AUTOQUESTIONNAIRE!F244</f>
        <v>0</v>
      </c>
      <c r="C108" s="719" t="s">
        <v>2105</v>
      </c>
      <c r="D108" s="683" t="s">
        <v>2041</v>
      </c>
      <c r="E108" s="969" t="s">
        <v>2890</v>
      </c>
      <c r="F108" s="969"/>
      <c r="G108" s="969" t="s">
        <v>2895</v>
      </c>
    </row>
    <row r="109" spans="1:7" ht="63">
      <c r="A109" s="715" t="s">
        <v>1452</v>
      </c>
      <c r="B109" s="490">
        <f>AUTOQUESTIONNAIRE!F245</f>
        <v>1</v>
      </c>
      <c r="C109" s="719" t="s">
        <v>2101</v>
      </c>
      <c r="D109" s="683" t="s">
        <v>2041</v>
      </c>
      <c r="E109" s="969" t="s">
        <v>2891</v>
      </c>
      <c r="F109" s="969"/>
      <c r="G109" s="969" t="s">
        <v>2125</v>
      </c>
    </row>
    <row r="110" spans="1:7" ht="63">
      <c r="A110" s="1002" t="s">
        <v>2184</v>
      </c>
      <c r="B110" s="490">
        <f>AUTOQUESTIONNAIRE!F246</f>
        <v>0</v>
      </c>
      <c r="C110" s="445" t="s">
        <v>2098</v>
      </c>
      <c r="D110" s="683" t="s">
        <v>2041</v>
      </c>
      <c r="E110" s="969" t="s">
        <v>2892</v>
      </c>
      <c r="F110" s="969"/>
      <c r="G110" s="451" t="s">
        <v>2125</v>
      </c>
    </row>
    <row r="111" spans="1:7" ht="84">
      <c r="A111" s="443" t="s">
        <v>1918</v>
      </c>
      <c r="B111" s="444">
        <f>ImportBiologie!C8</f>
        <v>0</v>
      </c>
      <c r="C111" s="445" t="s">
        <v>2102</v>
      </c>
      <c r="D111" s="683" t="s">
        <v>2041</v>
      </c>
      <c r="E111" s="451" t="s">
        <v>2109</v>
      </c>
      <c r="F111" s="449" t="s">
        <v>2110</v>
      </c>
      <c r="G111" s="451" t="s">
        <v>2111</v>
      </c>
    </row>
    <row r="112" spans="1:7" ht="84">
      <c r="A112" s="503" t="s">
        <v>2103</v>
      </c>
      <c r="B112" s="444">
        <f>ImportBiologie!C93</f>
        <v>0</v>
      </c>
      <c r="C112" s="445" t="s">
        <v>2103</v>
      </c>
      <c r="D112" s="683" t="s">
        <v>2043</v>
      </c>
      <c r="E112" s="969" t="s">
        <v>2112</v>
      </c>
      <c r="F112" s="449" t="s">
        <v>2112</v>
      </c>
    </row>
    <row r="113" spans="1:7" ht="63">
      <c r="A113" s="443" t="s">
        <v>2126</v>
      </c>
      <c r="B113" s="444">
        <f>ImportBiologie!C116</f>
        <v>100</v>
      </c>
      <c r="C113" s="719" t="s">
        <v>2106</v>
      </c>
      <c r="D113" s="683" t="s">
        <v>1027</v>
      </c>
      <c r="E113" s="969" t="s">
        <v>2896</v>
      </c>
      <c r="G113" s="451" t="s">
        <v>2114</v>
      </c>
    </row>
    <row r="114" spans="1:7" ht="63">
      <c r="A114" s="211" t="s">
        <v>2127</v>
      </c>
      <c r="B114" s="444">
        <f>ImportBiologie!C117</f>
        <v>1</v>
      </c>
      <c r="C114" s="445" t="s">
        <v>2104</v>
      </c>
      <c r="D114" s="683" t="s">
        <v>1027</v>
      </c>
      <c r="E114" s="969" t="s">
        <v>759</v>
      </c>
      <c r="G114" s="451" t="s">
        <v>2113</v>
      </c>
    </row>
    <row r="115" spans="1:7" ht="105">
      <c r="A115" s="443" t="s">
        <v>1934</v>
      </c>
      <c r="B115" s="444">
        <f>ImportBiologie!C57-(ImportBiologie!C57-ImportBiologie!E57)*0.4</f>
        <v>101</v>
      </c>
      <c r="C115" s="445" t="s">
        <v>1936</v>
      </c>
      <c r="D115" s="683" t="s">
        <v>2036</v>
      </c>
    </row>
    <row r="116" spans="1:7" ht="105">
      <c r="A116" s="511" t="s">
        <v>1616</v>
      </c>
      <c r="B116" s="511">
        <f>ImportBiologie!C108</f>
        <v>0</v>
      </c>
      <c r="C116" s="443" t="s">
        <v>2150</v>
      </c>
      <c r="D116" s="683" t="s">
        <v>2036</v>
      </c>
      <c r="E116" s="969" t="s">
        <v>2897</v>
      </c>
      <c r="F116" s="969"/>
      <c r="G116" s="969"/>
    </row>
    <row r="117" spans="1:7" ht="105">
      <c r="A117" s="511" t="s">
        <v>2130</v>
      </c>
      <c r="B117" s="511">
        <f>ImportBiologie!C109</f>
        <v>0</v>
      </c>
      <c r="C117" s="443" t="s">
        <v>2159</v>
      </c>
      <c r="D117" s="683" t="s">
        <v>2038</v>
      </c>
      <c r="E117" s="969" t="s">
        <v>2898</v>
      </c>
      <c r="F117" s="969"/>
      <c r="G117" s="969"/>
    </row>
    <row r="118" spans="1:7" ht="105">
      <c r="A118" s="511" t="s">
        <v>1618</v>
      </c>
      <c r="B118" s="511">
        <f>ImportBiologie!C110</f>
        <v>0</v>
      </c>
      <c r="C118" s="443" t="s">
        <v>2151</v>
      </c>
      <c r="D118" s="683" t="s">
        <v>2038</v>
      </c>
      <c r="E118" s="971">
        <v>42125</v>
      </c>
      <c r="F118" s="969"/>
      <c r="G118" s="969" t="s">
        <v>2899</v>
      </c>
    </row>
    <row r="119" spans="1:7" ht="105">
      <c r="A119" s="511" t="s">
        <v>2131</v>
      </c>
      <c r="B119" s="511">
        <f>ImportBiologie!C111</f>
        <v>0</v>
      </c>
      <c r="C119" s="443" t="s">
        <v>2152</v>
      </c>
      <c r="D119" s="683" t="s">
        <v>2038</v>
      </c>
      <c r="E119" s="969" t="s">
        <v>2900</v>
      </c>
      <c r="F119" s="969"/>
      <c r="G119" s="969"/>
    </row>
    <row r="120" spans="1:7" ht="42">
      <c r="A120" s="511" t="s">
        <v>1624</v>
      </c>
      <c r="B120" s="511">
        <f>ImportBiologie!C112</f>
        <v>0</v>
      </c>
      <c r="C120" s="443" t="s">
        <v>2160</v>
      </c>
      <c r="D120" s="683" t="s">
        <v>2039</v>
      </c>
      <c r="E120" s="969" t="s">
        <v>2901</v>
      </c>
      <c r="F120" s="969"/>
      <c r="G120" s="969"/>
    </row>
    <row r="121" spans="1:7" ht="63">
      <c r="A121" s="511" t="s">
        <v>2132</v>
      </c>
      <c r="B121" s="511">
        <f>ImportBiologie!C114</f>
        <v>0</v>
      </c>
      <c r="C121" s="443" t="s">
        <v>2153</v>
      </c>
      <c r="D121" s="683" t="s">
        <v>1036</v>
      </c>
      <c r="E121" s="969" t="s">
        <v>2902</v>
      </c>
      <c r="F121" s="969"/>
      <c r="G121" s="969"/>
    </row>
    <row r="122" spans="1:7" ht="63">
      <c r="A122" s="511" t="s">
        <v>2133</v>
      </c>
      <c r="B122" s="511">
        <f>ImportBiologie!C115</f>
        <v>0</v>
      </c>
      <c r="C122" s="443" t="s">
        <v>2154</v>
      </c>
      <c r="D122" s="683" t="s">
        <v>1036</v>
      </c>
      <c r="E122" s="969" t="s">
        <v>2903</v>
      </c>
      <c r="F122" s="969"/>
      <c r="G122" s="969"/>
    </row>
    <row r="123" spans="1:7" ht="84">
      <c r="A123" s="511" t="s">
        <v>2134</v>
      </c>
      <c r="B123" s="511">
        <f>ImportBiologie!C118</f>
        <v>0</v>
      </c>
      <c r="C123" s="443" t="s">
        <v>2161</v>
      </c>
      <c r="D123" s="683" t="s">
        <v>2050</v>
      </c>
      <c r="E123" s="969" t="s">
        <v>2904</v>
      </c>
      <c r="F123" s="969"/>
      <c r="G123" s="969"/>
    </row>
    <row r="124" spans="1:7" ht="63">
      <c r="A124" s="511" t="s">
        <v>2135</v>
      </c>
      <c r="B124" s="511">
        <f>ImportBiologie!C119</f>
        <v>0</v>
      </c>
      <c r="C124" s="443" t="s">
        <v>2158</v>
      </c>
      <c r="D124" s="683" t="s">
        <v>1036</v>
      </c>
      <c r="E124" s="969" t="s">
        <v>2922</v>
      </c>
      <c r="F124" s="969" t="s">
        <v>2905</v>
      </c>
      <c r="G124" s="969"/>
    </row>
    <row r="125" spans="1:7" ht="63">
      <c r="A125" s="511" t="s">
        <v>2136</v>
      </c>
      <c r="B125" s="511">
        <f>ImportBiologie!C120</f>
        <v>0</v>
      </c>
      <c r="C125" s="443" t="s">
        <v>2923</v>
      </c>
      <c r="D125" s="683" t="s">
        <v>2035</v>
      </c>
      <c r="E125" s="969" t="s">
        <v>2906</v>
      </c>
      <c r="F125" s="969"/>
      <c r="G125" s="969"/>
    </row>
    <row r="126" spans="1:7" ht="63">
      <c r="A126" s="511" t="s">
        <v>2137</v>
      </c>
      <c r="B126" s="511">
        <f>ImportBiologie!C121</f>
        <v>0</v>
      </c>
      <c r="C126" s="443" t="s">
        <v>2924</v>
      </c>
      <c r="D126" s="683" t="s">
        <v>2035</v>
      </c>
      <c r="E126" s="971">
        <v>44896</v>
      </c>
      <c r="F126" s="969"/>
      <c r="G126" s="969"/>
    </row>
    <row r="127" spans="1:7" ht="105">
      <c r="A127" s="511" t="s">
        <v>2138</v>
      </c>
      <c r="B127" s="511">
        <f>ImportBiologie!C122</f>
        <v>0</v>
      </c>
      <c r="C127" s="443" t="s">
        <v>2155</v>
      </c>
      <c r="D127" s="683" t="s">
        <v>2038</v>
      </c>
      <c r="E127" s="971">
        <v>41852</v>
      </c>
      <c r="F127" s="969"/>
      <c r="G127" s="969"/>
    </row>
    <row r="128" spans="1:7" ht="105">
      <c r="A128" s="511" t="s">
        <v>1637</v>
      </c>
      <c r="B128" s="511">
        <f>ImportBiologie!C123</f>
        <v>0</v>
      </c>
      <c r="C128" s="443" t="s">
        <v>2162</v>
      </c>
      <c r="D128" s="683" t="s">
        <v>2038</v>
      </c>
      <c r="E128" s="969" t="s">
        <v>2907</v>
      </c>
      <c r="F128" s="969"/>
      <c r="G128" s="969"/>
    </row>
    <row r="129" spans="1:7" ht="105">
      <c r="A129" s="511" t="s">
        <v>2139</v>
      </c>
      <c r="B129" s="511">
        <f>ImportBiologie!C124</f>
        <v>0</v>
      </c>
      <c r="C129" s="443" t="s">
        <v>2163</v>
      </c>
      <c r="D129" s="683" t="s">
        <v>2038</v>
      </c>
      <c r="E129" s="969" t="s">
        <v>2908</v>
      </c>
      <c r="F129" s="969"/>
      <c r="G129" s="969"/>
    </row>
    <row r="130" spans="1:7" ht="105">
      <c r="A130" s="511" t="s">
        <v>2140</v>
      </c>
      <c r="B130" s="511">
        <f>ImportBiologie!C125</f>
        <v>0</v>
      </c>
      <c r="C130" s="443" t="s">
        <v>2156</v>
      </c>
      <c r="D130" s="683" t="s">
        <v>2038</v>
      </c>
      <c r="E130" s="969" t="s">
        <v>547</v>
      </c>
      <c r="F130" s="969"/>
      <c r="G130" s="969" t="s">
        <v>617</v>
      </c>
    </row>
    <row r="131" spans="1:7" ht="105">
      <c r="A131" s="511" t="s">
        <v>1641</v>
      </c>
      <c r="B131" s="511">
        <f>ImportBiologie!C126</f>
        <v>0</v>
      </c>
      <c r="C131" s="443" t="s">
        <v>2164</v>
      </c>
      <c r="D131" s="683" t="s">
        <v>2038</v>
      </c>
      <c r="E131" s="969" t="s">
        <v>2909</v>
      </c>
      <c r="F131" s="969"/>
      <c r="G131" s="969" t="s">
        <v>492</v>
      </c>
    </row>
    <row r="132" spans="1:7" ht="105">
      <c r="A132" s="511" t="s">
        <v>1643</v>
      </c>
      <c r="B132" s="511">
        <f>ImportBiologie!C127</f>
        <v>0</v>
      </c>
      <c r="C132" s="443" t="s">
        <v>2165</v>
      </c>
      <c r="D132" s="683" t="s">
        <v>2038</v>
      </c>
      <c r="E132" s="969" t="s">
        <v>2910</v>
      </c>
      <c r="F132" s="969"/>
      <c r="G132" s="969"/>
    </row>
    <row r="133" spans="1:7" ht="42">
      <c r="A133" s="511" t="s">
        <v>2141</v>
      </c>
      <c r="B133" s="511" t="str">
        <f>ImportBiologie!C128</f>
        <v xml:space="preserve">Negative </v>
      </c>
      <c r="C133" s="443" t="s">
        <v>2166</v>
      </c>
      <c r="D133" s="798" t="s">
        <v>2323</v>
      </c>
      <c r="E133" s="969" t="s">
        <v>2911</v>
      </c>
      <c r="F133" s="969"/>
      <c r="G133" s="969" t="s">
        <v>2912</v>
      </c>
    </row>
    <row r="134" spans="1:7" ht="42">
      <c r="A134" s="511" t="s">
        <v>2142</v>
      </c>
      <c r="B134" s="511" t="str">
        <f>ImportBiologie!C129</f>
        <v xml:space="preserve">Negative </v>
      </c>
      <c r="C134" s="443" t="s">
        <v>2157</v>
      </c>
      <c r="D134" s="798" t="s">
        <v>2323</v>
      </c>
      <c r="E134" s="969" t="s">
        <v>2911</v>
      </c>
      <c r="F134" s="969"/>
      <c r="G134" s="969" t="s">
        <v>2912</v>
      </c>
    </row>
    <row r="135" spans="1:7" ht="42">
      <c r="A135" s="511" t="s">
        <v>1646</v>
      </c>
      <c r="B135" s="511" t="str">
        <f>ImportBiologie!C130</f>
        <v xml:space="preserve">Negative </v>
      </c>
      <c r="C135" s="443" t="s">
        <v>2167</v>
      </c>
      <c r="D135" s="798" t="s">
        <v>2323</v>
      </c>
      <c r="E135" s="969" t="s">
        <v>2911</v>
      </c>
      <c r="F135" s="969"/>
      <c r="G135" s="969" t="s">
        <v>2912</v>
      </c>
    </row>
    <row r="136" spans="1:7" ht="42">
      <c r="A136" s="511" t="s">
        <v>2143</v>
      </c>
      <c r="B136" s="511" t="str">
        <f>ImportBiologie!C131</f>
        <v xml:space="preserve">Negative </v>
      </c>
      <c r="C136" s="443" t="s">
        <v>2168</v>
      </c>
      <c r="D136" s="798" t="s">
        <v>2323</v>
      </c>
      <c r="E136" s="969" t="s">
        <v>362</v>
      </c>
      <c r="F136" s="969"/>
      <c r="G136" s="969" t="s">
        <v>2913</v>
      </c>
    </row>
    <row r="137" spans="1:7" ht="42">
      <c r="A137" s="511" t="s">
        <v>2144</v>
      </c>
      <c r="B137" s="511" t="str">
        <f>ImportBiologie!C132</f>
        <v xml:space="preserve">Negative </v>
      </c>
      <c r="C137" s="443" t="s">
        <v>2169</v>
      </c>
      <c r="D137" s="798" t="s">
        <v>2324</v>
      </c>
      <c r="E137" s="969" t="s">
        <v>2911</v>
      </c>
      <c r="F137" s="969"/>
      <c r="G137" s="969" t="s">
        <v>2912</v>
      </c>
    </row>
    <row r="138" spans="1:7" ht="105">
      <c r="A138" s="511" t="s">
        <v>2145</v>
      </c>
      <c r="B138" s="511">
        <f>ImportBiologie!C133</f>
        <v>0</v>
      </c>
      <c r="C138" s="443" t="s">
        <v>2170</v>
      </c>
      <c r="D138" s="683" t="s">
        <v>2038</v>
      </c>
      <c r="E138" s="969" t="s">
        <v>2107</v>
      </c>
      <c r="F138" s="969"/>
      <c r="G138" s="969" t="s">
        <v>457</v>
      </c>
    </row>
    <row r="139" spans="1:7" ht="105">
      <c r="A139" s="511" t="s">
        <v>2146</v>
      </c>
      <c r="B139" s="511">
        <f>ImportBiologie!C134</f>
        <v>0</v>
      </c>
      <c r="C139" s="443" t="s">
        <v>2171</v>
      </c>
      <c r="D139" s="683" t="s">
        <v>2038</v>
      </c>
      <c r="E139" s="969" t="s">
        <v>399</v>
      </c>
      <c r="F139" s="969"/>
      <c r="G139" s="969" t="s">
        <v>2914</v>
      </c>
    </row>
    <row r="140" spans="1:7" ht="42">
      <c r="A140" s="511" t="s">
        <v>2147</v>
      </c>
      <c r="B140" s="511" t="str">
        <f>ImportBiologie!C135</f>
        <v xml:space="preserve">Negative </v>
      </c>
      <c r="C140" s="443" t="s">
        <v>2172</v>
      </c>
      <c r="D140" s="798" t="s">
        <v>2324</v>
      </c>
      <c r="E140" s="969" t="s">
        <v>465</v>
      </c>
      <c r="F140" s="969"/>
      <c r="G140" s="969"/>
    </row>
    <row r="141" spans="1:7" ht="42">
      <c r="A141" s="511" t="s">
        <v>2148</v>
      </c>
      <c r="B141" s="802">
        <f>ImportBiologie!C136</f>
        <v>0</v>
      </c>
      <c r="C141" s="443" t="s">
        <v>2179</v>
      </c>
      <c r="D141" s="798" t="s">
        <v>2324</v>
      </c>
      <c r="E141" s="969" t="s">
        <v>1947</v>
      </c>
      <c r="F141" s="969"/>
      <c r="G141" s="969" t="s">
        <v>402</v>
      </c>
    </row>
    <row r="142" spans="1:7" ht="63">
      <c r="A142" s="511" t="s">
        <v>2149</v>
      </c>
      <c r="B142" s="511" t="str">
        <f>ImportBiologie!C137</f>
        <v xml:space="preserve">Negative </v>
      </c>
      <c r="C142" s="443" t="s">
        <v>2180</v>
      </c>
      <c r="D142" s="796" t="s">
        <v>1053</v>
      </c>
      <c r="E142" s="969" t="s">
        <v>2915</v>
      </c>
      <c r="F142" s="969"/>
      <c r="G142" s="969" t="s">
        <v>2916</v>
      </c>
    </row>
    <row r="143" spans="1:7">
      <c r="A143" s="511" t="s">
        <v>1948</v>
      </c>
      <c r="B143" s="803" t="str">
        <f>ImportBiologie!C137</f>
        <v xml:space="preserve">Negative </v>
      </c>
      <c r="C143" s="443" t="s">
        <v>2181</v>
      </c>
      <c r="E143" s="969" t="s">
        <v>2911</v>
      </c>
      <c r="F143" s="969"/>
      <c r="G143" s="969" t="s">
        <v>2912</v>
      </c>
    </row>
    <row r="144" spans="1:7" ht="42">
      <c r="A144" s="1002" t="s">
        <v>1696</v>
      </c>
      <c r="B144" s="799">
        <f>AUTOQUESTIONNAIRE!F247</f>
        <v>0</v>
      </c>
      <c r="C144" s="719" t="s">
        <v>2185</v>
      </c>
      <c r="D144" s="683" t="s">
        <v>2039</v>
      </c>
      <c r="E144" s="969" t="s">
        <v>2917</v>
      </c>
      <c r="F144" s="969"/>
      <c r="G144" s="969" t="s">
        <v>2918</v>
      </c>
    </row>
    <row r="145" spans="1:11" ht="42">
      <c r="A145" s="1002" t="s">
        <v>1697</v>
      </c>
      <c r="B145" s="444">
        <f>AUTOQUESTIONNAIRE!F248</f>
        <v>0</v>
      </c>
      <c r="C145" s="445" t="s">
        <v>2186</v>
      </c>
      <c r="D145" s="683" t="s">
        <v>2039</v>
      </c>
      <c r="E145" s="969" t="s">
        <v>402</v>
      </c>
      <c r="F145" s="969"/>
      <c r="G145" s="969" t="s">
        <v>1947</v>
      </c>
    </row>
    <row r="146" spans="1:11" ht="84">
      <c r="A146" s="1003" t="s">
        <v>2340</v>
      </c>
      <c r="B146" s="827">
        <f>AUTOQUESTIONNAIRE!K187</f>
        <v>4.6530474514731447E-2</v>
      </c>
      <c r="C146" s="445" t="s">
        <v>2341</v>
      </c>
      <c r="D146" s="683" t="s">
        <v>2043</v>
      </c>
      <c r="E146" s="969"/>
      <c r="F146" s="969"/>
      <c r="G146" s="969"/>
    </row>
    <row r="147" spans="1:11" ht="63">
      <c r="A147" s="503" t="s">
        <v>2671</v>
      </c>
      <c r="B147" s="444">
        <f>AUTOQUESTIONNAIRE!H249</f>
        <v>20</v>
      </c>
      <c r="C147" s="864" t="s">
        <v>2672</v>
      </c>
      <c r="D147" s="798" t="s">
        <v>2324</v>
      </c>
      <c r="E147" s="969">
        <v>0</v>
      </c>
      <c r="F147" s="971"/>
      <c r="G147" s="969" t="s">
        <v>1416</v>
      </c>
    </row>
    <row r="148" spans="1:11" ht="42">
      <c r="A148" s="503" t="s">
        <v>2677</v>
      </c>
      <c r="B148" s="444">
        <f>AUTOQUESTIONNAIRE!G346</f>
        <v>10</v>
      </c>
      <c r="C148" s="1004" t="s">
        <v>2680</v>
      </c>
      <c r="D148" s="798" t="s">
        <v>2324</v>
      </c>
      <c r="E148" s="969" t="s">
        <v>389</v>
      </c>
      <c r="F148" s="969"/>
      <c r="G148" s="969" t="s">
        <v>629</v>
      </c>
    </row>
    <row r="149" spans="1:11" ht="126">
      <c r="A149" s="975" t="s">
        <v>2926</v>
      </c>
      <c r="B149" s="976">
        <f>ImportBiologie!C152</f>
        <v>0</v>
      </c>
      <c r="C149" s="974" t="s">
        <v>2925</v>
      </c>
      <c r="D149" s="977" t="s">
        <v>2039</v>
      </c>
      <c r="E149" s="975" t="s">
        <v>2919</v>
      </c>
      <c r="F149" s="975" t="s">
        <v>2920</v>
      </c>
      <c r="G149" s="975" t="s">
        <v>2921</v>
      </c>
    </row>
    <row r="150" spans="1:11" ht="84">
      <c r="A150" s="975" t="s">
        <v>2927</v>
      </c>
      <c r="B150" s="978">
        <f>ImportBiologie!C102</f>
        <v>0</v>
      </c>
      <c r="C150" s="974" t="s">
        <v>2928</v>
      </c>
      <c r="D150" s="977" t="s">
        <v>2039</v>
      </c>
      <c r="E150" s="975" t="s">
        <v>389</v>
      </c>
      <c r="F150" s="975" t="s">
        <v>2929</v>
      </c>
      <c r="G150" s="975" t="s">
        <v>2930</v>
      </c>
    </row>
    <row r="151" spans="1:11" ht="105">
      <c r="A151" s="975" t="s">
        <v>2932</v>
      </c>
      <c r="B151" s="978">
        <f>ImportBiologie!C103</f>
        <v>50</v>
      </c>
      <c r="C151" s="974" t="s">
        <v>2931</v>
      </c>
      <c r="D151" s="977" t="s">
        <v>2039</v>
      </c>
      <c r="E151" s="975" t="s">
        <v>389</v>
      </c>
      <c r="F151" s="975" t="s">
        <v>2929</v>
      </c>
      <c r="G151" s="975" t="s">
        <v>2930</v>
      </c>
      <c r="H151" s="1011"/>
      <c r="I151" s="1012"/>
      <c r="J151" s="1012"/>
      <c r="K151" s="1011"/>
    </row>
    <row r="152" spans="1:11" ht="42">
      <c r="A152" s="1005" t="s">
        <v>2947</v>
      </c>
      <c r="B152" s="978">
        <f>ImportBiologie!C139</f>
        <v>0</v>
      </c>
      <c r="C152" s="1013" t="s">
        <v>3005</v>
      </c>
      <c r="D152" s="977" t="s">
        <v>2039</v>
      </c>
      <c r="E152" s="1015" t="s">
        <v>2962</v>
      </c>
      <c r="F152" s="975" t="s">
        <v>2985</v>
      </c>
      <c r="G152" s="1015" t="s">
        <v>2963</v>
      </c>
      <c r="H152" s="1013"/>
    </row>
    <row r="153" spans="1:11" ht="42">
      <c r="A153" s="1005" t="s">
        <v>2948</v>
      </c>
      <c r="B153" s="978">
        <f>ImportBiologie!C140</f>
        <v>0</v>
      </c>
      <c r="C153" s="1013" t="s">
        <v>2966</v>
      </c>
      <c r="D153" s="977" t="s">
        <v>2039</v>
      </c>
      <c r="E153" s="1015" t="s">
        <v>2964</v>
      </c>
      <c r="F153" s="975" t="s">
        <v>2986</v>
      </c>
      <c r="G153" s="1015" t="s">
        <v>2965</v>
      </c>
      <c r="H153" s="1013"/>
    </row>
    <row r="154" spans="1:11" ht="42">
      <c r="A154" s="1005" t="s">
        <v>2949</v>
      </c>
      <c r="B154" s="978">
        <f>ImportBiologie!C141</f>
        <v>0</v>
      </c>
      <c r="C154" s="1013" t="s">
        <v>2969</v>
      </c>
      <c r="D154" s="977" t="s">
        <v>2039</v>
      </c>
      <c r="E154" s="1015" t="s">
        <v>2967</v>
      </c>
      <c r="F154" s="975" t="s">
        <v>2987</v>
      </c>
      <c r="G154" s="1015" t="s">
        <v>2968</v>
      </c>
      <c r="H154" s="1013"/>
    </row>
    <row r="155" spans="1:11" ht="42">
      <c r="A155" s="1005" t="s">
        <v>2950</v>
      </c>
      <c r="B155" s="978">
        <f>ImportBiologie!C142</f>
        <v>0</v>
      </c>
      <c r="C155" s="1013" t="s">
        <v>2972</v>
      </c>
      <c r="D155" s="977" t="s">
        <v>2039</v>
      </c>
      <c r="E155" s="1015" t="s">
        <v>2970</v>
      </c>
      <c r="F155" s="975" t="s">
        <v>2988</v>
      </c>
      <c r="G155" s="1015" t="s">
        <v>2971</v>
      </c>
      <c r="H155" s="1013"/>
    </row>
    <row r="156" spans="1:11" ht="42">
      <c r="A156" s="1005" t="s">
        <v>2951</v>
      </c>
      <c r="B156" s="978">
        <f>ImportBiologie!C143</f>
        <v>0</v>
      </c>
      <c r="C156" s="1013" t="s">
        <v>2974</v>
      </c>
      <c r="D156" s="977" t="s">
        <v>2039</v>
      </c>
      <c r="E156" s="1015" t="s">
        <v>2970</v>
      </c>
      <c r="F156" s="975" t="s">
        <v>2989</v>
      </c>
      <c r="G156" s="1015" t="s">
        <v>2973</v>
      </c>
      <c r="H156" s="1013"/>
    </row>
    <row r="157" spans="1:11" ht="42">
      <c r="A157" s="1005" t="s">
        <v>2952</v>
      </c>
      <c r="B157" s="978">
        <f>ImportBiologie!C144</f>
        <v>0</v>
      </c>
      <c r="C157" s="1013" t="s">
        <v>2977</v>
      </c>
      <c r="D157" s="977" t="s">
        <v>2039</v>
      </c>
      <c r="E157" s="1015" t="s">
        <v>2975</v>
      </c>
      <c r="F157" s="1014" t="s">
        <v>2990</v>
      </c>
      <c r="G157" s="1015" t="s">
        <v>2976</v>
      </c>
      <c r="H157" s="1013"/>
    </row>
    <row r="158" spans="1:11" ht="147">
      <c r="A158" s="1005" t="s">
        <v>2992</v>
      </c>
      <c r="B158" s="978">
        <f>ImportBiologie!C145</f>
        <v>0</v>
      </c>
      <c r="C158" s="1013" t="s">
        <v>2978</v>
      </c>
      <c r="D158" s="977" t="s">
        <v>2037</v>
      </c>
      <c r="E158" s="1016">
        <v>0.2</v>
      </c>
      <c r="F158" s="975" t="s">
        <v>2991</v>
      </c>
      <c r="G158" s="1016">
        <v>0.3</v>
      </c>
      <c r="H158" s="1013"/>
    </row>
    <row r="159" spans="1:11" ht="147">
      <c r="A159" s="1005" t="s">
        <v>2994</v>
      </c>
      <c r="B159" s="978">
        <f>ImportBiologie!C146</f>
        <v>0</v>
      </c>
      <c r="C159" s="1013" t="s">
        <v>2979</v>
      </c>
      <c r="D159" s="977" t="s">
        <v>2037</v>
      </c>
      <c r="E159" s="1016">
        <v>0.1</v>
      </c>
      <c r="F159" s="975" t="s">
        <v>2993</v>
      </c>
      <c r="G159" s="1016">
        <v>0.18</v>
      </c>
      <c r="H159" s="1013"/>
    </row>
    <row r="160" spans="1:11" ht="147">
      <c r="A160" s="1005" t="s">
        <v>2995</v>
      </c>
      <c r="B160" s="978">
        <f>ImportBiologie!C147</f>
        <v>0</v>
      </c>
      <c r="C160" s="1013" t="s">
        <v>2980</v>
      </c>
      <c r="D160" s="977" t="s">
        <v>2037</v>
      </c>
      <c r="E160" s="1016">
        <v>0.15</v>
      </c>
      <c r="F160" s="975" t="s">
        <v>2996</v>
      </c>
      <c r="G160" s="1016">
        <v>0.3</v>
      </c>
      <c r="H160" s="1013"/>
    </row>
    <row r="161" spans="1:8" ht="147">
      <c r="A161" s="1005" t="s">
        <v>2998</v>
      </c>
      <c r="B161" s="978">
        <f>ImportBiologie!C148</f>
        <v>0</v>
      </c>
      <c r="C161" s="1013" t="s">
        <v>2981</v>
      </c>
      <c r="D161" s="977" t="s">
        <v>2037</v>
      </c>
      <c r="E161" s="1016">
        <v>0.2</v>
      </c>
      <c r="F161" s="975" t="s">
        <v>2997</v>
      </c>
      <c r="G161" s="1016">
        <v>0.35</v>
      </c>
      <c r="H161" s="1013"/>
    </row>
    <row r="162" spans="1:8" ht="147">
      <c r="A162" s="1005" t="s">
        <v>2999</v>
      </c>
      <c r="B162" s="978">
        <f>ImportBiologie!C149</f>
        <v>0</v>
      </c>
      <c r="C162" s="1013" t="s">
        <v>2982</v>
      </c>
      <c r="D162" s="977" t="s">
        <v>2037</v>
      </c>
      <c r="E162" s="1016">
        <v>0.08</v>
      </c>
      <c r="F162" s="975" t="s">
        <v>3004</v>
      </c>
      <c r="G162" s="1016">
        <v>0.15</v>
      </c>
      <c r="H162" s="1013"/>
    </row>
    <row r="163" spans="1:8" ht="147">
      <c r="A163" s="1005" t="s">
        <v>3000</v>
      </c>
      <c r="B163" s="978">
        <f>ImportBiologie!C150</f>
        <v>0</v>
      </c>
      <c r="C163" s="1013" t="s">
        <v>2983</v>
      </c>
      <c r="D163" s="977" t="s">
        <v>2037</v>
      </c>
      <c r="E163" s="1017">
        <v>5.0000000000000001E-3</v>
      </c>
      <c r="F163" s="975" t="s">
        <v>3003</v>
      </c>
      <c r="G163" s="1016">
        <v>0.03</v>
      </c>
      <c r="H163" s="1013"/>
    </row>
    <row r="164" spans="1:8" ht="147">
      <c r="A164" s="1005" t="s">
        <v>3001</v>
      </c>
      <c r="B164" s="978">
        <f>ImportBiologie!C151</f>
        <v>0</v>
      </c>
      <c r="C164" s="1013" t="s">
        <v>2984</v>
      </c>
      <c r="D164" s="977" t="s">
        <v>2037</v>
      </c>
      <c r="E164" s="1016">
        <v>0.02</v>
      </c>
      <c r="F164" s="975" t="s">
        <v>3002</v>
      </c>
      <c r="G164" s="1016">
        <v>0.08</v>
      </c>
      <c r="H164" s="1013"/>
    </row>
  </sheetData>
  <autoFilter ref="A1:H115" xr:uid="{FCD48571-2A71-4440-ACFB-DEC2D9C6D01A}"/>
  <conditionalFormatting sqref="B4">
    <cfRule type="cellIs" dxfId="72" priority="163" operator="lessThan">
      <formula>0.185</formula>
    </cfRule>
    <cfRule type="cellIs" dxfId="71" priority="162" operator="greaterThan">
      <formula>0.29</formula>
    </cfRule>
    <cfRule type="cellIs" dxfId="70" priority="160" operator="between">
      <formula>0.25</formula>
      <formula>0.3</formula>
    </cfRule>
    <cfRule type="cellIs" dxfId="69" priority="161" operator="between">
      <formula>0.185</formula>
      <formula>0.249</formula>
    </cfRule>
  </conditionalFormatting>
  <conditionalFormatting sqref="B5">
    <cfRule type="colorScale" priority="144">
      <colorScale>
        <cfvo type="num" val="88"/>
        <cfvo type="num" val="100"/>
        <cfvo type="num" val="105"/>
        <color rgb="FF00B050"/>
        <color rgb="FFFFEB84"/>
        <color rgb="FFFF0000"/>
      </colorScale>
    </cfRule>
  </conditionalFormatting>
  <conditionalFormatting sqref="B7">
    <cfRule type="colorScale" priority="141">
      <colorScale>
        <cfvo type="num" val="90"/>
        <cfvo type="num" val="120"/>
        <cfvo type="num" val="140"/>
        <color rgb="FF00B050"/>
        <color rgb="FFFFEB84"/>
        <color rgb="FFFF0000"/>
      </colorScale>
    </cfRule>
  </conditionalFormatting>
  <conditionalFormatting sqref="B7:B8">
    <cfRule type="containsBlanks" dxfId="68" priority="138">
      <formula>LEN(TRIM(B7))=0</formula>
    </cfRule>
  </conditionalFormatting>
  <conditionalFormatting sqref="B8">
    <cfRule type="colorScale" priority="139">
      <colorScale>
        <cfvo type="num" val="60"/>
        <cfvo type="num" val="80"/>
        <cfvo type="num" val="90"/>
        <color rgb="FF00B050"/>
        <color rgb="FFFFEB84"/>
        <color rgb="FFFF0000"/>
      </colorScale>
    </cfRule>
  </conditionalFormatting>
  <conditionalFormatting sqref="B13">
    <cfRule type="cellIs" dxfId="67" priority="124" operator="between">
      <formula>600</formula>
      <formula>3000</formula>
    </cfRule>
    <cfRule type="cellIs" dxfId="66" priority="127" operator="equal">
      <formula>0</formula>
    </cfRule>
  </conditionalFormatting>
  <conditionalFormatting sqref="B14">
    <cfRule type="cellIs" dxfId="65" priority="150" operator="between">
      <formula>30</formula>
      <formula>50</formula>
    </cfRule>
  </conditionalFormatting>
  <conditionalFormatting sqref="B16">
    <cfRule type="colorScale" priority="39">
      <colorScale>
        <cfvo type="num" val="0.1"/>
        <cfvo type="num" val="0.21"/>
        <cfvo type="num" val="0.5"/>
        <color rgb="FF00B050"/>
        <color rgb="FFFFEB84"/>
        <color rgb="FFFF0000"/>
      </colorScale>
    </cfRule>
  </conditionalFormatting>
  <conditionalFormatting sqref="B17">
    <cfRule type="colorScale" priority="46">
      <colorScale>
        <cfvo type="num" val="0.1"/>
        <cfvo type="num" val="0.3"/>
        <cfvo type="num" val="0.5"/>
        <color rgb="FF00B050"/>
        <color rgb="FFFFEB84"/>
        <color rgb="FFFF0000"/>
      </colorScale>
    </cfRule>
  </conditionalFormatting>
  <conditionalFormatting sqref="B19">
    <cfRule type="cellIs" dxfId="64" priority="178" operator="between">
      <formula>0.1</formula>
      <formula>0.3</formula>
    </cfRule>
    <cfRule type="cellIs" dxfId="63" priority="172" operator="equal">
      <formula>0</formula>
    </cfRule>
  </conditionalFormatting>
  <conditionalFormatting sqref="B20">
    <cfRule type="cellIs" dxfId="62" priority="176" operator="between">
      <formula>0.1</formula>
      <formula>2</formula>
    </cfRule>
    <cfRule type="colorScale" priority="45">
      <colorScale>
        <cfvo type="num" val="1"/>
        <cfvo type="num" val="2"/>
        <cfvo type="num" val="2.5"/>
        <color rgb="FF00B050"/>
        <color rgb="FFFFEB84"/>
        <color rgb="FFFF0000"/>
      </colorScale>
    </cfRule>
  </conditionalFormatting>
  <conditionalFormatting sqref="B21">
    <cfRule type="colorScale" priority="175">
      <colorScale>
        <cfvo type="num" val="0.2"/>
        <cfvo type="num" val="0.4"/>
        <cfvo type="num" val="0.6"/>
        <color rgb="FFFF0000"/>
        <color rgb="FFFFEB84"/>
        <color rgb="FF00B050"/>
      </colorScale>
    </cfRule>
  </conditionalFormatting>
  <conditionalFormatting sqref="B22">
    <cfRule type="colorScale" priority="174">
      <colorScale>
        <cfvo type="num" val="0.8"/>
        <cfvo type="num" val="1.3"/>
        <cfvo type="num" val="1.7"/>
        <color rgb="FF00B050"/>
        <color rgb="FFFFEB84"/>
        <color rgb="FFFF0000"/>
      </colorScale>
    </cfRule>
  </conditionalFormatting>
  <conditionalFormatting sqref="B23:B24 B26">
    <cfRule type="cellIs" dxfId="61" priority="170" operator="lessThan">
      <formula>2</formula>
    </cfRule>
  </conditionalFormatting>
  <conditionalFormatting sqref="B24">
    <cfRule type="cellIs" dxfId="60" priority="38" operator="greaterThan">
      <formula>10</formula>
    </cfRule>
  </conditionalFormatting>
  <conditionalFormatting sqref="B25">
    <cfRule type="cellIs" dxfId="59" priority="23" operator="equal">
      <formula>"L"</formula>
    </cfRule>
    <cfRule type="cellIs" dxfId="58" priority="41" operator="equal">
      <formula>"H"</formula>
    </cfRule>
  </conditionalFormatting>
  <conditionalFormatting sqref="B27">
    <cfRule type="cellIs" dxfId="57" priority="114" operator="between">
      <formula>0.01</formula>
      <formula>6.5</formula>
    </cfRule>
  </conditionalFormatting>
  <conditionalFormatting sqref="B29">
    <cfRule type="colorScale" priority="110">
      <colorScale>
        <cfvo type="num" val="3"/>
        <cfvo type="num" val="4"/>
        <cfvo type="num" val="5"/>
        <color rgb="FF00B050"/>
        <color rgb="FFFFEB84"/>
        <color rgb="FFFF0000"/>
      </colorScale>
    </cfRule>
  </conditionalFormatting>
  <conditionalFormatting sqref="B30">
    <cfRule type="cellIs" dxfId="56" priority="94" operator="between">
      <formula>11.6</formula>
      <formula>16.6</formula>
    </cfRule>
  </conditionalFormatting>
  <conditionalFormatting sqref="B33">
    <cfRule type="cellIs" dxfId="55" priority="97" operator="between">
      <formula>3.4</formula>
      <formula>9.6</formula>
    </cfRule>
  </conditionalFormatting>
  <conditionalFormatting sqref="B34">
    <cfRule type="cellIs" dxfId="54" priority="96" operator="between">
      <formula>1.5</formula>
      <formula>6.5</formula>
    </cfRule>
  </conditionalFormatting>
  <conditionalFormatting sqref="B36">
    <cfRule type="cellIs" dxfId="53" priority="93" operator="between">
      <formula>0.95</formula>
      <formula>3.1</formula>
    </cfRule>
  </conditionalFormatting>
  <conditionalFormatting sqref="B37">
    <cfRule type="cellIs" dxfId="52" priority="92" operator="between">
      <formula>135</formula>
      <formula>371</formula>
    </cfRule>
  </conditionalFormatting>
  <conditionalFormatting sqref="B38">
    <cfRule type="cellIs" dxfId="51" priority="90" operator="between">
      <formula>11</formula>
      <formula>340</formula>
    </cfRule>
  </conditionalFormatting>
  <conditionalFormatting sqref="B39:B40">
    <cfRule type="cellIs" dxfId="50" priority="88" operator="greaterThan">
      <formula>60</formula>
    </cfRule>
  </conditionalFormatting>
  <conditionalFormatting sqref="B42">
    <cfRule type="cellIs" dxfId="49" priority="37" operator="greaterThan">
      <formula>2</formula>
    </cfRule>
  </conditionalFormatting>
  <conditionalFormatting sqref="B43">
    <cfRule type="cellIs" dxfId="48" priority="87" operator="greaterThan">
      <formula>70</formula>
    </cfRule>
  </conditionalFormatting>
  <conditionalFormatting sqref="B44">
    <cfRule type="cellIs" dxfId="47" priority="35" operator="between">
      <formula>0.4</formula>
      <formula>4</formula>
    </cfRule>
  </conditionalFormatting>
  <conditionalFormatting sqref="B45">
    <cfRule type="cellIs" dxfId="46" priority="60" operator="greaterThan">
      <formula>700</formula>
    </cfRule>
    <cfRule type="cellIs" dxfId="45" priority="34" operator="lessThan">
      <formula>500</formula>
    </cfRule>
  </conditionalFormatting>
  <conditionalFormatting sqref="B46">
    <cfRule type="cellIs" dxfId="44" priority="59" operator="greaterThan">
      <formula>80</formula>
    </cfRule>
  </conditionalFormatting>
  <conditionalFormatting sqref="B47">
    <cfRule type="cellIs" dxfId="43" priority="57" operator="between">
      <formula>60</formula>
      <formula>80</formula>
    </cfRule>
    <cfRule type="cellIs" dxfId="42" priority="56" operator="lessThan">
      <formula>60</formula>
    </cfRule>
  </conditionalFormatting>
  <conditionalFormatting sqref="B48">
    <cfRule type="cellIs" dxfId="41" priority="54" operator="between">
      <formula>0.1</formula>
      <formula>1</formula>
    </cfRule>
    <cfRule type="cellIs" dxfId="40" priority="55" operator="between">
      <formula>1</formula>
      <formula>2</formula>
    </cfRule>
  </conditionalFormatting>
  <conditionalFormatting sqref="B49">
    <cfRule type="cellIs" dxfId="39" priority="33" operator="between">
      <formula>0.12</formula>
      <formula>0.16</formula>
    </cfRule>
    <cfRule type="cellIs" dxfId="38" priority="32" operator="greaterThan">
      <formula>0.16</formula>
    </cfRule>
  </conditionalFormatting>
  <conditionalFormatting sqref="B50">
    <cfRule type="cellIs" dxfId="37" priority="31" operator="between">
      <formula>3</formula>
      <formula>6</formula>
    </cfRule>
    <cfRule type="cellIs" dxfId="36" priority="159" operator="greaterThan">
      <formula>6</formula>
    </cfRule>
  </conditionalFormatting>
  <conditionalFormatting sqref="B51">
    <cfRule type="cellIs" dxfId="35" priority="158" operator="greaterThan">
      <formula>2.5</formula>
    </cfRule>
  </conditionalFormatting>
  <conditionalFormatting sqref="B52">
    <cfRule type="cellIs" dxfId="34" priority="22" operator="lessThan">
      <formula>200</formula>
    </cfRule>
    <cfRule type="cellIs" dxfId="33" priority="21" operator="greaterThan">
      <formula>1000</formula>
    </cfRule>
  </conditionalFormatting>
  <conditionalFormatting sqref="B53">
    <cfRule type="cellIs" dxfId="32" priority="17" operator="equal">
      <formula>0</formula>
    </cfRule>
    <cfRule type="cellIs" dxfId="31" priority="16" operator="between">
      <formula>600</formula>
      <formula>3000</formula>
    </cfRule>
  </conditionalFormatting>
  <conditionalFormatting sqref="B54:B56">
    <cfRule type="cellIs" dxfId="30" priority="19" operator="equal">
      <formula>"Positive"</formula>
    </cfRule>
  </conditionalFormatting>
  <conditionalFormatting sqref="B59:B61">
    <cfRule type="cellIs" dxfId="29" priority="18" operator="equal">
      <formula>"Positive"</formula>
    </cfRule>
  </conditionalFormatting>
  <conditionalFormatting sqref="B62">
    <cfRule type="cellIs" dxfId="28" priority="14" operator="greaterThan">
      <formula>250</formula>
    </cfRule>
  </conditionalFormatting>
  <conditionalFormatting sqref="B62:B63">
    <cfRule type="cellIs" dxfId="27" priority="15" operator="equal">
      <formula>0</formula>
    </cfRule>
  </conditionalFormatting>
  <conditionalFormatting sqref="B63">
    <cfRule type="cellIs" dxfId="26" priority="13" operator="greaterThan">
      <formula>750</formula>
    </cfRule>
  </conditionalFormatting>
  <conditionalFormatting sqref="B64">
    <cfRule type="cellIs" dxfId="25" priority="11" operator="equal">
      <formula>0</formula>
    </cfRule>
    <cfRule type="containsErrors" dxfId="24" priority="10">
      <formula>ISERROR(B64)</formula>
    </cfRule>
  </conditionalFormatting>
  <conditionalFormatting sqref="B65">
    <cfRule type="containsBlanks" dxfId="23" priority="12">
      <formula>LEN(TRIM(B65))=0</formula>
    </cfRule>
    <cfRule type="colorScale" priority="9">
      <colorScale>
        <cfvo type="num" val="-0.2"/>
        <cfvo type="num" val="-0.1"/>
        <cfvo type="num" val="0"/>
        <color rgb="FFFF0000"/>
        <color rgb="FFFFEB84"/>
        <color rgb="FF00B050"/>
      </colorScale>
    </cfRule>
  </conditionalFormatting>
  <conditionalFormatting sqref="B66">
    <cfRule type="cellIs" dxfId="22" priority="8" operator="greaterThan">
      <formula>6</formula>
    </cfRule>
    <cfRule type="cellIs" dxfId="21" priority="7" operator="equal">
      <formula>0</formula>
    </cfRule>
  </conditionalFormatting>
  <conditionalFormatting sqref="B69">
    <cfRule type="cellIs" dxfId="20" priority="6" operator="equal">
      <formula>0</formula>
    </cfRule>
    <cfRule type="cellIs" dxfId="19" priority="5" operator="between">
      <formula>0.01</formula>
      <formula>0.3</formula>
    </cfRule>
    <cfRule type="cellIs" dxfId="18" priority="4" operator="between">
      <formula>0.31</formula>
      <formula>0.7</formula>
    </cfRule>
  </conditionalFormatting>
  <conditionalFormatting sqref="B70:B71">
    <cfRule type="containsErrors" dxfId="17" priority="1">
      <formula>ISERROR(B70)</formula>
    </cfRule>
    <cfRule type="cellIs" dxfId="16" priority="2" operator="greaterThan">
      <formula>0.1</formula>
    </cfRule>
  </conditionalFormatting>
  <printOptions headings="1"/>
  <pageMargins left="0.70866141732283472" right="0.70866141732283472" top="0.74803149606299213" bottom="0.74803149606299213" header="0.31496062992125984" footer="0.31496062992125984"/>
  <pageSetup paperSize="9" scale="2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325B8-BD51-4A81-A4AA-0C1B1D876B37}">
  <sheetPr codeName="Feuil11">
    <tabColor rgb="FFFF0000"/>
    <pageSetUpPr fitToPage="1"/>
  </sheetPr>
  <dimension ref="C2:V25"/>
  <sheetViews>
    <sheetView showGridLines="0" topLeftCell="B2" zoomScale="70" zoomScaleNormal="70" zoomScaleSheetLayoutView="75" workbookViewId="0">
      <selection activeCell="L5" sqref="L5"/>
    </sheetView>
  </sheetViews>
  <sheetFormatPr baseColWidth="10" defaultColWidth="11.5546875" defaultRowHeight="14.4"/>
  <cols>
    <col min="5" max="5" width="11.5546875" style="28"/>
    <col min="6" max="6" width="15.44140625" customWidth="1"/>
    <col min="7" max="7" width="31.88671875" bestFit="1" customWidth="1"/>
    <col min="8" max="8" width="10.88671875" style="14"/>
    <col min="9" max="10" width="10.88671875" style="15"/>
    <col min="11" max="11" width="26.21875" customWidth="1"/>
    <col min="13" max="13" width="10.88671875" style="20"/>
    <col min="22" max="22" width="11.5546875" style="28"/>
  </cols>
  <sheetData>
    <row r="2" spans="4:14">
      <c r="D2" s="17" t="s">
        <v>55</v>
      </c>
      <c r="E2" s="28" t="s">
        <v>780</v>
      </c>
      <c r="F2" s="256" t="s">
        <v>779</v>
      </c>
      <c r="G2" s="17" t="s">
        <v>55</v>
      </c>
      <c r="H2" s="19" t="s">
        <v>34</v>
      </c>
      <c r="I2" s="254" t="s">
        <v>80</v>
      </c>
      <c r="J2" s="254" t="s">
        <v>127</v>
      </c>
      <c r="M2" s="20" t="s">
        <v>88</v>
      </c>
      <c r="N2" t="s">
        <v>89</v>
      </c>
    </row>
    <row r="3" spans="4:14">
      <c r="D3" s="818" t="s">
        <v>54</v>
      </c>
      <c r="E3" s="28">
        <f>IF(F3&gt;1,1,F3)</f>
        <v>1</v>
      </c>
      <c r="F3" s="28">
        <f>(J3/I3)</f>
        <v>1.8323903338988909</v>
      </c>
      <c r="G3" s="818" t="s">
        <v>54</v>
      </c>
      <c r="H3" s="257">
        <f>calculRISKS!U2</f>
        <v>6.3737762237762563E-2</v>
      </c>
      <c r="I3" s="255">
        <f>calculRISKS!$V2</f>
        <v>8.7418079999999995E-2</v>
      </c>
      <c r="J3" s="255">
        <f>calculRISKS!W2</f>
        <v>0.16018404479999995</v>
      </c>
      <c r="K3" s="29" t="s">
        <v>109</v>
      </c>
      <c r="L3" s="30" t="s">
        <v>89</v>
      </c>
    </row>
    <row r="4" spans="4:14">
      <c r="D4" s="819" t="s">
        <v>35</v>
      </c>
      <c r="E4" s="28">
        <f t="shared" ref="E4:E23" si="0">IF(F4&gt;1,1,F4)</f>
        <v>1</v>
      </c>
      <c r="F4" s="28">
        <f t="shared" ref="F4:F23" si="1">(J4/I4)</f>
        <v>1.4400000000000002</v>
      </c>
      <c r="G4" s="819" t="s">
        <v>35</v>
      </c>
      <c r="H4" s="257">
        <f>calculRISKS!U3</f>
        <v>0.12692307692307359</v>
      </c>
      <c r="I4" s="255">
        <f>calculRISKS!$V3</f>
        <v>0.15230769230768829</v>
      </c>
      <c r="J4" s="255">
        <f>calculRISKS!W3</f>
        <v>0.21932307692307115</v>
      </c>
      <c r="K4" s="29" t="s">
        <v>111</v>
      </c>
      <c r="L4" s="30" t="s">
        <v>89</v>
      </c>
    </row>
    <row r="5" spans="4:14">
      <c r="D5" s="18" t="s">
        <v>36</v>
      </c>
      <c r="E5" s="28">
        <f t="shared" si="0"/>
        <v>1</v>
      </c>
      <c r="F5" s="28">
        <f t="shared" si="1"/>
        <v>1.4400000000000002</v>
      </c>
      <c r="G5" s="18" t="s">
        <v>36</v>
      </c>
      <c r="H5" s="257">
        <f>calculRISKS!U4</f>
        <v>5.8185714285714119E-2</v>
      </c>
      <c r="I5" s="255">
        <f>calculRISKS!$V4</f>
        <v>6.9822857142856937E-2</v>
      </c>
      <c r="J5" s="255">
        <f>calculRISKS!W4</f>
        <v>0.10054491428571399</v>
      </c>
      <c r="K5" s="29" t="s">
        <v>112</v>
      </c>
      <c r="L5" s="30" t="s">
        <v>89</v>
      </c>
    </row>
    <row r="6" spans="4:14">
      <c r="D6" s="18" t="s">
        <v>37</v>
      </c>
      <c r="E6" s="28">
        <f t="shared" si="0"/>
        <v>1</v>
      </c>
      <c r="F6" s="28">
        <f t="shared" si="1"/>
        <v>1.44</v>
      </c>
      <c r="G6" s="18" t="s">
        <v>37</v>
      </c>
      <c r="H6" s="257">
        <f>calculRISKS!U5</f>
        <v>8.8500000000001855E-2</v>
      </c>
      <c r="I6" s="255">
        <f>calculRISKS!$V5</f>
        <v>0.19116000000000402</v>
      </c>
      <c r="J6" s="255">
        <f>calculRISKS!W5</f>
        <v>0.2752704000000058</v>
      </c>
      <c r="K6" s="29" t="s">
        <v>110</v>
      </c>
      <c r="L6" s="30" t="s">
        <v>89</v>
      </c>
    </row>
    <row r="7" spans="4:14">
      <c r="D7" s="18" t="s">
        <v>38</v>
      </c>
      <c r="E7" s="28">
        <f t="shared" si="0"/>
        <v>1</v>
      </c>
      <c r="F7" s="28">
        <f t="shared" si="1"/>
        <v>1.2</v>
      </c>
      <c r="G7" s="18" t="s">
        <v>38</v>
      </c>
      <c r="H7" s="257">
        <f>calculRISKS!U6</f>
        <v>2.2605714285714267E-2</v>
      </c>
      <c r="I7" s="255">
        <f>calculRISKS!$V6</f>
        <v>2.1701485714285696E-2</v>
      </c>
      <c r="J7" s="255">
        <f>calculRISKS!W6</f>
        <v>2.6041782857142835E-2</v>
      </c>
      <c r="K7" s="29" t="s">
        <v>113</v>
      </c>
      <c r="L7" s="30" t="s">
        <v>89</v>
      </c>
    </row>
    <row r="8" spans="4:14">
      <c r="D8" s="18" t="s">
        <v>39</v>
      </c>
      <c r="E8" s="28">
        <f t="shared" si="0"/>
        <v>1</v>
      </c>
      <c r="F8" s="28">
        <f t="shared" si="1"/>
        <v>1.4399999999999997</v>
      </c>
      <c r="G8" s="18" t="s">
        <v>39</v>
      </c>
      <c r="H8" s="257">
        <f>calculRISKS!U7</f>
        <v>1.7839229637549608E-2</v>
      </c>
      <c r="I8" s="255">
        <f>calculRISKS!$V7</f>
        <v>2.3119641610264294E-2</v>
      </c>
      <c r="J8" s="255">
        <f>calculRISKS!W7</f>
        <v>3.3292283918780578E-2</v>
      </c>
      <c r="K8" s="29" t="s">
        <v>125</v>
      </c>
      <c r="L8" s="30" t="s">
        <v>89</v>
      </c>
    </row>
    <row r="9" spans="4:14">
      <c r="D9" s="18" t="s">
        <v>250</v>
      </c>
      <c r="E9" s="28">
        <f t="shared" si="0"/>
        <v>1</v>
      </c>
      <c r="F9" s="28">
        <f t="shared" si="1"/>
        <v>1</v>
      </c>
      <c r="G9" s="18" t="s">
        <v>250</v>
      </c>
      <c r="H9" s="257">
        <f>calculRISKS!U8</f>
        <v>0.13600000000000009</v>
      </c>
      <c r="I9" s="255">
        <f>calculRISKS!$V8</f>
        <v>0.20127264851439713</v>
      </c>
      <c r="J9" s="255">
        <f>calculRISKS!W8</f>
        <v>0.20127264851439713</v>
      </c>
    </row>
    <row r="10" spans="4:14">
      <c r="D10" s="18" t="s">
        <v>41</v>
      </c>
      <c r="E10" s="28">
        <f t="shared" si="0"/>
        <v>1</v>
      </c>
      <c r="F10" s="28">
        <f t="shared" si="1"/>
        <v>1.44</v>
      </c>
      <c r="G10" s="18" t="s">
        <v>41</v>
      </c>
      <c r="H10" s="257">
        <f>calculRISKS!U9</f>
        <v>8.0000000000000016E-2</v>
      </c>
      <c r="I10" s="255">
        <f>calculRISKS!$V9</f>
        <v>8.0000000000000016E-2</v>
      </c>
      <c r="J10" s="255">
        <f>calculRISKS!W9</f>
        <v>0.11520000000000002</v>
      </c>
    </row>
    <row r="11" spans="4:14">
      <c r="D11" s="18" t="s">
        <v>42</v>
      </c>
      <c r="E11" s="28">
        <f t="shared" si="0"/>
        <v>1</v>
      </c>
      <c r="F11" s="28">
        <f t="shared" si="1"/>
        <v>1</v>
      </c>
      <c r="G11" s="18" t="s">
        <v>42</v>
      </c>
      <c r="H11" s="257">
        <f>calculRISKS!U10</f>
        <v>0.30000000000000004</v>
      </c>
      <c r="I11" s="255">
        <f>calculRISKS!$V10</f>
        <v>1</v>
      </c>
      <c r="J11" s="255">
        <f>calculRISKS!W10</f>
        <v>1</v>
      </c>
    </row>
    <row r="12" spans="4:14">
      <c r="D12" s="18" t="s">
        <v>43</v>
      </c>
      <c r="E12" s="28">
        <f t="shared" si="0"/>
        <v>1</v>
      </c>
      <c r="F12" s="28">
        <f t="shared" si="1"/>
        <v>1.44</v>
      </c>
      <c r="G12" s="18" t="s">
        <v>43</v>
      </c>
      <c r="H12" s="257">
        <f>calculRISKS!U11</f>
        <v>2.8857142857142887E-2</v>
      </c>
      <c r="I12" s="255">
        <f>calculRISKS!$V11</f>
        <v>3.1165714285714321E-2</v>
      </c>
      <c r="J12" s="255">
        <f>calculRISKS!W11</f>
        <v>4.4878628571428623E-2</v>
      </c>
    </row>
    <row r="13" spans="4:14">
      <c r="D13" s="18" t="s">
        <v>44</v>
      </c>
      <c r="E13" s="28">
        <f t="shared" si="0"/>
        <v>1</v>
      </c>
      <c r="F13" s="28">
        <f t="shared" si="1"/>
        <v>1</v>
      </c>
      <c r="G13" s="18" t="s">
        <v>44</v>
      </c>
      <c r="H13" s="257">
        <f>calculRISKS!U12</f>
        <v>0.18428571428571433</v>
      </c>
      <c r="I13" s="255">
        <f>calculRISKS!$V12</f>
        <v>0.36857142857142866</v>
      </c>
      <c r="J13" s="255">
        <f>calculRISKS!W12</f>
        <v>0.36857142857142866</v>
      </c>
    </row>
    <row r="14" spans="4:14">
      <c r="D14" s="18" t="s">
        <v>45</v>
      </c>
      <c r="E14" s="28">
        <f t="shared" si="0"/>
        <v>1</v>
      </c>
      <c r="F14" s="28">
        <f t="shared" si="1"/>
        <v>1.44</v>
      </c>
      <c r="G14" s="18" t="s">
        <v>45</v>
      </c>
      <c r="H14" s="257">
        <f>calculRISKS!U13</f>
        <v>0.02</v>
      </c>
      <c r="I14" s="255">
        <f>calculRISKS!$V13</f>
        <v>1.8000000000000002E-2</v>
      </c>
      <c r="J14" s="255">
        <f>calculRISKS!W13</f>
        <v>2.5920000000000002E-2</v>
      </c>
    </row>
    <row r="15" spans="4:14">
      <c r="D15" s="18" t="s">
        <v>46</v>
      </c>
      <c r="E15" s="28">
        <f t="shared" si="0"/>
        <v>1</v>
      </c>
      <c r="F15" s="28">
        <f t="shared" si="1"/>
        <v>1.4400000000000002</v>
      </c>
      <c r="G15" s="18" t="s">
        <v>46</v>
      </c>
      <c r="H15" s="257">
        <f>calculRISKS!U14</f>
        <v>0.04</v>
      </c>
      <c r="I15" s="255">
        <f>calculRISKS!$V14</f>
        <v>4.3200000000000002E-2</v>
      </c>
      <c r="J15" s="255">
        <f>calculRISKS!W14</f>
        <v>6.2208000000000006E-2</v>
      </c>
    </row>
    <row r="16" spans="4:14">
      <c r="D16" s="18" t="s">
        <v>47</v>
      </c>
      <c r="E16" s="28">
        <f t="shared" si="0"/>
        <v>1</v>
      </c>
      <c r="F16" s="28">
        <f t="shared" si="1"/>
        <v>1</v>
      </c>
      <c r="G16" s="18" t="s">
        <v>47</v>
      </c>
      <c r="H16" s="257">
        <f>calculRISKS!U15</f>
        <v>8.4744944362156988E-2</v>
      </c>
      <c r="I16" s="255">
        <f>calculRISKS!$V15</f>
        <v>5.6255523333333335E-2</v>
      </c>
      <c r="J16" s="255">
        <f>calculRISKS!W15</f>
        <v>5.6255523333333335E-2</v>
      </c>
    </row>
    <row r="17" spans="3:10">
      <c r="D17" s="18" t="s">
        <v>48</v>
      </c>
      <c r="E17" s="28">
        <f t="shared" si="0"/>
        <v>1</v>
      </c>
      <c r="F17" s="28">
        <f t="shared" si="1"/>
        <v>1.728</v>
      </c>
      <c r="G17" s="18" t="s">
        <v>48</v>
      </c>
      <c r="H17" s="257">
        <f>calculRISKS!U16</f>
        <v>0.12590909090909078</v>
      </c>
      <c r="I17" s="255">
        <f>calculRISKS!$V16</f>
        <v>0.16876657</v>
      </c>
      <c r="J17" s="255">
        <f>calculRISKS!W16</f>
        <v>0.29162863296000002</v>
      </c>
    </row>
    <row r="18" spans="3:10">
      <c r="D18" s="18" t="s">
        <v>49</v>
      </c>
      <c r="E18" s="28">
        <f t="shared" si="0"/>
        <v>1</v>
      </c>
      <c r="F18" s="28">
        <f t="shared" si="1"/>
        <v>1.4399999999999997</v>
      </c>
      <c r="G18" s="18" t="s">
        <v>49</v>
      </c>
      <c r="H18" s="257">
        <f>calculRISKS!U17</f>
        <v>1.3226190598443793E-2</v>
      </c>
      <c r="I18" s="255">
        <f>calculRISKS!$V17</f>
        <v>1.3226190598443794E-4</v>
      </c>
      <c r="J18" s="255">
        <f>calculRISKS!W17</f>
        <v>1.904571446175906E-4</v>
      </c>
    </row>
    <row r="19" spans="3:10">
      <c r="D19" s="18" t="s">
        <v>50</v>
      </c>
      <c r="E19" s="28">
        <f t="shared" si="0"/>
        <v>1</v>
      </c>
      <c r="F19" s="28">
        <f t="shared" si="1"/>
        <v>14.4</v>
      </c>
      <c r="G19" s="18" t="s">
        <v>50</v>
      </c>
      <c r="H19" s="257">
        <f>calculRISKS!U18</f>
        <v>2.1106944624596235E-2</v>
      </c>
      <c r="I19" s="255">
        <f>calculRISKS!$V18</f>
        <v>1.0553472312298117E-3</v>
      </c>
      <c r="J19" s="255">
        <f>calculRISKS!W18</f>
        <v>1.5197000129709289E-2</v>
      </c>
    </row>
    <row r="20" spans="3:10">
      <c r="D20" s="18" t="s">
        <v>51</v>
      </c>
      <c r="E20" s="28">
        <f t="shared" si="0"/>
        <v>1</v>
      </c>
      <c r="F20" s="28">
        <f t="shared" si="1"/>
        <v>1.44</v>
      </c>
      <c r="G20" s="18" t="s">
        <v>51</v>
      </c>
      <c r="H20" s="257">
        <f>calculRISKS!U19</f>
        <v>0.06</v>
      </c>
      <c r="I20" s="255">
        <f>calculRISKS!$V19</f>
        <v>5.3999999999999999E-2</v>
      </c>
      <c r="J20" s="255">
        <f>calculRISKS!W19</f>
        <v>7.7759999999999996E-2</v>
      </c>
    </row>
    <row r="21" spans="3:10">
      <c r="D21" s="18" t="s">
        <v>52</v>
      </c>
      <c r="E21" s="28">
        <f t="shared" si="0"/>
        <v>1</v>
      </c>
      <c r="F21" s="28">
        <f t="shared" si="1"/>
        <v>1.44</v>
      </c>
      <c r="G21" s="18" t="s">
        <v>52</v>
      </c>
      <c r="H21" s="257">
        <f>calculRISKS!U20</f>
        <v>3.0041817079767899E-3</v>
      </c>
      <c r="I21" s="255">
        <f>calculRISKS!$V20</f>
        <v>2.7037635371791112E-3</v>
      </c>
      <c r="J21" s="255">
        <f>calculRISKS!W20</f>
        <v>3.8934194935379201E-3</v>
      </c>
    </row>
    <row r="22" spans="3:10">
      <c r="D22" s="18" t="s">
        <v>2023</v>
      </c>
      <c r="E22" s="28">
        <f t="shared" si="0"/>
        <v>1</v>
      </c>
      <c r="F22" s="28">
        <f t="shared" si="1"/>
        <v>1.44</v>
      </c>
      <c r="G22" s="18" t="s">
        <v>2023</v>
      </c>
      <c r="H22" s="257">
        <f>calculRISKS!U21</f>
        <v>5.5698441558441698E-4</v>
      </c>
      <c r="I22" s="255">
        <f>calculRISKS!$V21</f>
        <v>6.0154316883117035E-4</v>
      </c>
      <c r="J22" s="255">
        <f>calculRISKS!W21</f>
        <v>8.6622216311688528E-4</v>
      </c>
    </row>
    <row r="23" spans="3:10">
      <c r="D23" s="23" t="s">
        <v>596</v>
      </c>
      <c r="E23" s="28">
        <f t="shared" si="0"/>
        <v>1</v>
      </c>
      <c r="F23" s="28">
        <f t="shared" si="1"/>
        <v>1.4399999999999997</v>
      </c>
      <c r="G23" s="23" t="s">
        <v>596</v>
      </c>
      <c r="H23" s="257">
        <f>calculRISKS!U22</f>
        <v>8.7816607981331396E-3</v>
      </c>
      <c r="I23" s="255">
        <f>calculRISKS!$V22</f>
        <v>7.9034947183198264E-4</v>
      </c>
      <c r="J23" s="255">
        <f>calculRISKS!W22</f>
        <v>1.1381032394380548E-3</v>
      </c>
    </row>
    <row r="25" spans="3:10">
      <c r="C25" s="20"/>
    </row>
  </sheetData>
  <conditionalFormatting sqref="D2">
    <cfRule type="iconSet" priority="5">
      <iconSet reverse="1">
        <cfvo type="percent" val="0"/>
        <cfvo type="percent" val="33"/>
        <cfvo type="percent" val="67"/>
      </iconSet>
    </cfRule>
  </conditionalFormatting>
  <conditionalFormatting sqref="D13">
    <cfRule type="colorScale" priority="4">
      <colorScale>
        <cfvo type="min"/>
        <cfvo type="percentile" val="50"/>
        <cfvo type="max"/>
        <color rgb="FF5A8AC6"/>
        <color rgb="FFFCFCFF"/>
        <color rgb="FFF8696B"/>
      </colorScale>
    </cfRule>
  </conditionalFormatting>
  <conditionalFormatting sqref="D14:D19 D4:D12">
    <cfRule type="colorScale" priority="6">
      <colorScale>
        <cfvo type="min"/>
        <cfvo type="percentile" val="50"/>
        <cfvo type="max"/>
        <color rgb="FF5A8AC6"/>
        <color rgb="FFFCFCFF"/>
        <color rgb="FFF8696B"/>
      </colorScale>
    </cfRule>
  </conditionalFormatting>
  <conditionalFormatting sqref="D20">
    <cfRule type="colorScale" priority="3">
      <colorScale>
        <cfvo type="min"/>
        <cfvo type="percentile" val="50"/>
        <cfvo type="max"/>
        <color rgb="FF5A8AC6"/>
        <color rgb="FFFCFCFF"/>
        <color rgb="FFF8696B"/>
      </colorScale>
    </cfRule>
  </conditionalFormatting>
  <conditionalFormatting sqref="D21">
    <cfRule type="colorScale" priority="2">
      <colorScale>
        <cfvo type="min"/>
        <cfvo type="percentile" val="50"/>
        <cfvo type="max"/>
        <color rgb="FF5A8AC6"/>
        <color rgb="FFFCFCFF"/>
        <color rgb="FFF8696B"/>
      </colorScale>
    </cfRule>
  </conditionalFormatting>
  <conditionalFormatting sqref="D22">
    <cfRule type="iconSet" priority="1">
      <iconSet reverse="1">
        <cfvo type="percent" val="0"/>
        <cfvo type="percent" val="33"/>
        <cfvo type="percent" val="67"/>
      </iconSet>
    </cfRule>
  </conditionalFormatting>
  <conditionalFormatting sqref="E1:E1048576">
    <cfRule type="colorScale" priority="8">
      <colorScale>
        <cfvo type="min"/>
        <cfvo type="percentile" val="50"/>
        <cfvo type="max"/>
        <color rgb="FF63BE7B"/>
        <color rgb="FFFFEB84"/>
        <color rgb="FFF8696B"/>
      </colorScale>
    </cfRule>
  </conditionalFormatting>
  <conditionalFormatting sqref="F1:F1048576">
    <cfRule type="colorScale" priority="7">
      <colorScale>
        <cfvo type="min"/>
        <cfvo type="percentile" val="50"/>
        <cfvo type="max"/>
        <color rgb="FF5A8AC6"/>
        <color rgb="FFFCFCFF"/>
        <color rgb="FFF8696B"/>
      </colorScale>
    </cfRule>
  </conditionalFormatting>
  <conditionalFormatting sqref="F3:F23">
    <cfRule type="colorScale" priority="14">
      <colorScale>
        <cfvo type="min"/>
        <cfvo type="percentile" val="50"/>
        <cfvo type="max"/>
        <color rgb="FF63BE7B"/>
        <color rgb="FFFFEB84"/>
        <color rgb="FFF8696B"/>
      </colorScale>
    </cfRule>
  </conditionalFormatting>
  <conditionalFormatting sqref="G2">
    <cfRule type="iconSet" priority="75">
      <iconSet reverse="1">
        <cfvo type="percent" val="0"/>
        <cfvo type="percent" val="33"/>
        <cfvo type="percent" val="67"/>
      </iconSet>
    </cfRule>
  </conditionalFormatting>
  <conditionalFormatting sqref="G13">
    <cfRule type="colorScale" priority="74">
      <colorScale>
        <cfvo type="min"/>
        <cfvo type="percentile" val="50"/>
        <cfvo type="max"/>
        <color rgb="FF5A8AC6"/>
        <color rgb="FFFCFCFF"/>
        <color rgb="FFF8696B"/>
      </colorScale>
    </cfRule>
  </conditionalFormatting>
  <conditionalFormatting sqref="G14:G19 G4:G12">
    <cfRule type="colorScale" priority="76">
      <colorScale>
        <cfvo type="min"/>
        <cfvo type="percentile" val="50"/>
        <cfvo type="max"/>
        <color rgb="FF5A8AC6"/>
        <color rgb="FFFCFCFF"/>
        <color rgb="FFF8696B"/>
      </colorScale>
    </cfRule>
  </conditionalFormatting>
  <conditionalFormatting sqref="G20">
    <cfRule type="colorScale" priority="73">
      <colorScale>
        <cfvo type="min"/>
        <cfvo type="percentile" val="50"/>
        <cfvo type="max"/>
        <color rgb="FF5A8AC6"/>
        <color rgb="FFFCFCFF"/>
        <color rgb="FFF8696B"/>
      </colorScale>
    </cfRule>
  </conditionalFormatting>
  <conditionalFormatting sqref="G21">
    <cfRule type="colorScale" priority="72">
      <colorScale>
        <cfvo type="min"/>
        <cfvo type="percentile" val="50"/>
        <cfvo type="max"/>
        <color rgb="FF5A8AC6"/>
        <color rgb="FFFCFCFF"/>
        <color rgb="FFF8696B"/>
      </colorScale>
    </cfRule>
  </conditionalFormatting>
  <conditionalFormatting sqref="G22">
    <cfRule type="iconSet" priority="71">
      <iconSet reverse="1">
        <cfvo type="percent" val="0"/>
        <cfvo type="percent" val="33"/>
        <cfvo type="percent" val="67"/>
      </iconSet>
    </cfRule>
  </conditionalFormatting>
  <conditionalFormatting sqref="H4:H23">
    <cfRule type="colorScale" priority="38">
      <colorScale>
        <cfvo type="min"/>
        <cfvo type="percentile" val="50"/>
        <cfvo type="max"/>
        <color rgb="FF63BE7B"/>
        <color rgb="FFFFEB84"/>
        <color rgb="FFF8696B"/>
      </colorScale>
    </cfRule>
  </conditionalFormatting>
  <conditionalFormatting sqref="H3:J3">
    <cfRule type="colorScale" priority="17">
      <colorScale>
        <cfvo type="min"/>
        <cfvo type="percentile" val="50"/>
        <cfvo type="max"/>
        <color rgb="FF63BE7B"/>
        <color rgb="FFFFEB84"/>
        <color rgb="FFF8696B"/>
      </colorScale>
    </cfRule>
  </conditionalFormatting>
  <conditionalFormatting sqref="H4:J4">
    <cfRule type="colorScale" priority="16">
      <colorScale>
        <cfvo type="min"/>
        <cfvo type="percentile" val="50"/>
        <cfvo type="max"/>
        <color rgb="FF63BE7B"/>
        <color rgb="FFFFEB84"/>
        <color rgb="FFF8696B"/>
      </colorScale>
    </cfRule>
  </conditionalFormatting>
  <conditionalFormatting sqref="H5:J5">
    <cfRule type="colorScale" priority="15">
      <colorScale>
        <cfvo type="min"/>
        <cfvo type="percentile" val="50"/>
        <cfvo type="max"/>
        <color rgb="FF63BE7B"/>
        <color rgb="FFFFEB84"/>
        <color rgb="FFF8696B"/>
      </colorScale>
    </cfRule>
  </conditionalFormatting>
  <conditionalFormatting sqref="H6:J6">
    <cfRule type="colorScale" priority="20">
      <colorScale>
        <cfvo type="min"/>
        <cfvo type="percentile" val="50"/>
        <cfvo type="max"/>
        <color rgb="FF63BE7B"/>
        <color rgb="FFFFEB84"/>
        <color rgb="FFF8696B"/>
      </colorScale>
    </cfRule>
  </conditionalFormatting>
  <conditionalFormatting sqref="H7:J7">
    <cfRule type="colorScale" priority="21">
      <colorScale>
        <cfvo type="min"/>
        <cfvo type="percentile" val="50"/>
        <cfvo type="max"/>
        <color rgb="FF63BE7B"/>
        <color rgb="FFFFEB84"/>
        <color rgb="FFF8696B"/>
      </colorScale>
    </cfRule>
  </conditionalFormatting>
  <conditionalFormatting sqref="H8:J8">
    <cfRule type="colorScale" priority="22">
      <colorScale>
        <cfvo type="min"/>
        <cfvo type="percentile" val="50"/>
        <cfvo type="max"/>
        <color rgb="FF63BE7B"/>
        <color rgb="FFFFEB84"/>
        <color rgb="FFF8696B"/>
      </colorScale>
    </cfRule>
  </conditionalFormatting>
  <conditionalFormatting sqref="H9:J9">
    <cfRule type="colorScale" priority="23">
      <colorScale>
        <cfvo type="min"/>
        <cfvo type="percentile" val="50"/>
        <cfvo type="max"/>
        <color rgb="FF63BE7B"/>
        <color rgb="FFFFEB84"/>
        <color rgb="FFF8696B"/>
      </colorScale>
    </cfRule>
  </conditionalFormatting>
  <conditionalFormatting sqref="H10:J10">
    <cfRule type="colorScale" priority="24">
      <colorScale>
        <cfvo type="min"/>
        <cfvo type="percentile" val="50"/>
        <cfvo type="max"/>
        <color rgb="FF63BE7B"/>
        <color rgb="FFFFEB84"/>
        <color rgb="FFF8696B"/>
      </colorScale>
    </cfRule>
  </conditionalFormatting>
  <conditionalFormatting sqref="H11:J11">
    <cfRule type="colorScale" priority="25">
      <colorScale>
        <cfvo type="min"/>
        <cfvo type="percentile" val="50"/>
        <cfvo type="max"/>
        <color rgb="FF63BE7B"/>
        <color rgb="FFFFEB84"/>
        <color rgb="FFF8696B"/>
      </colorScale>
    </cfRule>
  </conditionalFormatting>
  <conditionalFormatting sqref="H12:J12">
    <cfRule type="colorScale" priority="26">
      <colorScale>
        <cfvo type="min"/>
        <cfvo type="percentile" val="50"/>
        <cfvo type="max"/>
        <color rgb="FF63BE7B"/>
        <color rgb="FFFFEB84"/>
        <color rgb="FFF8696B"/>
      </colorScale>
    </cfRule>
  </conditionalFormatting>
  <conditionalFormatting sqref="H13:J13">
    <cfRule type="colorScale" priority="27">
      <colorScale>
        <cfvo type="min"/>
        <cfvo type="percentile" val="50"/>
        <cfvo type="max"/>
        <color rgb="FF63BE7B"/>
        <color rgb="FFFFEB84"/>
        <color rgb="FFF8696B"/>
      </colorScale>
    </cfRule>
  </conditionalFormatting>
  <conditionalFormatting sqref="H14:J14">
    <cfRule type="colorScale" priority="28">
      <colorScale>
        <cfvo type="min"/>
        <cfvo type="percentile" val="50"/>
        <cfvo type="max"/>
        <color rgb="FF63BE7B"/>
        <color rgb="FFFFEB84"/>
        <color rgb="FFF8696B"/>
      </colorScale>
    </cfRule>
  </conditionalFormatting>
  <conditionalFormatting sqref="H15:J15">
    <cfRule type="colorScale" priority="29">
      <colorScale>
        <cfvo type="min"/>
        <cfvo type="percentile" val="50"/>
        <cfvo type="max"/>
        <color rgb="FF63BE7B"/>
        <color rgb="FFFFEB84"/>
        <color rgb="FFF8696B"/>
      </colorScale>
    </cfRule>
  </conditionalFormatting>
  <conditionalFormatting sqref="H16:J16">
    <cfRule type="colorScale" priority="30">
      <colorScale>
        <cfvo type="min"/>
        <cfvo type="percentile" val="50"/>
        <cfvo type="max"/>
        <color rgb="FF63BE7B"/>
        <color rgb="FFFFEB84"/>
        <color rgb="FFF8696B"/>
      </colorScale>
    </cfRule>
  </conditionalFormatting>
  <conditionalFormatting sqref="H17:J17">
    <cfRule type="colorScale" priority="31">
      <colorScale>
        <cfvo type="min"/>
        <cfvo type="percentile" val="50"/>
        <cfvo type="max"/>
        <color rgb="FF63BE7B"/>
        <color rgb="FFFFEB84"/>
        <color rgb="FFF8696B"/>
      </colorScale>
    </cfRule>
  </conditionalFormatting>
  <conditionalFormatting sqref="H18:J18">
    <cfRule type="colorScale" priority="32">
      <colorScale>
        <cfvo type="min"/>
        <cfvo type="percentile" val="50"/>
        <cfvo type="max"/>
        <color rgb="FF63BE7B"/>
        <color rgb="FFFFEB84"/>
        <color rgb="FFF8696B"/>
      </colorScale>
    </cfRule>
  </conditionalFormatting>
  <conditionalFormatting sqref="H19:J19">
    <cfRule type="colorScale" priority="33">
      <colorScale>
        <cfvo type="min"/>
        <cfvo type="percentile" val="50"/>
        <cfvo type="max"/>
        <color rgb="FF63BE7B"/>
        <color rgb="FFFFEB84"/>
        <color rgb="FFF8696B"/>
      </colorScale>
    </cfRule>
  </conditionalFormatting>
  <conditionalFormatting sqref="H20:J20">
    <cfRule type="colorScale" priority="34">
      <colorScale>
        <cfvo type="min"/>
        <cfvo type="percentile" val="50"/>
        <cfvo type="max"/>
        <color rgb="FF63BE7B"/>
        <color rgb="FFFFEB84"/>
        <color rgb="FFF8696B"/>
      </colorScale>
    </cfRule>
  </conditionalFormatting>
  <conditionalFormatting sqref="H21:J21">
    <cfRule type="colorScale" priority="35">
      <colorScale>
        <cfvo type="min"/>
        <cfvo type="percentile" val="50"/>
        <cfvo type="max"/>
        <color rgb="FF63BE7B"/>
        <color rgb="FFFFEB84"/>
        <color rgb="FFF8696B"/>
      </colorScale>
    </cfRule>
  </conditionalFormatting>
  <conditionalFormatting sqref="H22:J22">
    <cfRule type="colorScale" priority="36">
      <colorScale>
        <cfvo type="min"/>
        <cfvo type="percentile" val="50"/>
        <cfvo type="max"/>
        <color rgb="FF63BE7B"/>
        <color rgb="FFFFEB84"/>
        <color rgb="FFF8696B"/>
      </colorScale>
    </cfRule>
  </conditionalFormatting>
  <conditionalFormatting sqref="H23:J23">
    <cfRule type="colorScale" priority="37">
      <colorScale>
        <cfvo type="min"/>
        <cfvo type="percentile" val="50"/>
        <cfvo type="max"/>
        <color rgb="FF63BE7B"/>
        <color rgb="FFFFEB84"/>
        <color rgb="FFF8696B"/>
      </colorScale>
    </cfRule>
  </conditionalFormatting>
  <conditionalFormatting sqref="I4:J4">
    <cfRule type="colorScale" priority="59">
      <colorScale>
        <cfvo type="min"/>
        <cfvo type="percentile" val="50"/>
        <cfvo type="max"/>
        <color rgb="FF63BE7B"/>
        <color rgb="FFFFEB84"/>
        <color rgb="FFF8696B"/>
      </colorScale>
    </cfRule>
  </conditionalFormatting>
  <conditionalFormatting sqref="I5:J5">
    <cfRule type="colorScale" priority="58">
      <colorScale>
        <cfvo type="min"/>
        <cfvo type="percentile" val="50"/>
        <cfvo type="max"/>
        <color rgb="FF63BE7B"/>
        <color rgb="FFFFEB84"/>
        <color rgb="FFF8696B"/>
      </colorScale>
    </cfRule>
  </conditionalFormatting>
  <conditionalFormatting sqref="I6:J6">
    <cfRule type="colorScale" priority="57">
      <colorScale>
        <cfvo type="min"/>
        <cfvo type="percentile" val="50"/>
        <cfvo type="max"/>
        <color rgb="FF63BE7B"/>
        <color rgb="FFFFEB84"/>
        <color rgb="FFF8696B"/>
      </colorScale>
    </cfRule>
  </conditionalFormatting>
  <conditionalFormatting sqref="I7:J7">
    <cfRule type="colorScale" priority="56">
      <colorScale>
        <cfvo type="min"/>
        <cfvo type="percentile" val="50"/>
        <cfvo type="max"/>
        <color rgb="FF63BE7B"/>
        <color rgb="FFFFEB84"/>
        <color rgb="FFF8696B"/>
      </colorScale>
    </cfRule>
  </conditionalFormatting>
  <conditionalFormatting sqref="I8:J8">
    <cfRule type="colorScale" priority="55">
      <colorScale>
        <cfvo type="min"/>
        <cfvo type="percentile" val="50"/>
        <cfvo type="max"/>
        <color rgb="FF63BE7B"/>
        <color rgb="FFFFEB84"/>
        <color rgb="FFF8696B"/>
      </colorScale>
    </cfRule>
  </conditionalFormatting>
  <conditionalFormatting sqref="I9:J9">
    <cfRule type="colorScale" priority="54">
      <colorScale>
        <cfvo type="min"/>
        <cfvo type="percentile" val="50"/>
        <cfvo type="max"/>
        <color rgb="FF63BE7B"/>
        <color rgb="FFFFEB84"/>
        <color rgb="FFF8696B"/>
      </colorScale>
    </cfRule>
  </conditionalFormatting>
  <conditionalFormatting sqref="I10:J10">
    <cfRule type="colorScale" priority="53">
      <colorScale>
        <cfvo type="min"/>
        <cfvo type="percentile" val="50"/>
        <cfvo type="max"/>
        <color rgb="FF63BE7B"/>
        <color rgb="FFFFEB84"/>
        <color rgb="FFF8696B"/>
      </colorScale>
    </cfRule>
  </conditionalFormatting>
  <conditionalFormatting sqref="I11:J11">
    <cfRule type="colorScale" priority="52">
      <colorScale>
        <cfvo type="min"/>
        <cfvo type="percentile" val="50"/>
        <cfvo type="max"/>
        <color rgb="FF63BE7B"/>
        <color rgb="FFFFEB84"/>
        <color rgb="FFF8696B"/>
      </colorScale>
    </cfRule>
  </conditionalFormatting>
  <conditionalFormatting sqref="I12:J12">
    <cfRule type="colorScale" priority="50">
      <colorScale>
        <cfvo type="min"/>
        <cfvo type="percentile" val="50"/>
        <cfvo type="max"/>
        <color rgb="FF63BE7B"/>
        <color rgb="FFFFEB84"/>
        <color rgb="FFF8696B"/>
      </colorScale>
    </cfRule>
  </conditionalFormatting>
  <conditionalFormatting sqref="I13:J13">
    <cfRule type="colorScale" priority="49">
      <colorScale>
        <cfvo type="min"/>
        <cfvo type="percentile" val="50"/>
        <cfvo type="max"/>
        <color rgb="FF63BE7B"/>
        <color rgb="FFFFEB84"/>
        <color rgb="FFF8696B"/>
      </colorScale>
    </cfRule>
  </conditionalFormatting>
  <conditionalFormatting sqref="I14:J14">
    <cfRule type="colorScale" priority="48">
      <colorScale>
        <cfvo type="min"/>
        <cfvo type="percentile" val="50"/>
        <cfvo type="max"/>
        <color rgb="FF63BE7B"/>
        <color rgb="FFFFEB84"/>
        <color rgb="FFF8696B"/>
      </colorScale>
    </cfRule>
  </conditionalFormatting>
  <conditionalFormatting sqref="I15:J15">
    <cfRule type="colorScale" priority="47">
      <colorScale>
        <cfvo type="min"/>
        <cfvo type="percentile" val="50"/>
        <cfvo type="max"/>
        <color rgb="FF63BE7B"/>
        <color rgb="FFFFEB84"/>
        <color rgb="FFF8696B"/>
      </colorScale>
    </cfRule>
  </conditionalFormatting>
  <conditionalFormatting sqref="I16:J16">
    <cfRule type="colorScale" priority="46">
      <colorScale>
        <cfvo type="min"/>
        <cfvo type="percentile" val="50"/>
        <cfvo type="max"/>
        <color rgb="FF63BE7B"/>
        <color rgb="FFFFEB84"/>
        <color rgb="FFF8696B"/>
      </colorScale>
    </cfRule>
  </conditionalFormatting>
  <conditionalFormatting sqref="I17:J17">
    <cfRule type="colorScale" priority="45">
      <colorScale>
        <cfvo type="min"/>
        <cfvo type="percentile" val="50"/>
        <cfvo type="max"/>
        <color rgb="FF63BE7B"/>
        <color rgb="FFFFEB84"/>
        <color rgb="FFF8696B"/>
      </colorScale>
    </cfRule>
  </conditionalFormatting>
  <conditionalFormatting sqref="I18:J18">
    <cfRule type="colorScale" priority="44">
      <colorScale>
        <cfvo type="min"/>
        <cfvo type="percentile" val="50"/>
        <cfvo type="max"/>
        <color rgb="FF63BE7B"/>
        <color rgb="FFFFEB84"/>
        <color rgb="FFF8696B"/>
      </colorScale>
    </cfRule>
  </conditionalFormatting>
  <conditionalFormatting sqref="I19:J19">
    <cfRule type="colorScale" priority="43">
      <colorScale>
        <cfvo type="min"/>
        <cfvo type="percentile" val="50"/>
        <cfvo type="max"/>
        <color rgb="FF63BE7B"/>
        <color rgb="FFFFEB84"/>
        <color rgb="FFF8696B"/>
      </colorScale>
    </cfRule>
  </conditionalFormatting>
  <conditionalFormatting sqref="I20:J20">
    <cfRule type="colorScale" priority="42">
      <colorScale>
        <cfvo type="min"/>
        <cfvo type="percentile" val="50"/>
        <cfvo type="max"/>
        <color rgb="FF63BE7B"/>
        <color rgb="FFFFEB84"/>
        <color rgb="FFF8696B"/>
      </colorScale>
    </cfRule>
  </conditionalFormatting>
  <conditionalFormatting sqref="I21:J21">
    <cfRule type="colorScale" priority="41">
      <colorScale>
        <cfvo type="min"/>
        <cfvo type="percentile" val="50"/>
        <cfvo type="max"/>
        <color rgb="FF63BE7B"/>
        <color rgb="FFFFEB84"/>
        <color rgb="FFF8696B"/>
      </colorScale>
    </cfRule>
  </conditionalFormatting>
  <conditionalFormatting sqref="I22:J22">
    <cfRule type="colorScale" priority="40">
      <colorScale>
        <cfvo type="min"/>
        <cfvo type="percentile" val="50"/>
        <cfvo type="max"/>
        <color rgb="FF63BE7B"/>
        <color rgb="FFFFEB84"/>
        <color rgb="FFF8696B"/>
      </colorScale>
    </cfRule>
  </conditionalFormatting>
  <conditionalFormatting sqref="I23:J23">
    <cfRule type="colorScale" priority="39">
      <colorScale>
        <cfvo type="min"/>
        <cfvo type="percentile" val="50"/>
        <cfvo type="max"/>
        <color rgb="FF63BE7B"/>
        <color rgb="FFFFEB84"/>
        <color rgb="FFF8696B"/>
      </colorScale>
    </cfRule>
  </conditionalFormatting>
  <conditionalFormatting sqref="J4">
    <cfRule type="colorScale" priority="18">
      <colorScale>
        <cfvo type="min"/>
        <cfvo type="percentile" val="50"/>
        <cfvo type="max"/>
        <color rgb="FF63BE7B"/>
        <color rgb="FFFFEB84"/>
        <color rgb="FFF8696B"/>
      </colorScale>
    </cfRule>
  </conditionalFormatting>
  <conditionalFormatting sqref="J12">
    <cfRule type="colorScale" priority="51">
      <colorScale>
        <cfvo type="min"/>
        <cfvo type="percentile" val="50"/>
        <cfvo type="max"/>
        <color rgb="FF63BE7B"/>
        <color rgb="FFFFEB84"/>
        <color rgb="FFF8696B"/>
      </colorScale>
    </cfRule>
  </conditionalFormatting>
  <dataValidations count="1">
    <dataValidation type="list" allowBlank="1" showInputMessage="1" showErrorMessage="1" sqref="L3:L8" xr:uid="{86F40FD1-309E-4DA2-BB53-0509D33FE116}">
      <formula1>$M$2:$N$2</formula1>
    </dataValidation>
  </dataValidations>
  <pageMargins left="0.7" right="0.7" top="0.75" bottom="0.75" header="0.3" footer="0.3"/>
  <pageSetup paperSize="9" scale="8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29695-22B8-4C8E-BECC-A5033AA3CD53}">
  <sheetPr codeName="Feuil3">
    <tabColor rgb="FFFF0000"/>
    <pageSetUpPr fitToPage="1"/>
  </sheetPr>
  <dimension ref="A1:AG465"/>
  <sheetViews>
    <sheetView zoomScale="70" zoomScaleNormal="55" workbookViewId="0">
      <pane ySplit="1" topLeftCell="A65" activePane="bottomLeft" state="frozen"/>
      <selection activeCell="B1" sqref="B1"/>
      <selection pane="bottomLeft" activeCell="F79" sqref="F79"/>
    </sheetView>
  </sheetViews>
  <sheetFormatPr baseColWidth="10" defaultColWidth="97.5546875" defaultRowHeight="17.399999999999999"/>
  <cols>
    <col min="1" max="1" width="49.6640625" style="277" customWidth="1"/>
    <col min="2" max="2" width="41.109375" style="72" customWidth="1"/>
    <col min="3" max="3" width="16.5546875" style="70" customWidth="1"/>
    <col min="4" max="4" width="97.5546875" style="116"/>
    <col min="5" max="5" width="29.77734375" style="72" customWidth="1"/>
    <col min="6" max="6" width="27.5546875" style="76" customWidth="1"/>
    <col min="7" max="7" width="5.5546875" style="72" bestFit="1" customWidth="1"/>
    <col min="8" max="8" width="22.5546875" style="72" bestFit="1" customWidth="1"/>
    <col min="9" max="9" width="18.21875" style="72" bestFit="1" customWidth="1"/>
    <col min="10" max="10" width="25.77734375" style="72" bestFit="1" customWidth="1"/>
    <col min="11" max="11" width="29.88671875" style="72" bestFit="1" customWidth="1"/>
    <col min="12" max="12" width="23.21875" style="72" bestFit="1" customWidth="1"/>
    <col min="13" max="13" width="20.21875" style="72" bestFit="1" customWidth="1"/>
    <col min="14" max="14" width="15" style="72" bestFit="1" customWidth="1"/>
    <col min="15" max="15" width="20.109375" style="72" bestFit="1" customWidth="1"/>
    <col min="16" max="16" width="23" style="72" bestFit="1" customWidth="1"/>
    <col min="17" max="17" width="31.21875" style="72" bestFit="1" customWidth="1"/>
    <col min="18" max="18" width="31.77734375" style="72" bestFit="1" customWidth="1"/>
    <col min="19" max="19" width="28.21875" style="72" bestFit="1" customWidth="1"/>
    <col min="20" max="20" width="27.5546875" style="72" bestFit="1" customWidth="1"/>
    <col min="21" max="21" width="20.77734375" style="72" bestFit="1" customWidth="1"/>
    <col min="22" max="22" width="31.88671875" style="72" bestFit="1" customWidth="1"/>
    <col min="23" max="23" width="33.88671875" style="72" bestFit="1" customWidth="1"/>
    <col min="24" max="24" width="29.88671875" style="72" bestFit="1" customWidth="1"/>
    <col min="25" max="25" width="23" style="72" bestFit="1" customWidth="1"/>
    <col min="26" max="26" width="15.21875" style="72" bestFit="1" customWidth="1"/>
    <col min="27" max="27" width="20.44140625" style="72" bestFit="1" customWidth="1"/>
    <col min="28" max="28" width="22.109375" style="72" bestFit="1" customWidth="1"/>
    <col min="29" max="29" width="35.88671875" style="72" bestFit="1" customWidth="1"/>
    <col min="30" max="30" width="20.44140625" style="72" bestFit="1" customWidth="1"/>
    <col min="31" max="31" width="18.21875" style="72" customWidth="1"/>
    <col min="32" max="16384" width="97.5546875" style="72"/>
  </cols>
  <sheetData>
    <row r="1" spans="1:33">
      <c r="B1" s="97"/>
      <c r="D1" s="114"/>
      <c r="F1" s="98" t="s">
        <v>85</v>
      </c>
      <c r="H1" s="79" t="s">
        <v>86</v>
      </c>
      <c r="I1" s="99">
        <f ca="1">TODAY()</f>
        <v>46223</v>
      </c>
    </row>
    <row r="2" spans="1:33">
      <c r="A2" s="274" t="s">
        <v>203</v>
      </c>
      <c r="B2" s="100"/>
      <c r="D2" s="115" t="s">
        <v>81</v>
      </c>
      <c r="F2" s="73">
        <f ca="1">TODAY()</f>
        <v>46223</v>
      </c>
      <c r="J2" s="101"/>
      <c r="K2" s="101"/>
      <c r="L2" s="101"/>
      <c r="M2" s="101"/>
      <c r="N2" s="101"/>
      <c r="O2" s="101"/>
      <c r="P2" s="101"/>
      <c r="Q2" s="101"/>
      <c r="R2" s="101"/>
      <c r="S2" s="101"/>
      <c r="T2" s="101"/>
      <c r="U2" s="101"/>
      <c r="V2" s="101"/>
      <c r="W2" s="101"/>
      <c r="X2" s="101"/>
      <c r="Y2" s="101"/>
      <c r="Z2" s="101"/>
      <c r="AA2" s="101"/>
      <c r="AB2" s="101"/>
      <c r="AC2" s="101"/>
      <c r="AD2" s="101"/>
      <c r="AE2" s="101"/>
      <c r="AF2" s="101"/>
      <c r="AG2" s="101"/>
    </row>
    <row r="3" spans="1:33">
      <c r="A3" s="275" t="s">
        <v>931</v>
      </c>
      <c r="D3" s="115" t="s">
        <v>645</v>
      </c>
      <c r="F3" s="74" t="str">
        <f>IF(AUTOQUESTIONNAIRE!F3=1,"H","F")</f>
        <v>H</v>
      </c>
      <c r="H3" s="75">
        <f>IF(F3="H",1,0)</f>
        <v>1</v>
      </c>
    </row>
    <row r="4" spans="1:33">
      <c r="A4" s="276" t="s">
        <v>932</v>
      </c>
      <c r="B4" s="85"/>
      <c r="D4" s="116" t="s">
        <v>646</v>
      </c>
      <c r="H4" s="75">
        <f>IF(F3="F",1,0)</f>
        <v>0</v>
      </c>
    </row>
    <row r="5" spans="1:33">
      <c r="A5" s="276" t="s">
        <v>933</v>
      </c>
      <c r="D5" s="116" t="s">
        <v>647</v>
      </c>
      <c r="I5" s="101"/>
      <c r="J5" s="101"/>
      <c r="K5" s="101"/>
      <c r="L5" s="101"/>
      <c r="M5" s="101"/>
      <c r="N5" s="101"/>
      <c r="O5" s="101"/>
      <c r="P5" s="101"/>
      <c r="Q5" s="101"/>
      <c r="R5" s="101"/>
      <c r="S5" s="101"/>
      <c r="T5" s="101"/>
      <c r="U5" s="101"/>
      <c r="V5" s="101"/>
      <c r="W5" s="101"/>
      <c r="X5" s="101"/>
      <c r="Y5" s="101"/>
      <c r="Z5" s="101"/>
      <c r="AA5" s="101"/>
      <c r="AB5" s="101"/>
      <c r="AC5" s="101"/>
      <c r="AD5" s="101"/>
      <c r="AE5" s="101"/>
    </row>
    <row r="6" spans="1:33">
      <c r="A6" s="277" t="s">
        <v>796</v>
      </c>
      <c r="B6" s="72" t="s">
        <v>1011</v>
      </c>
      <c r="D6" s="115" t="s">
        <v>655</v>
      </c>
      <c r="F6" s="111">
        <f>AUTOQUESTIONNAIRE!F4</f>
        <v>65</v>
      </c>
      <c r="I6" s="101"/>
      <c r="J6" s="101"/>
      <c r="K6" s="101"/>
      <c r="L6" s="101"/>
      <c r="M6" s="101"/>
      <c r="N6" s="101"/>
      <c r="O6" s="101"/>
      <c r="P6" s="101"/>
      <c r="Q6" s="101"/>
      <c r="R6" s="101"/>
      <c r="S6" s="101"/>
      <c r="T6" s="101"/>
      <c r="U6" s="101"/>
      <c r="V6" s="101"/>
      <c r="W6" s="101"/>
      <c r="X6" s="101"/>
      <c r="Y6" s="101"/>
      <c r="Z6" s="101"/>
      <c r="AA6" s="101"/>
      <c r="AB6" s="101"/>
      <c r="AC6" s="101"/>
      <c r="AD6" s="101"/>
      <c r="AE6" s="101"/>
    </row>
    <row r="7" spans="1:33">
      <c r="A7" s="278" t="s">
        <v>934</v>
      </c>
      <c r="B7" s="85"/>
      <c r="D7" s="115" t="s">
        <v>734</v>
      </c>
      <c r="E7" s="72" t="s">
        <v>1012</v>
      </c>
      <c r="F7" s="74" t="str">
        <f>IF(AUTOQUESTIONNAIRE!F5=0,"E",IF(AUTOQUESTIONNAIRE!F5=1,"AS","AF"))</f>
        <v>E</v>
      </c>
    </row>
    <row r="8" spans="1:33">
      <c r="A8" s="279" t="s">
        <v>785</v>
      </c>
      <c r="D8" s="116" t="s">
        <v>650</v>
      </c>
      <c r="I8" s="101"/>
      <c r="J8" s="101"/>
      <c r="K8" s="101"/>
      <c r="L8" s="101"/>
      <c r="M8" s="101"/>
      <c r="N8" s="101"/>
      <c r="O8" s="101"/>
      <c r="P8" s="101"/>
      <c r="Q8" s="101"/>
      <c r="R8" s="101"/>
      <c r="S8" s="101"/>
      <c r="T8" s="101"/>
      <c r="U8" s="101"/>
      <c r="V8" s="101"/>
      <c r="W8" s="101"/>
      <c r="X8" s="101"/>
      <c r="Y8" s="101"/>
      <c r="Z8" s="101"/>
      <c r="AA8" s="101"/>
      <c r="AB8" s="101"/>
      <c r="AC8" s="101"/>
      <c r="AD8" s="101"/>
      <c r="AE8" s="101"/>
    </row>
    <row r="9" spans="1:33">
      <c r="A9" s="276" t="s">
        <v>935</v>
      </c>
      <c r="D9" s="116" t="s">
        <v>651</v>
      </c>
      <c r="I9" s="101"/>
      <c r="J9" s="101"/>
      <c r="K9" s="101"/>
      <c r="L9" s="101"/>
      <c r="M9" s="101"/>
      <c r="N9" s="101"/>
      <c r="O9" s="101"/>
      <c r="P9" s="101"/>
      <c r="Q9" s="101"/>
      <c r="R9" s="101"/>
      <c r="S9" s="101"/>
      <c r="T9" s="101"/>
      <c r="U9" s="101"/>
      <c r="V9" s="101"/>
      <c r="W9" s="101"/>
      <c r="X9" s="101"/>
      <c r="Y9" s="101"/>
      <c r="Z9" s="101"/>
      <c r="AA9" s="101"/>
      <c r="AB9" s="101"/>
      <c r="AC9" s="101"/>
      <c r="AD9" s="101"/>
      <c r="AE9" s="101"/>
    </row>
    <row r="10" spans="1:33">
      <c r="A10" s="276" t="s">
        <v>936</v>
      </c>
      <c r="D10" s="116" t="s">
        <v>652</v>
      </c>
    </row>
    <row r="11" spans="1:33">
      <c r="A11" s="280" t="s">
        <v>788</v>
      </c>
      <c r="B11" s="85"/>
      <c r="D11" s="117" t="s">
        <v>656</v>
      </c>
      <c r="F11" s="120" t="str">
        <f>IF(AUTOQUESTIONNAIRE!F22=0,"N","Y")</f>
        <v>N</v>
      </c>
      <c r="H11" s="72" t="s">
        <v>89</v>
      </c>
      <c r="I11" s="72" t="s">
        <v>88</v>
      </c>
      <c r="J11" s="77"/>
      <c r="K11" s="78"/>
      <c r="L11" s="78"/>
      <c r="M11" s="78"/>
      <c r="N11" s="78"/>
      <c r="O11" s="78"/>
      <c r="P11" s="78"/>
      <c r="Q11" s="78"/>
      <c r="R11" s="78"/>
      <c r="S11" s="78"/>
      <c r="T11" s="78"/>
      <c r="U11" s="78"/>
      <c r="V11" s="78"/>
      <c r="W11" s="78"/>
      <c r="X11" s="78"/>
      <c r="Y11" s="78"/>
      <c r="Z11" s="78"/>
      <c r="AA11" s="78"/>
      <c r="AB11" s="78"/>
      <c r="AC11" s="78"/>
      <c r="AD11" s="78"/>
    </row>
    <row r="12" spans="1:33">
      <c r="A12" s="276" t="s">
        <v>935</v>
      </c>
      <c r="D12" s="118" t="s">
        <v>648</v>
      </c>
    </row>
    <row r="13" spans="1:33">
      <c r="A13" s="276" t="s">
        <v>936</v>
      </c>
      <c r="D13" s="118" t="s">
        <v>649</v>
      </c>
    </row>
    <row r="14" spans="1:33" ht="57.6">
      <c r="A14" s="281" t="s">
        <v>789</v>
      </c>
      <c r="D14" s="118" t="s">
        <v>657</v>
      </c>
      <c r="F14" s="572" t="str">
        <f>IF(AUTOQUESTIONNAIRE!F23=0,"N","Y")</f>
        <v>N</v>
      </c>
      <c r="H14" s="80" t="str">
        <f>IF($F$11="Y",F14,"N")</f>
        <v>N</v>
      </c>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row>
    <row r="15" spans="1:33">
      <c r="A15" s="276" t="s">
        <v>935</v>
      </c>
      <c r="D15" s="118" t="s">
        <v>648</v>
      </c>
      <c r="I15" s="101"/>
      <c r="J15" s="77" t="s">
        <v>54</v>
      </c>
      <c r="K15" s="78" t="s">
        <v>35</v>
      </c>
      <c r="L15" s="78" t="s">
        <v>36</v>
      </c>
      <c r="M15" s="78" t="s">
        <v>37</v>
      </c>
      <c r="N15" s="78" t="s">
        <v>38</v>
      </c>
      <c r="O15" s="78" t="s">
        <v>39</v>
      </c>
      <c r="P15" s="78" t="s">
        <v>40</v>
      </c>
      <c r="Q15" s="78" t="s">
        <v>41</v>
      </c>
      <c r="R15" s="78" t="s">
        <v>42</v>
      </c>
      <c r="S15" s="78" t="s">
        <v>43</v>
      </c>
      <c r="T15" s="78" t="s">
        <v>44</v>
      </c>
      <c r="U15" s="78" t="s">
        <v>45</v>
      </c>
      <c r="V15" s="78" t="s">
        <v>46</v>
      </c>
      <c r="W15" s="78" t="s">
        <v>47</v>
      </c>
      <c r="X15" s="78" t="s">
        <v>48</v>
      </c>
      <c r="Y15" s="78" t="s">
        <v>49</v>
      </c>
      <c r="Z15" s="78" t="s">
        <v>50</v>
      </c>
      <c r="AA15" s="78" t="s">
        <v>51</v>
      </c>
      <c r="AB15" s="78" t="s">
        <v>52</v>
      </c>
      <c r="AC15" s="78" t="s">
        <v>53</v>
      </c>
      <c r="AD15" s="101"/>
      <c r="AE15" s="101"/>
      <c r="AF15" s="101"/>
      <c r="AG15" s="101"/>
    </row>
    <row r="16" spans="1:33">
      <c r="A16" s="276" t="s">
        <v>936</v>
      </c>
      <c r="D16" s="118" t="s">
        <v>649</v>
      </c>
    </row>
    <row r="17" spans="1:31" ht="28.8">
      <c r="A17" s="281" t="s">
        <v>790</v>
      </c>
      <c r="D17" s="118" t="s">
        <v>658</v>
      </c>
      <c r="F17" s="572" t="str">
        <f>IF(AUTOQUESTIONNAIRE!F24=0,"N","Y")</f>
        <v>N</v>
      </c>
      <c r="H17" s="80" t="str">
        <f>IF($F$11="Y",F17,"N")</f>
        <v>N</v>
      </c>
      <c r="I17" s="72" t="s">
        <v>97</v>
      </c>
      <c r="J17" s="81" t="s">
        <v>54</v>
      </c>
      <c r="K17" s="82" t="s">
        <v>35</v>
      </c>
      <c r="L17" s="82" t="s">
        <v>36</v>
      </c>
      <c r="M17" s="82" t="s">
        <v>37</v>
      </c>
      <c r="N17" s="82" t="s">
        <v>38</v>
      </c>
      <c r="O17" s="82" t="s">
        <v>39</v>
      </c>
      <c r="P17" s="82" t="s">
        <v>40</v>
      </c>
      <c r="Q17" s="82" t="s">
        <v>41</v>
      </c>
      <c r="R17" s="82" t="s">
        <v>42</v>
      </c>
      <c r="S17" s="82" t="s">
        <v>43</v>
      </c>
      <c r="T17" s="82" t="s">
        <v>44</v>
      </c>
      <c r="U17" s="82" t="s">
        <v>45</v>
      </c>
      <c r="V17" s="82" t="s">
        <v>46</v>
      </c>
      <c r="W17" s="82" t="s">
        <v>47</v>
      </c>
      <c r="X17" s="82" t="s">
        <v>48</v>
      </c>
      <c r="Y17" s="82" t="s">
        <v>49</v>
      </c>
      <c r="Z17" s="82" t="s">
        <v>50</v>
      </c>
      <c r="AA17" s="82" t="s">
        <v>51</v>
      </c>
      <c r="AB17" s="82" t="s">
        <v>52</v>
      </c>
      <c r="AC17" s="82" t="s">
        <v>96</v>
      </c>
      <c r="AD17" s="83" t="s">
        <v>95</v>
      </c>
      <c r="AE17" s="92" t="s">
        <v>593</v>
      </c>
    </row>
    <row r="18" spans="1:31">
      <c r="A18" s="276" t="s">
        <v>935</v>
      </c>
      <c r="D18" s="118" t="s">
        <v>648</v>
      </c>
      <c r="I18" s="84" t="s">
        <v>0</v>
      </c>
      <c r="J18" s="85">
        <f>IF($H$77&gt;0.25,1.2,1)</f>
        <v>1.2</v>
      </c>
      <c r="K18" s="85">
        <f t="shared" ref="K18:AC18" si="0">IF($H$77&gt;0.25,1.2,1)</f>
        <v>1.2</v>
      </c>
      <c r="L18" s="85">
        <f t="shared" si="0"/>
        <v>1.2</v>
      </c>
      <c r="M18" s="85">
        <f t="shared" si="0"/>
        <v>1.2</v>
      </c>
      <c r="N18" s="85">
        <f>IF($H$77&gt;0.25,0.8,1)</f>
        <v>0.8</v>
      </c>
      <c r="O18" s="85">
        <f t="shared" si="0"/>
        <v>1.2</v>
      </c>
      <c r="P18" s="85">
        <f t="shared" si="0"/>
        <v>1.2</v>
      </c>
      <c r="Q18" s="72">
        <v>1</v>
      </c>
      <c r="R18" s="85">
        <f t="shared" si="0"/>
        <v>1.2</v>
      </c>
      <c r="S18" s="85">
        <f t="shared" si="0"/>
        <v>1.2</v>
      </c>
      <c r="T18" s="85">
        <f t="shared" si="0"/>
        <v>1.2</v>
      </c>
      <c r="U18" s="72">
        <v>1</v>
      </c>
      <c r="V18" s="85">
        <f t="shared" si="0"/>
        <v>1.2</v>
      </c>
      <c r="W18" s="85">
        <f t="shared" si="0"/>
        <v>1.2</v>
      </c>
      <c r="X18" s="85">
        <f t="shared" si="0"/>
        <v>1.2</v>
      </c>
      <c r="Y18" s="72">
        <v>1</v>
      </c>
      <c r="Z18" s="72">
        <v>1</v>
      </c>
      <c r="AA18" s="72">
        <v>1</v>
      </c>
      <c r="AB18" s="72">
        <v>1</v>
      </c>
      <c r="AC18" s="85">
        <f t="shared" si="0"/>
        <v>1.2</v>
      </c>
      <c r="AD18" s="72">
        <v>1</v>
      </c>
      <c r="AE18" s="72">
        <v>1</v>
      </c>
    </row>
    <row r="19" spans="1:31">
      <c r="A19" s="276" t="s">
        <v>936</v>
      </c>
      <c r="D19" s="118" t="s">
        <v>649</v>
      </c>
      <c r="I19" s="84" t="s">
        <v>73</v>
      </c>
      <c r="J19" s="72">
        <v>1</v>
      </c>
      <c r="K19" s="72">
        <v>1</v>
      </c>
      <c r="L19" s="85">
        <f t="shared" ref="L19:AD19" si="1">IF($F$82="Y",1.2,1)</f>
        <v>1</v>
      </c>
      <c r="M19" s="72">
        <v>1</v>
      </c>
      <c r="N19" s="85">
        <f t="shared" si="1"/>
        <v>1</v>
      </c>
      <c r="O19" s="72">
        <v>1</v>
      </c>
      <c r="P19" s="72">
        <v>1</v>
      </c>
      <c r="Q19" s="72">
        <v>1</v>
      </c>
      <c r="R19" s="72">
        <v>1</v>
      </c>
      <c r="S19" s="72">
        <v>1</v>
      </c>
      <c r="T19" s="72">
        <v>1</v>
      </c>
      <c r="U19" s="85">
        <f t="shared" si="1"/>
        <v>1</v>
      </c>
      <c r="V19" s="85">
        <f t="shared" si="1"/>
        <v>1</v>
      </c>
      <c r="W19" s="85">
        <f t="shared" si="1"/>
        <v>1</v>
      </c>
      <c r="X19" s="85">
        <f t="shared" si="1"/>
        <v>1</v>
      </c>
      <c r="Y19" s="85">
        <f>IF(F82="Y",20,0.1)</f>
        <v>0.1</v>
      </c>
      <c r="Z19" s="85">
        <f>IF($F$82="Y",5,0.1)</f>
        <v>0.1</v>
      </c>
      <c r="AA19" s="85">
        <f t="shared" si="1"/>
        <v>1</v>
      </c>
      <c r="AB19" s="72">
        <v>1</v>
      </c>
      <c r="AC19" s="72">
        <v>1</v>
      </c>
      <c r="AD19" s="85">
        <f t="shared" si="1"/>
        <v>1</v>
      </c>
      <c r="AE19" s="85">
        <f>IF($F$82="Y",20,1)</f>
        <v>1</v>
      </c>
    </row>
    <row r="20" spans="1:31">
      <c r="A20" s="279" t="s">
        <v>791</v>
      </c>
      <c r="D20" s="118" t="s">
        <v>659</v>
      </c>
      <c r="F20" s="572" t="str">
        <f>IF(AUTOQUESTIONNAIRE!F25=0,"N","Y")</f>
        <v>N</v>
      </c>
      <c r="H20" s="80" t="str">
        <f>IF($F$11="Y",F20,"N")</f>
        <v>N</v>
      </c>
      <c r="I20" s="84" t="s">
        <v>74</v>
      </c>
      <c r="J20" s="72">
        <v>1</v>
      </c>
      <c r="K20" s="72">
        <v>1</v>
      </c>
      <c r="L20" s="72">
        <v>1</v>
      </c>
      <c r="M20" s="72">
        <v>1</v>
      </c>
      <c r="N20" s="72">
        <v>1</v>
      </c>
      <c r="O20" s="85">
        <f t="shared" ref="O20:AD20" si="2">IF($F$86="Y",1.2,1)</f>
        <v>1.2</v>
      </c>
      <c r="P20" s="85">
        <f>IF($F$86="Y",1.2,1)</f>
        <v>1.2</v>
      </c>
      <c r="Q20" s="72">
        <v>1</v>
      </c>
      <c r="R20" s="72">
        <v>1</v>
      </c>
      <c r="S20" s="72">
        <v>1</v>
      </c>
      <c r="T20" s="72">
        <v>1</v>
      </c>
      <c r="U20" s="72">
        <v>1</v>
      </c>
      <c r="V20" s="72">
        <v>1</v>
      </c>
      <c r="W20" s="72">
        <v>1</v>
      </c>
      <c r="X20" s="72">
        <v>1</v>
      </c>
      <c r="Y20" s="72">
        <v>1</v>
      </c>
      <c r="Z20" s="85">
        <f>IF($F$86="Y",5,1)</f>
        <v>5</v>
      </c>
      <c r="AA20" s="72">
        <v>1</v>
      </c>
      <c r="AB20" s="72">
        <v>1</v>
      </c>
      <c r="AC20" s="72">
        <v>1</v>
      </c>
      <c r="AD20" s="85">
        <f t="shared" si="2"/>
        <v>1.2</v>
      </c>
      <c r="AE20" s="72">
        <v>1</v>
      </c>
    </row>
    <row r="21" spans="1:31">
      <c r="A21" s="277" t="s">
        <v>792</v>
      </c>
      <c r="D21" s="118" t="s">
        <v>648</v>
      </c>
      <c r="I21" s="84" t="s">
        <v>75</v>
      </c>
      <c r="J21" s="85">
        <f>IF($F$89="Y",0.8,1)</f>
        <v>1</v>
      </c>
      <c r="K21" s="85">
        <f>IF($F$89="Y",0.8,1)</f>
        <v>1</v>
      </c>
      <c r="L21" s="72">
        <v>1</v>
      </c>
      <c r="M21" s="72">
        <v>1</v>
      </c>
      <c r="N21" s="85">
        <f>IF($F$89="Y",0.8,1)</f>
        <v>1</v>
      </c>
      <c r="O21" s="85">
        <f>IF($F$89="Y",0.8,1)</f>
        <v>1</v>
      </c>
      <c r="P21" s="85">
        <f>IF($F$89="Y",0.8,1)</f>
        <v>1</v>
      </c>
      <c r="Q21" s="72">
        <v>1</v>
      </c>
      <c r="R21" s="72">
        <v>1</v>
      </c>
      <c r="S21" s="85">
        <f t="shared" ref="S21:X21" si="3">IF($F$89="Y",0.8,1)</f>
        <v>1</v>
      </c>
      <c r="T21" s="85">
        <f t="shared" si="3"/>
        <v>1</v>
      </c>
      <c r="U21" s="85">
        <f t="shared" si="3"/>
        <v>1</v>
      </c>
      <c r="V21" s="85">
        <f t="shared" si="3"/>
        <v>1</v>
      </c>
      <c r="W21" s="85">
        <f t="shared" si="3"/>
        <v>1</v>
      </c>
      <c r="X21" s="85">
        <f t="shared" si="3"/>
        <v>1</v>
      </c>
      <c r="Y21" s="72">
        <v>1</v>
      </c>
      <c r="Z21" s="72">
        <v>1</v>
      </c>
      <c r="AA21" s="72">
        <v>1</v>
      </c>
      <c r="AB21" s="72">
        <v>1</v>
      </c>
      <c r="AC21" s="85">
        <f>IF($F$89="Y",0.8,1)</f>
        <v>1</v>
      </c>
      <c r="AD21" s="72">
        <v>1</v>
      </c>
      <c r="AE21" s="72">
        <v>1</v>
      </c>
    </row>
    <row r="22" spans="1:31">
      <c r="A22" s="277" t="s">
        <v>793</v>
      </c>
      <c r="B22" s="102"/>
      <c r="D22" s="118" t="s">
        <v>649</v>
      </c>
      <c r="I22" s="84" t="s">
        <v>76</v>
      </c>
      <c r="J22" s="85">
        <f>IF($F$92="Y",0.8,1)</f>
        <v>1</v>
      </c>
      <c r="K22" s="85">
        <f>IF($F$92="Y",0.8,1)</f>
        <v>1</v>
      </c>
      <c r="L22" s="72">
        <v>1</v>
      </c>
      <c r="M22" s="72">
        <v>1</v>
      </c>
      <c r="N22" s="72">
        <v>1</v>
      </c>
      <c r="O22" s="85">
        <f>IF($F$92="Y",0.8,1)</f>
        <v>1</v>
      </c>
      <c r="P22" s="85">
        <f>IF($F$92="Y",0.8,1)</f>
        <v>1</v>
      </c>
      <c r="Q22" s="72">
        <v>1</v>
      </c>
      <c r="R22" s="72">
        <v>1</v>
      </c>
      <c r="S22" s="85">
        <f>IF($F$92="Y",0.8,1)</f>
        <v>1</v>
      </c>
      <c r="T22" s="85">
        <f>IF($F$92="Y",0.8,1)</f>
        <v>1</v>
      </c>
      <c r="U22" s="72">
        <v>1</v>
      </c>
      <c r="V22" s="72">
        <v>1</v>
      </c>
      <c r="W22" s="85">
        <f>IF($F$92="Y",0.8,1)</f>
        <v>1</v>
      </c>
      <c r="X22" s="85">
        <f>IF($F$92="Y",0.8,1)</f>
        <v>1</v>
      </c>
      <c r="Y22" s="72">
        <v>1</v>
      </c>
      <c r="Z22" s="72">
        <v>1</v>
      </c>
      <c r="AA22" s="72">
        <v>1</v>
      </c>
      <c r="AB22" s="72">
        <v>1</v>
      </c>
      <c r="AC22" s="85">
        <f>IF($F$92="Y",0.8,1)</f>
        <v>1</v>
      </c>
      <c r="AD22" s="72">
        <v>1</v>
      </c>
      <c r="AE22" s="72">
        <v>1</v>
      </c>
    </row>
    <row r="23" spans="1:31">
      <c r="A23" s="277" t="s">
        <v>794</v>
      </c>
      <c r="B23" s="102"/>
      <c r="D23" s="118" t="s">
        <v>660</v>
      </c>
      <c r="F23" s="121" t="str">
        <f>IF(AUTOQUESTIONNAIRE!F26=0,"N","Y")</f>
        <v>N</v>
      </c>
      <c r="H23" s="80" t="str">
        <f>IF($F$11="Y",F23,"N")</f>
        <v>N</v>
      </c>
      <c r="I23" s="84" t="s">
        <v>78</v>
      </c>
      <c r="J23" s="72">
        <v>1</v>
      </c>
      <c r="K23" s="72">
        <v>1</v>
      </c>
      <c r="L23" s="72">
        <v>1</v>
      </c>
      <c r="M23" s="72">
        <v>1</v>
      </c>
      <c r="N23" s="72">
        <v>1</v>
      </c>
      <c r="O23" s="72">
        <v>1</v>
      </c>
      <c r="P23" s="72">
        <v>1</v>
      </c>
      <c r="Q23" s="72">
        <v>1</v>
      </c>
      <c r="R23" s="72">
        <v>1</v>
      </c>
      <c r="S23" s="72">
        <v>1</v>
      </c>
      <c r="T23" s="72">
        <v>1</v>
      </c>
      <c r="U23" s="72">
        <v>1</v>
      </c>
      <c r="V23" s="72">
        <v>1</v>
      </c>
      <c r="W23" s="72">
        <v>1</v>
      </c>
      <c r="X23" s="72">
        <v>1</v>
      </c>
      <c r="Y23" s="72">
        <v>1</v>
      </c>
      <c r="Z23" s="72">
        <v>1</v>
      </c>
      <c r="AA23" s="72">
        <v>1</v>
      </c>
      <c r="AB23" s="243">
        <f>G117*G118*G119*G120</f>
        <v>1</v>
      </c>
      <c r="AC23" s="72">
        <v>1</v>
      </c>
      <c r="AD23" s="72">
        <v>1</v>
      </c>
      <c r="AE23" s="72">
        <v>1</v>
      </c>
    </row>
    <row r="24" spans="1:31">
      <c r="A24" s="277" t="s">
        <v>795</v>
      </c>
      <c r="B24" s="102"/>
      <c r="D24" s="118" t="s">
        <v>648</v>
      </c>
      <c r="I24" s="86" t="s">
        <v>105</v>
      </c>
      <c r="J24" s="72">
        <v>1</v>
      </c>
      <c r="K24" s="72">
        <v>1</v>
      </c>
      <c r="L24" s="72">
        <v>1</v>
      </c>
      <c r="M24" s="72">
        <v>1</v>
      </c>
      <c r="N24" s="85">
        <f>IF(F113="Y",1.2,1)</f>
        <v>1</v>
      </c>
      <c r="O24" s="72">
        <v>1</v>
      </c>
      <c r="P24" s="72">
        <v>1</v>
      </c>
      <c r="Q24" s="72">
        <v>1</v>
      </c>
      <c r="R24" s="72">
        <v>1</v>
      </c>
      <c r="S24" s="72">
        <v>1</v>
      </c>
      <c r="T24" s="72">
        <v>1</v>
      </c>
      <c r="U24" s="85">
        <f>IF(F53="Y",1.2,1)*(IF(F101="Y",0.8,1))</f>
        <v>1</v>
      </c>
      <c r="V24" s="72">
        <v>1</v>
      </c>
      <c r="W24" s="85">
        <f>X24</f>
        <v>1</v>
      </c>
      <c r="X24" s="85">
        <f>MAX(IF(F122="Y",1.2,1),IF(H140&gt;4,1.2,1),IF(F107="Y",1.2,1))</f>
        <v>1</v>
      </c>
      <c r="Y24" s="72">
        <v>1</v>
      </c>
      <c r="Z24" s="72">
        <v>1</v>
      </c>
      <c r="AA24" s="72">
        <v>1</v>
      </c>
      <c r="AB24" s="72">
        <v>1</v>
      </c>
      <c r="AC24" s="72">
        <v>1</v>
      </c>
      <c r="AD24" s="72">
        <v>1</v>
      </c>
      <c r="AE24" s="72">
        <v>1</v>
      </c>
    </row>
    <row r="25" spans="1:31">
      <c r="A25" s="277" t="s">
        <v>796</v>
      </c>
      <c r="B25" s="102"/>
      <c r="D25" s="118" t="s">
        <v>649</v>
      </c>
      <c r="I25" s="86" t="s">
        <v>126</v>
      </c>
      <c r="J25" s="72">
        <f>J18*J19*J20*(MAX(J21,J22)*J23*J24)</f>
        <v>1.2</v>
      </c>
      <c r="K25" s="72">
        <f t="shared" ref="K25:AD25" si="4">K18*K19*K20*(MAX(K21,K22)*K23*K24)</f>
        <v>1.2</v>
      </c>
      <c r="L25" s="72">
        <f t="shared" si="4"/>
        <v>1.2</v>
      </c>
      <c r="M25" s="72">
        <f t="shared" si="4"/>
        <v>1.2</v>
      </c>
      <c r="N25" s="72">
        <f t="shared" si="4"/>
        <v>0.8</v>
      </c>
      <c r="O25" s="72">
        <f>O18*O19*O20*(MAX(O21,O22)*O23*O24)</f>
        <v>1.44</v>
      </c>
      <c r="P25" s="72">
        <f t="shared" si="4"/>
        <v>1.44</v>
      </c>
      <c r="Q25" s="72">
        <f t="shared" si="4"/>
        <v>1</v>
      </c>
      <c r="R25" s="72">
        <f t="shared" si="4"/>
        <v>1.2</v>
      </c>
      <c r="S25" s="72">
        <f t="shared" si="4"/>
        <v>1.2</v>
      </c>
      <c r="T25" s="72">
        <f t="shared" si="4"/>
        <v>1.2</v>
      </c>
      <c r="U25" s="72">
        <f t="shared" si="4"/>
        <v>1</v>
      </c>
      <c r="V25" s="72">
        <f t="shared" si="4"/>
        <v>1.2</v>
      </c>
      <c r="W25" s="72">
        <f t="shared" si="4"/>
        <v>1.2</v>
      </c>
      <c r="X25" s="72">
        <f t="shared" si="4"/>
        <v>1.2</v>
      </c>
      <c r="Y25" s="72">
        <f t="shared" si="4"/>
        <v>0.1</v>
      </c>
      <c r="Z25" s="72">
        <f t="shared" si="4"/>
        <v>0.5</v>
      </c>
      <c r="AA25" s="72">
        <f t="shared" si="4"/>
        <v>1</v>
      </c>
      <c r="AB25" s="72">
        <f t="shared" si="4"/>
        <v>1</v>
      </c>
      <c r="AC25" s="72">
        <f t="shared" si="4"/>
        <v>1.2</v>
      </c>
      <c r="AD25" s="72">
        <f t="shared" si="4"/>
        <v>1.2</v>
      </c>
      <c r="AE25" s="147">
        <f>AE19</f>
        <v>1</v>
      </c>
    </row>
    <row r="26" spans="1:31">
      <c r="A26" s="279" t="s">
        <v>797</v>
      </c>
      <c r="B26" s="102"/>
      <c r="D26" s="118" t="s">
        <v>661</v>
      </c>
      <c r="F26" s="121" t="str">
        <f>IF(AUTOQUESTIONNAIRE!F27=0,"N","Y")</f>
        <v>N</v>
      </c>
      <c r="H26" s="80" t="str">
        <f>IF($F$11="Y",F26,"N")</f>
        <v>N</v>
      </c>
      <c r="I26" s="72" t="s">
        <v>98</v>
      </c>
      <c r="J26" s="81" t="s">
        <v>54</v>
      </c>
      <c r="K26" s="82" t="s">
        <v>35</v>
      </c>
      <c r="L26" s="82" t="s">
        <v>36</v>
      </c>
      <c r="M26" s="82" t="s">
        <v>37</v>
      </c>
      <c r="N26" s="82" t="s">
        <v>38</v>
      </c>
      <c r="O26" s="82" t="s">
        <v>39</v>
      </c>
      <c r="P26" s="82" t="s">
        <v>40</v>
      </c>
      <c r="Q26" s="82" t="s">
        <v>41</v>
      </c>
      <c r="R26" s="82" t="s">
        <v>42</v>
      </c>
      <c r="S26" s="82" t="s">
        <v>43</v>
      </c>
      <c r="T26" s="82" t="s">
        <v>44</v>
      </c>
      <c r="U26" s="82" t="s">
        <v>45</v>
      </c>
      <c r="V26" s="82" t="s">
        <v>46</v>
      </c>
      <c r="W26" s="82" t="s">
        <v>47</v>
      </c>
      <c r="X26" s="82" t="s">
        <v>48</v>
      </c>
      <c r="Y26" s="82" t="s">
        <v>49</v>
      </c>
      <c r="Z26" s="82" t="s">
        <v>50</v>
      </c>
      <c r="AA26" s="82" t="s">
        <v>51</v>
      </c>
      <c r="AB26" s="82" t="s">
        <v>52</v>
      </c>
      <c r="AC26" s="82" t="s">
        <v>96</v>
      </c>
      <c r="AD26" s="83" t="s">
        <v>95</v>
      </c>
      <c r="AE26" s="92" t="s">
        <v>593</v>
      </c>
    </row>
    <row r="27" spans="1:31">
      <c r="A27" s="277" t="s">
        <v>798</v>
      </c>
      <c r="B27" s="102"/>
      <c r="D27" s="118" t="s">
        <v>648</v>
      </c>
    </row>
    <row r="28" spans="1:31">
      <c r="A28" s="277" t="s">
        <v>937</v>
      </c>
      <c r="B28" s="102"/>
      <c r="D28" s="118" t="s">
        <v>649</v>
      </c>
    </row>
    <row r="29" spans="1:31">
      <c r="A29" s="277" t="s">
        <v>800</v>
      </c>
      <c r="B29" s="102"/>
      <c r="D29" s="118" t="s">
        <v>662</v>
      </c>
      <c r="F29" s="121" t="str">
        <f>IF(AUTOQUESTIONNAIRE!F31=0,"N","Y")</f>
        <v>N</v>
      </c>
      <c r="H29" s="80" t="str">
        <f>IF($F$11="Y",F29,"N")</f>
        <v>N</v>
      </c>
    </row>
    <row r="30" spans="1:31">
      <c r="A30" s="277" t="s">
        <v>801</v>
      </c>
      <c r="B30" s="102"/>
      <c r="D30" s="118" t="s">
        <v>648</v>
      </c>
    </row>
    <row r="31" spans="1:31">
      <c r="A31" s="279" t="s">
        <v>802</v>
      </c>
      <c r="B31" s="102"/>
      <c r="D31" s="118" t="s">
        <v>649</v>
      </c>
    </row>
    <row r="32" spans="1:31" ht="34.799999999999997">
      <c r="A32" s="276" t="s">
        <v>935</v>
      </c>
      <c r="B32" s="102"/>
      <c r="D32" s="119" t="s">
        <v>663</v>
      </c>
      <c r="F32" s="120" t="str">
        <f>IF(AUTOQUESTIONNAIRE!F34=0,"N","Y")</f>
        <v>Y</v>
      </c>
    </row>
    <row r="33" spans="1:8">
      <c r="A33" s="276" t="s">
        <v>936</v>
      </c>
      <c r="B33" s="102"/>
      <c r="D33" s="118" t="s">
        <v>648</v>
      </c>
    </row>
    <row r="34" spans="1:8">
      <c r="A34" s="277" t="s">
        <v>803</v>
      </c>
      <c r="D34" s="118" t="s">
        <v>649</v>
      </c>
    </row>
    <row r="35" spans="1:8" ht="34.799999999999997">
      <c r="A35" s="282" t="s">
        <v>804</v>
      </c>
      <c r="D35" s="118" t="s">
        <v>664</v>
      </c>
      <c r="F35" s="121" t="str">
        <f>IF(AUTOQUESTIONNAIRE!F33=0,"N","Y")</f>
        <v>N</v>
      </c>
      <c r="H35" s="80" t="str">
        <f>IF($F$32="Y",F35,"N")</f>
        <v>N</v>
      </c>
    </row>
    <row r="36" spans="1:8">
      <c r="A36" s="276" t="s">
        <v>935</v>
      </c>
      <c r="B36" s="103"/>
      <c r="D36" s="118" t="s">
        <v>648</v>
      </c>
    </row>
    <row r="37" spans="1:8">
      <c r="A37" s="276" t="s">
        <v>936</v>
      </c>
      <c r="B37" s="103"/>
      <c r="D37" s="118" t="s">
        <v>649</v>
      </c>
    </row>
    <row r="38" spans="1:8" ht="43.2">
      <c r="A38" s="283" t="s">
        <v>805</v>
      </c>
      <c r="B38" s="103"/>
      <c r="D38" s="118" t="s">
        <v>665</v>
      </c>
      <c r="F38" s="121" t="str">
        <f>IF(AUTOQUESTIONNAIRE!F34=0,"N","Y")</f>
        <v>Y</v>
      </c>
      <c r="H38" s="80" t="str">
        <f>IF($F$32="Y",F38,"N")</f>
        <v>Y</v>
      </c>
    </row>
    <row r="39" spans="1:8">
      <c r="A39" s="276" t="s">
        <v>935</v>
      </c>
      <c r="B39" s="103"/>
      <c r="D39" s="118" t="s">
        <v>648</v>
      </c>
    </row>
    <row r="40" spans="1:8">
      <c r="A40" s="276" t="s">
        <v>936</v>
      </c>
      <c r="B40" s="103"/>
      <c r="D40" s="118" t="s">
        <v>649</v>
      </c>
    </row>
    <row r="41" spans="1:8" ht="34.799999999999997">
      <c r="A41" s="284" t="s">
        <v>938</v>
      </c>
      <c r="B41" s="103"/>
      <c r="D41" s="118" t="s">
        <v>666</v>
      </c>
      <c r="F41" s="121" t="str">
        <f>IF(AUTOQUESTIONNAIRE!F36=0,"N","Y")</f>
        <v>N</v>
      </c>
      <c r="H41" s="80" t="str">
        <f>IF($F$32="Y",F41,"N")</f>
        <v>N</v>
      </c>
    </row>
    <row r="42" spans="1:8">
      <c r="A42" s="277" t="s">
        <v>939</v>
      </c>
      <c r="B42" s="103"/>
      <c r="D42" s="118" t="s">
        <v>648</v>
      </c>
    </row>
    <row r="43" spans="1:8" ht="28.8">
      <c r="A43" s="285" t="s">
        <v>940</v>
      </c>
      <c r="D43" s="118" t="s">
        <v>649</v>
      </c>
    </row>
    <row r="44" spans="1:8">
      <c r="A44" s="276" t="s">
        <v>935</v>
      </c>
      <c r="D44" s="118" t="s">
        <v>667</v>
      </c>
      <c r="F44" s="121" t="str">
        <f>IF(AUTOQUESTIONNAIRE!F38=0,"N","Y")</f>
        <v>Y</v>
      </c>
      <c r="H44" s="80" t="str">
        <f>IF($F$32="Y",F44,"N")</f>
        <v>Y</v>
      </c>
    </row>
    <row r="45" spans="1:8">
      <c r="A45" s="276" t="s">
        <v>936</v>
      </c>
      <c r="D45" s="118" t="s">
        <v>648</v>
      </c>
    </row>
    <row r="46" spans="1:8">
      <c r="A46" s="285" t="s">
        <v>941</v>
      </c>
      <c r="D46" s="118" t="s">
        <v>649</v>
      </c>
    </row>
    <row r="47" spans="1:8">
      <c r="A47" s="276" t="s">
        <v>935</v>
      </c>
      <c r="D47" s="118" t="s">
        <v>668</v>
      </c>
      <c r="F47" s="121" t="str">
        <f>IF(AUTOQUESTIONNAIRE!F39=0,"N","Y")</f>
        <v>N</v>
      </c>
      <c r="H47" s="80" t="str">
        <f>IF($F$32="Y",F47,"N")</f>
        <v>N</v>
      </c>
    </row>
    <row r="48" spans="1:8">
      <c r="A48" s="276" t="s">
        <v>936</v>
      </c>
      <c r="D48" s="118" t="s">
        <v>648</v>
      </c>
    </row>
    <row r="49" spans="1:8" ht="28.8">
      <c r="A49" s="285" t="s">
        <v>942</v>
      </c>
      <c r="D49" s="118" t="s">
        <v>649</v>
      </c>
    </row>
    <row r="50" spans="1:8">
      <c r="A50" s="276" t="s">
        <v>935</v>
      </c>
      <c r="D50" s="118" t="s">
        <v>669</v>
      </c>
      <c r="F50" s="121" t="str">
        <f>IF(AUTOQUESTIONNAIRE!F43=0,"N","Y")</f>
        <v>N</v>
      </c>
      <c r="H50" s="80" t="str">
        <f>IF($F$32="Y",F50,"N")</f>
        <v>N</v>
      </c>
    </row>
    <row r="51" spans="1:8">
      <c r="A51" s="276" t="s">
        <v>936</v>
      </c>
      <c r="D51" s="118" t="s">
        <v>648</v>
      </c>
    </row>
    <row r="52" spans="1:8">
      <c r="A52" s="286" t="s">
        <v>943</v>
      </c>
      <c r="D52" s="118" t="s">
        <v>649</v>
      </c>
    </row>
    <row r="53" spans="1:8">
      <c r="A53" s="276" t="s">
        <v>935</v>
      </c>
      <c r="D53" s="115" t="s">
        <v>670</v>
      </c>
      <c r="F53" s="121" t="str">
        <f>IF(AUTOQUESTIONNAIRE!F47=0,"N","Y")</f>
        <v>N</v>
      </c>
      <c r="H53" s="80" t="str">
        <f>IF($F$32="Y",F53,"N")</f>
        <v>N</v>
      </c>
    </row>
    <row r="54" spans="1:8">
      <c r="A54" s="276" t="s">
        <v>936</v>
      </c>
      <c r="D54" s="118" t="s">
        <v>648</v>
      </c>
    </row>
    <row r="55" spans="1:8">
      <c r="A55" s="285" t="s">
        <v>944</v>
      </c>
      <c r="D55" s="118" t="s">
        <v>649</v>
      </c>
    </row>
    <row r="56" spans="1:8" ht="69.599999999999994">
      <c r="A56" s="276" t="s">
        <v>935</v>
      </c>
      <c r="B56" s="85"/>
      <c r="D56" s="135" t="s">
        <v>671</v>
      </c>
      <c r="F56" s="136" t="s">
        <v>89</v>
      </c>
    </row>
    <row r="57" spans="1:8">
      <c r="A57" s="276" t="s">
        <v>936</v>
      </c>
      <c r="D57" s="118" t="s">
        <v>648</v>
      </c>
    </row>
    <row r="58" spans="1:8" ht="28.8">
      <c r="A58" s="285" t="s">
        <v>945</v>
      </c>
      <c r="D58" s="118" t="s">
        <v>649</v>
      </c>
    </row>
    <row r="59" spans="1:8" ht="34.799999999999997">
      <c r="A59" s="276" t="s">
        <v>935</v>
      </c>
      <c r="D59" s="118" t="s">
        <v>672</v>
      </c>
      <c r="F59" s="121" t="str">
        <f>IF(AUTOQUESTIONNAIRE!F52=0,"N","Y")</f>
        <v>N</v>
      </c>
      <c r="H59" s="137" t="str">
        <f>F59</f>
        <v>N</v>
      </c>
    </row>
    <row r="60" spans="1:8">
      <c r="A60" s="276" t="s">
        <v>936</v>
      </c>
      <c r="D60" s="118" t="s">
        <v>648</v>
      </c>
      <c r="H60" s="89"/>
    </row>
    <row r="61" spans="1:8">
      <c r="A61" s="285" t="s">
        <v>806</v>
      </c>
      <c r="D61" s="118" t="s">
        <v>649</v>
      </c>
      <c r="H61" s="89"/>
    </row>
    <row r="62" spans="1:8" ht="34.799999999999997">
      <c r="A62" s="276" t="s">
        <v>935</v>
      </c>
      <c r="D62" s="118" t="s">
        <v>673</v>
      </c>
      <c r="F62" s="121" t="str">
        <f>IF(AUTOQUESTIONNAIRE!F53=0,"N","Y")</f>
        <v>N</v>
      </c>
      <c r="H62" s="137" t="str">
        <f>F62</f>
        <v>N</v>
      </c>
    </row>
    <row r="63" spans="1:8">
      <c r="A63" s="276" t="s">
        <v>936</v>
      </c>
      <c r="D63" s="118" t="s">
        <v>648</v>
      </c>
      <c r="H63" s="89"/>
    </row>
    <row r="64" spans="1:8" ht="28.8">
      <c r="A64" s="285" t="s">
        <v>807</v>
      </c>
      <c r="D64" s="118" t="s">
        <v>649</v>
      </c>
      <c r="H64" s="89"/>
    </row>
    <row r="65" spans="1:9" ht="34.799999999999997">
      <c r="A65" s="276" t="s">
        <v>935</v>
      </c>
      <c r="D65" s="118" t="s">
        <v>674</v>
      </c>
      <c r="F65" s="121" t="str">
        <f>IF(AUTOQUESTIONNAIRE!F54=0,"N","Y")</f>
        <v>N</v>
      </c>
      <c r="H65" s="138" t="str">
        <f>F65</f>
        <v>N</v>
      </c>
    </row>
    <row r="66" spans="1:9">
      <c r="A66" s="276" t="s">
        <v>936</v>
      </c>
      <c r="D66" s="118" t="s">
        <v>648</v>
      </c>
      <c r="H66" s="89"/>
    </row>
    <row r="67" spans="1:9">
      <c r="A67" s="287" t="s">
        <v>808</v>
      </c>
      <c r="D67" s="118" t="s">
        <v>649</v>
      </c>
      <c r="H67" s="89"/>
    </row>
    <row r="68" spans="1:9" ht="34.799999999999997">
      <c r="A68" s="276" t="s">
        <v>935</v>
      </c>
      <c r="B68" s="85"/>
      <c r="D68" s="207" t="s">
        <v>675</v>
      </c>
      <c r="F68" s="121" t="str">
        <f>IF(AUTOQUESTIONNAIRE!F55=0,"N","Y")</f>
        <v>N</v>
      </c>
      <c r="H68" s="138" t="str">
        <f>F68</f>
        <v>N</v>
      </c>
    </row>
    <row r="69" spans="1:9">
      <c r="A69" s="276" t="s">
        <v>936</v>
      </c>
      <c r="D69" s="118" t="s">
        <v>648</v>
      </c>
      <c r="H69" s="89"/>
      <c r="I69" s="87"/>
    </row>
    <row r="70" spans="1:9" ht="28.8">
      <c r="A70" s="287" t="s">
        <v>809</v>
      </c>
      <c r="D70" s="118" t="s">
        <v>649</v>
      </c>
      <c r="H70" s="89"/>
    </row>
    <row r="71" spans="1:9" ht="34.799999999999997">
      <c r="A71" s="276" t="s">
        <v>935</v>
      </c>
      <c r="B71" s="103"/>
      <c r="D71" s="207" t="s">
        <v>676</v>
      </c>
      <c r="F71" s="121" t="str">
        <f>IF(AUTOQUESTIONNAIRE!F56=0,"N","Y")</f>
        <v>N</v>
      </c>
      <c r="H71" s="138" t="str">
        <f>F71</f>
        <v>N</v>
      </c>
    </row>
    <row r="72" spans="1:9">
      <c r="A72" s="276" t="s">
        <v>936</v>
      </c>
      <c r="B72" s="103"/>
      <c r="D72" s="118" t="s">
        <v>648</v>
      </c>
      <c r="H72" s="89"/>
    </row>
    <row r="73" spans="1:9">
      <c r="A73" s="285" t="s">
        <v>810</v>
      </c>
      <c r="B73" s="103"/>
      <c r="D73" s="118" t="s">
        <v>649</v>
      </c>
      <c r="H73" s="89"/>
    </row>
    <row r="74" spans="1:9" ht="34.799999999999997">
      <c r="A74" s="276" t="s">
        <v>935</v>
      </c>
      <c r="B74" s="103"/>
      <c r="D74" s="118" t="s">
        <v>677</v>
      </c>
      <c r="F74" s="121" t="str">
        <f>IF(AUTOQUESTIONNAIRE!F58=0,"N","Y")</f>
        <v>N</v>
      </c>
      <c r="H74" s="138" t="str">
        <f>F74</f>
        <v>N</v>
      </c>
    </row>
    <row r="75" spans="1:9">
      <c r="A75" s="276" t="s">
        <v>936</v>
      </c>
      <c r="B75" s="103"/>
      <c r="D75" s="118" t="s">
        <v>648</v>
      </c>
    </row>
    <row r="76" spans="1:9">
      <c r="A76" s="288" t="s">
        <v>811</v>
      </c>
      <c r="B76" s="103"/>
      <c r="D76" s="118" t="s">
        <v>649</v>
      </c>
    </row>
    <row r="77" spans="1:9">
      <c r="A77" s="276" t="s">
        <v>935</v>
      </c>
      <c r="B77" s="103"/>
      <c r="D77" s="115" t="s">
        <v>678</v>
      </c>
      <c r="F77" s="88">
        <f>AUTOQUESTIONNAIRE!F6</f>
        <v>180</v>
      </c>
      <c r="G77" s="89" t="s">
        <v>0</v>
      </c>
      <c r="H77" s="90">
        <f>(F78*100)/(F77*F77)</f>
        <v>0.37037037037037035</v>
      </c>
    </row>
    <row r="78" spans="1:9">
      <c r="A78" s="276" t="s">
        <v>936</v>
      </c>
      <c r="D78" s="115" t="s">
        <v>679</v>
      </c>
      <c r="F78" s="88">
        <f>AUTOQUESTIONNAIRE!F7</f>
        <v>120</v>
      </c>
    </row>
    <row r="79" spans="1:9" ht="28.8">
      <c r="A79" s="285" t="s">
        <v>812</v>
      </c>
      <c r="B79" s="103"/>
      <c r="D79" s="115" t="s">
        <v>680</v>
      </c>
      <c r="F79" s="88">
        <f>AUTOQUESTIONNAIRE!F215</f>
        <v>80</v>
      </c>
    </row>
    <row r="80" spans="1:9" ht="34.799999999999997">
      <c r="A80" s="289" t="s">
        <v>813</v>
      </c>
      <c r="D80" s="115" t="s">
        <v>681</v>
      </c>
      <c r="F80" s="91">
        <f>AUTOQUESTIONNAIRE!F218</f>
        <v>0</v>
      </c>
    </row>
    <row r="81" spans="1:6" ht="34.799999999999997">
      <c r="A81" s="289" t="s">
        <v>814</v>
      </c>
      <c r="D81" s="115" t="s">
        <v>682</v>
      </c>
      <c r="F81" s="91">
        <f>AUTOQUESTIONNAIRE!F219</f>
        <v>0</v>
      </c>
    </row>
    <row r="82" spans="1:6" ht="43.2">
      <c r="A82" s="285" t="s">
        <v>1014</v>
      </c>
      <c r="D82" s="115" t="s">
        <v>683</v>
      </c>
      <c r="F82" s="121" t="str">
        <f>IF(AUTOQUESTIONNAIRE!F68=0,"N","Y")</f>
        <v>N</v>
      </c>
    </row>
    <row r="83" spans="1:6" ht="52.2">
      <c r="A83" s="276" t="s">
        <v>935</v>
      </c>
      <c r="B83" s="308" t="s">
        <v>1015</v>
      </c>
      <c r="D83" s="116" t="s">
        <v>653</v>
      </c>
    </row>
    <row r="84" spans="1:6">
      <c r="A84" s="276" t="s">
        <v>936</v>
      </c>
      <c r="B84" s="103"/>
      <c r="D84" s="116" t="s">
        <v>654</v>
      </c>
    </row>
    <row r="85" spans="1:6">
      <c r="A85" s="289" t="s">
        <v>803</v>
      </c>
    </row>
    <row r="86" spans="1:6" ht="43.2">
      <c r="A86" s="285" t="s">
        <v>946</v>
      </c>
      <c r="B86" s="308" t="s">
        <v>1016</v>
      </c>
      <c r="D86" s="115" t="s">
        <v>684</v>
      </c>
      <c r="F86" s="121" t="str">
        <f>IF(AUTOQUESTIONNAIRE!F71=0,"N","Y")</f>
        <v>Y</v>
      </c>
    </row>
    <row r="87" spans="1:6">
      <c r="A87" s="276" t="s">
        <v>935</v>
      </c>
      <c r="D87" s="116" t="s">
        <v>648</v>
      </c>
    </row>
    <row r="88" spans="1:6">
      <c r="A88" s="276" t="s">
        <v>936</v>
      </c>
      <c r="D88" s="116" t="s">
        <v>649</v>
      </c>
    </row>
    <row r="89" spans="1:6" ht="34.799999999999997">
      <c r="A89" s="289" t="s">
        <v>803</v>
      </c>
      <c r="D89" s="115" t="s">
        <v>685</v>
      </c>
      <c r="F89" s="121" t="str">
        <f>IF(AUTOQUESTIONNAIRE!F72=0,"N","Y")</f>
        <v>N</v>
      </c>
    </row>
    <row r="90" spans="1:6">
      <c r="A90" s="285" t="s">
        <v>824</v>
      </c>
      <c r="D90" s="116" t="s">
        <v>648</v>
      </c>
    </row>
    <row r="91" spans="1:6">
      <c r="A91" s="276" t="s">
        <v>935</v>
      </c>
      <c r="B91" s="79" t="s">
        <v>1013</v>
      </c>
      <c r="D91" s="116" t="s">
        <v>649</v>
      </c>
    </row>
    <row r="92" spans="1:6" ht="52.2">
      <c r="A92" s="276" t="s">
        <v>936</v>
      </c>
      <c r="D92" s="115" t="s">
        <v>686</v>
      </c>
      <c r="F92" s="121" t="str">
        <f>IF(AUTOQUESTIONNAIRE!F73=0,"N","Y")</f>
        <v>N</v>
      </c>
    </row>
    <row r="93" spans="1:6">
      <c r="A93" s="275" t="s">
        <v>947</v>
      </c>
      <c r="D93" s="116" t="s">
        <v>648</v>
      </c>
    </row>
    <row r="94" spans="1:6">
      <c r="A94" s="275" t="s">
        <v>948</v>
      </c>
      <c r="D94" s="116" t="s">
        <v>649</v>
      </c>
    </row>
    <row r="95" spans="1:6">
      <c r="A95" s="278" t="s">
        <v>820</v>
      </c>
      <c r="D95" s="115" t="s">
        <v>687</v>
      </c>
      <c r="F95" s="121" t="str">
        <f>IF(AUTOQUESTIONNAIRE!F94=0,"N","Y")</f>
        <v>N</v>
      </c>
    </row>
    <row r="96" spans="1:6">
      <c r="A96" s="277" t="s">
        <v>821</v>
      </c>
      <c r="D96" s="116" t="s">
        <v>648</v>
      </c>
    </row>
    <row r="97" spans="1:6">
      <c r="A97" s="277" t="s">
        <v>822</v>
      </c>
      <c r="D97" s="116" t="s">
        <v>649</v>
      </c>
    </row>
    <row r="98" spans="1:6" ht="34.799999999999997">
      <c r="A98" s="289" t="s">
        <v>635</v>
      </c>
      <c r="D98" s="115" t="s">
        <v>688</v>
      </c>
      <c r="F98" s="121" t="str">
        <f>IF(AUTOQUESTIONNAIRE!F95=0,"N","Y")</f>
        <v>Y</v>
      </c>
    </row>
    <row r="99" spans="1:6" ht="43.2">
      <c r="A99" s="290" t="s">
        <v>949</v>
      </c>
      <c r="D99" s="116" t="s">
        <v>648</v>
      </c>
    </row>
    <row r="100" spans="1:6">
      <c r="A100" s="276" t="s">
        <v>935</v>
      </c>
      <c r="D100" s="116" t="s">
        <v>649</v>
      </c>
    </row>
    <row r="101" spans="1:6" ht="34.799999999999997">
      <c r="A101" s="276" t="s">
        <v>936</v>
      </c>
      <c r="D101" s="115" t="s">
        <v>691</v>
      </c>
      <c r="F101" s="121" t="str">
        <f>IF(AUTOQUESTIONNAIRE!F96=0,"N","Y")</f>
        <v>N</v>
      </c>
    </row>
    <row r="102" spans="1:6" ht="28.8">
      <c r="A102" s="282" t="s">
        <v>950</v>
      </c>
      <c r="D102" s="116" t="s">
        <v>648</v>
      </c>
    </row>
    <row r="103" spans="1:6">
      <c r="A103" s="276" t="s">
        <v>935</v>
      </c>
      <c r="D103" s="116" t="s">
        <v>649</v>
      </c>
    </row>
    <row r="104" spans="1:6">
      <c r="A104" s="276" t="s">
        <v>936</v>
      </c>
      <c r="D104" s="115" t="s">
        <v>689</v>
      </c>
      <c r="F104" s="121" t="str">
        <f>IF(AUTOQUESTIONNAIRE!F97=0,"N","Y")</f>
        <v>Y</v>
      </c>
    </row>
    <row r="105" spans="1:6">
      <c r="A105" s="290" t="s">
        <v>951</v>
      </c>
      <c r="D105" s="116" t="s">
        <v>648</v>
      </c>
    </row>
    <row r="106" spans="1:6">
      <c r="A106" s="276" t="s">
        <v>935</v>
      </c>
      <c r="D106" s="116" t="s">
        <v>649</v>
      </c>
    </row>
    <row r="107" spans="1:6">
      <c r="A107" s="276" t="s">
        <v>936</v>
      </c>
      <c r="D107" s="115" t="s">
        <v>690</v>
      </c>
      <c r="F107" s="121" t="str">
        <f>IF(AUTOQUESTIONNAIRE!F98=0,"N","Y")</f>
        <v>N</v>
      </c>
    </row>
    <row r="108" spans="1:6">
      <c r="A108" s="278" t="s">
        <v>952</v>
      </c>
      <c r="D108" s="116" t="s">
        <v>648</v>
      </c>
    </row>
    <row r="109" spans="1:6">
      <c r="A109" s="276" t="s">
        <v>935</v>
      </c>
      <c r="D109" s="116" t="s">
        <v>649</v>
      </c>
    </row>
    <row r="110" spans="1:6" ht="34.799999999999997">
      <c r="A110" s="276" t="s">
        <v>936</v>
      </c>
      <c r="D110" s="115" t="s">
        <v>698</v>
      </c>
      <c r="F110" s="121" t="str">
        <f>IF(AUTOQUESTIONNAIRE!F101=0,"N","Y")</f>
        <v>N</v>
      </c>
    </row>
    <row r="111" spans="1:6">
      <c r="A111" s="278" t="s">
        <v>953</v>
      </c>
      <c r="D111" s="116" t="s">
        <v>648</v>
      </c>
    </row>
    <row r="112" spans="1:6">
      <c r="A112" s="276" t="s">
        <v>935</v>
      </c>
      <c r="D112" s="116" t="s">
        <v>649</v>
      </c>
    </row>
    <row r="113" spans="1:8" ht="34.799999999999997">
      <c r="A113" s="276" t="s">
        <v>936</v>
      </c>
      <c r="D113" s="115" t="s">
        <v>699</v>
      </c>
      <c r="F113" s="121" t="str">
        <f>IF(AUTOQUESTIONNAIRE!F105=0,"N","Y")</f>
        <v>N</v>
      </c>
    </row>
    <row r="114" spans="1:8" ht="57.6">
      <c r="A114" s="290" t="s">
        <v>954</v>
      </c>
      <c r="D114" s="116" t="s">
        <v>648</v>
      </c>
    </row>
    <row r="115" spans="1:8">
      <c r="A115" s="276" t="s">
        <v>935</v>
      </c>
      <c r="D115" s="116" t="s">
        <v>649</v>
      </c>
    </row>
    <row r="116" spans="1:8">
      <c r="A116" s="276" t="s">
        <v>936</v>
      </c>
      <c r="D116" s="115" t="s">
        <v>700</v>
      </c>
      <c r="F116" s="88"/>
    </row>
    <row r="117" spans="1:8" ht="52.2">
      <c r="A117" s="278" t="s">
        <v>955</v>
      </c>
      <c r="D117" s="116" t="s">
        <v>701</v>
      </c>
      <c r="F117" s="121" t="str">
        <f>IF(AUTOQUESTIONNAIRE!F79=0,"N","Y")</f>
        <v>N</v>
      </c>
      <c r="G117" s="92">
        <f>IF(F117="Y",1.2,1)</f>
        <v>1</v>
      </c>
    </row>
    <row r="118" spans="1:8" ht="34.799999999999997">
      <c r="A118" s="277" t="s">
        <v>956</v>
      </c>
      <c r="D118" s="116" t="s">
        <v>702</v>
      </c>
      <c r="F118" s="121" t="str">
        <f>IF(AUTOQUESTIONNAIRE!F80=0,"N","Y")</f>
        <v>N</v>
      </c>
      <c r="G118" s="112">
        <f>IF(F118="Y",1.2,1)</f>
        <v>1</v>
      </c>
    </row>
    <row r="119" spans="1:8" ht="34.799999999999997">
      <c r="A119" s="291" t="s">
        <v>957</v>
      </c>
      <c r="D119" s="116" t="s">
        <v>703</v>
      </c>
      <c r="F119" s="121" t="str">
        <f>IF(AUTOQUESTIONNAIRE!F81=0,"N","Y")</f>
        <v>N</v>
      </c>
      <c r="G119" s="92">
        <f>IF(F119="Y",1.2,1)</f>
        <v>1</v>
      </c>
    </row>
    <row r="120" spans="1:8" ht="34.799999999999997">
      <c r="A120" s="292" t="s">
        <v>958</v>
      </c>
      <c r="D120" s="116" t="s">
        <v>704</v>
      </c>
      <c r="F120" s="121" t="str">
        <f>IF(AUTOQUESTIONNAIRE!F82=0,"N","Y")</f>
        <v>N</v>
      </c>
      <c r="G120" s="92">
        <f>IF(F120="Y",1.2,1)</f>
        <v>1</v>
      </c>
    </row>
    <row r="121" spans="1:8">
      <c r="A121" s="276" t="s">
        <v>935</v>
      </c>
      <c r="F121" s="93"/>
    </row>
    <row r="122" spans="1:8" ht="34.799999999999997">
      <c r="A122" s="276" t="s">
        <v>936</v>
      </c>
      <c r="D122" s="115" t="s">
        <v>705</v>
      </c>
      <c r="F122" s="121" t="str">
        <f>IF(AUTOQUESTIONNAIRE!F150=0,"N","Y")</f>
        <v>N</v>
      </c>
      <c r="G122" s="92">
        <f>IF(F122="Y",2,0)</f>
        <v>0</v>
      </c>
    </row>
    <row r="123" spans="1:8">
      <c r="D123" s="116" t="s">
        <v>648</v>
      </c>
    </row>
    <row r="124" spans="1:8" ht="28.8">
      <c r="A124" s="293" t="s">
        <v>929</v>
      </c>
      <c r="D124" s="116" t="s">
        <v>649</v>
      </c>
    </row>
    <row r="125" spans="1:8" ht="34.799999999999997">
      <c r="A125" s="276" t="s">
        <v>935</v>
      </c>
      <c r="D125" s="117" t="s">
        <v>732</v>
      </c>
      <c r="F125" s="88">
        <f>AUTOQUESTIONNAIRE!F134</f>
        <v>1</v>
      </c>
      <c r="H125" s="94">
        <f>F125+F130+F135</f>
        <v>1</v>
      </c>
    </row>
    <row r="126" spans="1:8">
      <c r="A126" s="276" t="s">
        <v>936</v>
      </c>
      <c r="D126" s="118" t="s">
        <v>315</v>
      </c>
      <c r="E126" s="72">
        <v>0</v>
      </c>
    </row>
    <row r="127" spans="1:8">
      <c r="A127" s="294" t="s">
        <v>930</v>
      </c>
      <c r="D127" s="118" t="s">
        <v>316</v>
      </c>
      <c r="E127" s="72">
        <v>1</v>
      </c>
    </row>
    <row r="128" spans="1:8">
      <c r="A128" s="276" t="s">
        <v>935</v>
      </c>
      <c r="D128" s="118" t="s">
        <v>317</v>
      </c>
      <c r="E128" s="72">
        <v>2</v>
      </c>
    </row>
    <row r="129" spans="1:8">
      <c r="A129" s="276" t="s">
        <v>936</v>
      </c>
      <c r="D129" s="118" t="s">
        <v>318</v>
      </c>
      <c r="E129" s="72">
        <v>3</v>
      </c>
    </row>
    <row r="130" spans="1:8" ht="34.799999999999997">
      <c r="A130" s="282" t="s">
        <v>959</v>
      </c>
      <c r="D130" s="118" t="s">
        <v>706</v>
      </c>
      <c r="F130" s="88">
        <f>AUTOQUESTIONNAIRE!F166</f>
        <v>0</v>
      </c>
    </row>
    <row r="131" spans="1:8">
      <c r="A131" s="276" t="s">
        <v>935</v>
      </c>
      <c r="D131" s="118" t="s">
        <v>319</v>
      </c>
      <c r="E131" s="72">
        <v>0</v>
      </c>
    </row>
    <row r="132" spans="1:8">
      <c r="A132" s="276" t="s">
        <v>936</v>
      </c>
      <c r="D132" s="118" t="s">
        <v>320</v>
      </c>
      <c r="E132" s="72">
        <v>1</v>
      </c>
    </row>
    <row r="133" spans="1:8">
      <c r="A133" s="294" t="s">
        <v>960</v>
      </c>
      <c r="D133" s="118" t="s">
        <v>321</v>
      </c>
      <c r="E133" s="72">
        <v>2</v>
      </c>
    </row>
    <row r="134" spans="1:8">
      <c r="A134" s="276" t="s">
        <v>935</v>
      </c>
      <c r="D134" s="118" t="s">
        <v>322</v>
      </c>
      <c r="E134" s="72">
        <v>3</v>
      </c>
    </row>
    <row r="135" spans="1:8" ht="34.799999999999997">
      <c r="A135" s="276" t="s">
        <v>936</v>
      </c>
      <c r="D135" s="118" t="s">
        <v>707</v>
      </c>
      <c r="F135" s="88">
        <f>AUTOQUESTIONNAIRE!F167</f>
        <v>0</v>
      </c>
    </row>
    <row r="136" spans="1:8">
      <c r="A136" s="283" t="s">
        <v>961</v>
      </c>
      <c r="D136" s="118" t="s">
        <v>323</v>
      </c>
      <c r="E136" s="72">
        <v>0</v>
      </c>
    </row>
    <row r="137" spans="1:8">
      <c r="A137" s="276" t="s">
        <v>935</v>
      </c>
      <c r="D137" s="118" t="s">
        <v>324</v>
      </c>
      <c r="E137" s="72">
        <v>1</v>
      </c>
    </row>
    <row r="138" spans="1:8">
      <c r="A138" s="276" t="s">
        <v>936</v>
      </c>
      <c r="D138" s="118" t="s">
        <v>325</v>
      </c>
      <c r="E138" s="72">
        <v>2</v>
      </c>
    </row>
    <row r="139" spans="1:8" ht="28.8">
      <c r="A139" s="283" t="s">
        <v>962</v>
      </c>
      <c r="D139" s="118" t="s">
        <v>326</v>
      </c>
      <c r="E139" s="72">
        <v>3</v>
      </c>
    </row>
    <row r="140" spans="1:8" ht="34.799999999999997">
      <c r="A140" s="276" t="s">
        <v>935</v>
      </c>
      <c r="C140" s="87"/>
      <c r="D140" s="115" t="s">
        <v>708</v>
      </c>
      <c r="F140" s="93"/>
      <c r="H140" s="94">
        <f>SUM(G141:G146)</f>
        <v>3</v>
      </c>
    </row>
    <row r="141" spans="1:8">
      <c r="A141" s="276" t="s">
        <v>936</v>
      </c>
      <c r="D141" s="116" t="s">
        <v>709</v>
      </c>
      <c r="E141" s="72">
        <v>0</v>
      </c>
      <c r="F141" s="121" t="str">
        <f>IF(AUTOQUESTIONNAIRE!F137=0,"N","Y")</f>
        <v>N</v>
      </c>
      <c r="G141" s="92">
        <f>IF(F141="Y",1,0)</f>
        <v>0</v>
      </c>
    </row>
    <row r="142" spans="1:8">
      <c r="A142" s="276" t="s">
        <v>803</v>
      </c>
      <c r="D142" s="116" t="s">
        <v>710</v>
      </c>
      <c r="E142" s="72">
        <v>1</v>
      </c>
      <c r="F142" s="121" t="str">
        <f>IF(AUTOQUESTIONNAIRE!F138=0,"N","Y")</f>
        <v>N</v>
      </c>
      <c r="G142" s="92">
        <f t="shared" ref="G142:G146" si="5">IF(F142="Y",1,0)</f>
        <v>0</v>
      </c>
    </row>
    <row r="143" spans="1:8">
      <c r="A143" s="286" t="s">
        <v>963</v>
      </c>
      <c r="D143" s="116" t="s">
        <v>711</v>
      </c>
      <c r="E143" s="72">
        <v>2</v>
      </c>
      <c r="F143" s="121" t="str">
        <f>IF(AUTOQUESTIONNAIRE!F139=0,"N","Y")</f>
        <v>Y</v>
      </c>
      <c r="G143" s="92">
        <f t="shared" si="5"/>
        <v>1</v>
      </c>
    </row>
    <row r="144" spans="1:8">
      <c r="A144" s="295" t="s">
        <v>964</v>
      </c>
      <c r="D144" s="116" t="s">
        <v>712</v>
      </c>
      <c r="E144" s="72">
        <v>3</v>
      </c>
      <c r="F144" s="121" t="str">
        <f>IF(AUTOQUESTIONNAIRE!F140=0,"N","Y")</f>
        <v>N</v>
      </c>
      <c r="G144" s="92">
        <f t="shared" si="5"/>
        <v>0</v>
      </c>
    </row>
    <row r="145" spans="1:23" ht="36.6" customHeight="1">
      <c r="A145" s="295" t="s">
        <v>965</v>
      </c>
      <c r="D145" s="116" t="s">
        <v>713</v>
      </c>
      <c r="E145" s="72">
        <v>4</v>
      </c>
      <c r="F145" s="121" t="str">
        <f>IF(AUTOQUESTIONNAIRE!F141=0,"N","Y")</f>
        <v>Y</v>
      </c>
      <c r="G145" s="92">
        <f t="shared" si="5"/>
        <v>1</v>
      </c>
    </row>
    <row r="146" spans="1:23" ht="46.2" customHeight="1">
      <c r="A146" s="295" t="s">
        <v>966</v>
      </c>
      <c r="D146" s="116" t="s">
        <v>714</v>
      </c>
      <c r="E146" s="72">
        <v>5</v>
      </c>
      <c r="F146" s="121" t="str">
        <f>IF(AUTOQUESTIONNAIRE!F142=0,"N","Y")</f>
        <v>Y</v>
      </c>
      <c r="G146" s="92">
        <f t="shared" si="5"/>
        <v>1</v>
      </c>
    </row>
    <row r="147" spans="1:23">
      <c r="A147" s="295" t="s">
        <v>967</v>
      </c>
      <c r="B147" s="85"/>
      <c r="D147" s="116" t="s">
        <v>241</v>
      </c>
      <c r="H147" s="75">
        <f>G142+G144+G145</f>
        <v>1</v>
      </c>
    </row>
    <row r="148" spans="1:23">
      <c r="A148" s="295" t="s">
        <v>968</v>
      </c>
      <c r="B148" s="85"/>
      <c r="D148" s="117" t="s">
        <v>715</v>
      </c>
      <c r="E148" s="572"/>
      <c r="F148" s="121" t="str">
        <f>IF(AUTOQUESTIONNAIRE!F108=0,"N","Y")</f>
        <v>N</v>
      </c>
    </row>
    <row r="149" spans="1:23">
      <c r="A149" s="295" t="s">
        <v>969</v>
      </c>
      <c r="D149" s="118" t="s">
        <v>648</v>
      </c>
      <c r="E149" s="572"/>
      <c r="J149" s="79" t="s">
        <v>87</v>
      </c>
      <c r="K149" s="95" t="s">
        <v>54</v>
      </c>
      <c r="L149" s="96" t="s">
        <v>37</v>
      </c>
      <c r="M149" s="96" t="s">
        <v>39</v>
      </c>
      <c r="N149" s="96" t="s">
        <v>42</v>
      </c>
      <c r="O149" s="96" t="s">
        <v>43</v>
      </c>
      <c r="P149" s="96" t="s">
        <v>45</v>
      </c>
      <c r="Q149" s="96" t="s">
        <v>46</v>
      </c>
      <c r="R149" s="96" t="s">
        <v>47</v>
      </c>
      <c r="S149" s="96" t="s">
        <v>48</v>
      </c>
      <c r="T149" s="96" t="s">
        <v>51</v>
      </c>
      <c r="U149" s="96" t="s">
        <v>52</v>
      </c>
      <c r="V149" s="96" t="s">
        <v>53</v>
      </c>
      <c r="W149" s="92" t="s">
        <v>592</v>
      </c>
    </row>
    <row r="150" spans="1:23">
      <c r="A150" s="295" t="s">
        <v>970</v>
      </c>
      <c r="D150" s="118" t="s">
        <v>649</v>
      </c>
      <c r="E150" s="572"/>
      <c r="K150" s="79">
        <f>MAX(H151,H163,H172,H176)*H232</f>
        <v>0.9</v>
      </c>
      <c r="L150" s="79">
        <f>H194*H232</f>
        <v>0.9</v>
      </c>
      <c r="M150" s="79">
        <f>MAX(H154,H166,H184)*H232</f>
        <v>0.9</v>
      </c>
      <c r="N150" s="79">
        <f>H203*H232</f>
        <v>0.9</v>
      </c>
      <c r="O150" s="79">
        <f>H200*H232</f>
        <v>0.9</v>
      </c>
      <c r="P150" s="79">
        <f>H197*H232</f>
        <v>0.9</v>
      </c>
      <c r="Q150" s="79">
        <f>H191*H232</f>
        <v>0.9</v>
      </c>
      <c r="R150" s="79">
        <f>H191*H232</f>
        <v>0.9</v>
      </c>
      <c r="S150" s="79">
        <f>H191*H232</f>
        <v>0.9</v>
      </c>
      <c r="T150" s="79">
        <f>H206*H232</f>
        <v>0.9</v>
      </c>
      <c r="U150" s="79">
        <f>MAX(H157,H169,H180)*H232</f>
        <v>0.9</v>
      </c>
      <c r="V150" s="79">
        <f>MAX(H163,H176)*H232</f>
        <v>0.9</v>
      </c>
      <c r="W150" s="92">
        <f>MAX(M150,(IF(F17="Y",2,0.9)))</f>
        <v>0.9</v>
      </c>
    </row>
    <row r="151" spans="1:23">
      <c r="A151" s="284" t="s">
        <v>971</v>
      </c>
      <c r="D151" s="118" t="s">
        <v>718</v>
      </c>
      <c r="E151" s="572"/>
      <c r="F151" s="121" t="str">
        <f>IF(AUTOQUESTIONNAIRE!F109=0,"N","Y")</f>
        <v>N</v>
      </c>
      <c r="G151" s="80" t="str">
        <f>IF($F$148="Y",F151,"N")</f>
        <v>N</v>
      </c>
      <c r="H151" s="72">
        <f>IF(G151="Y",1.5,0.9)</f>
        <v>0.9</v>
      </c>
    </row>
    <row r="152" spans="1:23">
      <c r="A152" s="296" t="s">
        <v>917</v>
      </c>
      <c r="D152" s="118" t="s">
        <v>648</v>
      </c>
      <c r="E152" s="572"/>
    </row>
    <row r="153" spans="1:23">
      <c r="A153" s="277" t="s">
        <v>854</v>
      </c>
      <c r="D153" s="118" t="s">
        <v>649</v>
      </c>
      <c r="E153" s="572"/>
    </row>
    <row r="154" spans="1:23">
      <c r="A154" s="277" t="s">
        <v>918</v>
      </c>
      <c r="D154" s="118" t="s">
        <v>756</v>
      </c>
      <c r="E154" s="572"/>
      <c r="F154" s="121" t="str">
        <f>IF(AUTOQUESTIONNAIRE!F110=0,"N","Y")</f>
        <v>N</v>
      </c>
      <c r="G154" s="80" t="str">
        <f>IF($F$148="Y",F154,"N")</f>
        <v>N</v>
      </c>
      <c r="H154" s="72">
        <f>IF(G154="Y",2.5,0.9)</f>
        <v>0.9</v>
      </c>
    </row>
    <row r="155" spans="1:23">
      <c r="A155" s="277" t="s">
        <v>919</v>
      </c>
      <c r="D155" s="118" t="s">
        <v>648</v>
      </c>
      <c r="E155" s="572"/>
    </row>
    <row r="156" spans="1:23">
      <c r="A156" s="277" t="s">
        <v>920</v>
      </c>
      <c r="D156" s="118" t="s">
        <v>649</v>
      </c>
      <c r="E156" s="572"/>
    </row>
    <row r="157" spans="1:23">
      <c r="A157" s="279" t="s">
        <v>819</v>
      </c>
      <c r="D157" s="118" t="s">
        <v>717</v>
      </c>
      <c r="E157" s="572"/>
      <c r="F157" s="121" t="s">
        <v>89</v>
      </c>
      <c r="G157" s="80" t="str">
        <f>IF($F$148="Y",F157,"N")</f>
        <v>N</v>
      </c>
      <c r="H157" s="72">
        <f>IF(G157="Y",1.2,0.9)</f>
        <v>0.9</v>
      </c>
    </row>
    <row r="158" spans="1:23">
      <c r="A158" s="276" t="s">
        <v>935</v>
      </c>
      <c r="D158" s="118" t="s">
        <v>648</v>
      </c>
      <c r="E158" s="572"/>
    </row>
    <row r="159" spans="1:23">
      <c r="A159" s="276" t="s">
        <v>936</v>
      </c>
      <c r="D159" s="118" t="s">
        <v>649</v>
      </c>
      <c r="E159" s="572"/>
    </row>
    <row r="160" spans="1:23">
      <c r="A160" s="279" t="s">
        <v>972</v>
      </c>
      <c r="B160" s="85"/>
      <c r="D160" s="117" t="s">
        <v>716</v>
      </c>
      <c r="E160" s="572"/>
      <c r="F160" s="121" t="s">
        <v>89</v>
      </c>
      <c r="H160" s="72">
        <f>IF(F160="Y",1.2,0.9)</f>
        <v>0.9</v>
      </c>
    </row>
    <row r="161" spans="1:8">
      <c r="A161" s="277" t="s">
        <v>973</v>
      </c>
      <c r="D161" s="118" t="s">
        <v>648</v>
      </c>
      <c r="E161" s="572"/>
    </row>
    <row r="162" spans="1:8">
      <c r="A162" s="277" t="s">
        <v>974</v>
      </c>
      <c r="D162" s="118" t="s">
        <v>649</v>
      </c>
      <c r="E162" s="572"/>
    </row>
    <row r="163" spans="1:8">
      <c r="A163" s="277" t="s">
        <v>975</v>
      </c>
      <c r="D163" s="118" t="s">
        <v>757</v>
      </c>
      <c r="E163" s="572"/>
      <c r="F163" s="121" t="s">
        <v>89</v>
      </c>
      <c r="G163" s="80" t="str">
        <f>IF($F$160="Y",F163,"N")</f>
        <v>N</v>
      </c>
      <c r="H163" s="72">
        <f>IF(G163="Y",2,0.9)</f>
        <v>0.9</v>
      </c>
    </row>
    <row r="164" spans="1:8">
      <c r="A164" s="277" t="s">
        <v>976</v>
      </c>
      <c r="D164" s="118" t="s">
        <v>648</v>
      </c>
      <c r="E164" s="572"/>
    </row>
    <row r="165" spans="1:8">
      <c r="A165" s="297" t="s">
        <v>977</v>
      </c>
      <c r="D165" s="118" t="s">
        <v>649</v>
      </c>
      <c r="E165" s="572"/>
    </row>
    <row r="166" spans="1:8">
      <c r="A166" s="277" t="s">
        <v>913</v>
      </c>
      <c r="D166" s="118" t="s">
        <v>719</v>
      </c>
      <c r="E166" s="572"/>
      <c r="F166" s="121" t="s">
        <v>89</v>
      </c>
      <c r="G166" s="80" t="str">
        <f>IF($F$160="Y",F166,"N")</f>
        <v>N</v>
      </c>
      <c r="H166" s="72">
        <f>IF(G166="Y",2.5,0.9)</f>
        <v>0.9</v>
      </c>
    </row>
    <row r="167" spans="1:8">
      <c r="A167" s="277" t="s">
        <v>914</v>
      </c>
      <c r="D167" s="118" t="s">
        <v>648</v>
      </c>
      <c r="E167" s="572"/>
    </row>
    <row r="168" spans="1:8">
      <c r="A168" s="277" t="s">
        <v>915</v>
      </c>
      <c r="D168" s="118" t="s">
        <v>649</v>
      </c>
      <c r="E168" s="572"/>
    </row>
    <row r="169" spans="1:8">
      <c r="A169" s="277" t="s">
        <v>916</v>
      </c>
      <c r="D169" s="118" t="s">
        <v>720</v>
      </c>
      <c r="E169" s="572"/>
      <c r="F169" s="121" t="s">
        <v>89</v>
      </c>
      <c r="G169" s="80" t="str">
        <f>IF($F$160="Y",F169,"N")</f>
        <v>N</v>
      </c>
      <c r="H169" s="72">
        <f>IF(G169="Y",1.2,0.9)</f>
        <v>0.9</v>
      </c>
    </row>
    <row r="170" spans="1:8">
      <c r="A170" s="297" t="s">
        <v>978</v>
      </c>
      <c r="D170" s="118" t="s">
        <v>648</v>
      </c>
      <c r="E170" s="572"/>
    </row>
    <row r="171" spans="1:8">
      <c r="A171" s="277" t="s">
        <v>979</v>
      </c>
      <c r="D171" s="118" t="s">
        <v>649</v>
      </c>
      <c r="E171" s="572"/>
    </row>
    <row r="172" spans="1:8">
      <c r="A172" s="277" t="s">
        <v>980</v>
      </c>
      <c r="D172" s="118" t="s">
        <v>721</v>
      </c>
      <c r="F172" s="88">
        <v>0</v>
      </c>
      <c r="H172" s="89">
        <f>IF(F172=1,1.2,(IF(F172&gt;1,2.5,0.9)))</f>
        <v>0.9</v>
      </c>
    </row>
    <row r="173" spans="1:8">
      <c r="A173" s="277" t="s">
        <v>981</v>
      </c>
      <c r="D173" s="118" t="s">
        <v>82</v>
      </c>
    </row>
    <row r="174" spans="1:8">
      <c r="A174" s="277" t="s">
        <v>982</v>
      </c>
      <c r="D174" s="118" t="s">
        <v>83</v>
      </c>
    </row>
    <row r="175" spans="1:8">
      <c r="A175" s="277" t="s">
        <v>983</v>
      </c>
      <c r="D175" s="118" t="s">
        <v>90</v>
      </c>
    </row>
    <row r="176" spans="1:8">
      <c r="A176" s="297" t="s">
        <v>984</v>
      </c>
      <c r="D176" s="118" t="s">
        <v>722</v>
      </c>
      <c r="F176" s="88">
        <v>0</v>
      </c>
      <c r="H176" s="89">
        <f>IF(F176=1,1.2,(IF(F176&gt;1,2.5,0.9)))</f>
        <v>0.9</v>
      </c>
    </row>
    <row r="177" spans="1:8">
      <c r="A177" s="277" t="s">
        <v>985</v>
      </c>
      <c r="D177" s="118" t="s">
        <v>82</v>
      </c>
    </row>
    <row r="178" spans="1:8">
      <c r="A178" s="277" t="s">
        <v>986</v>
      </c>
      <c r="D178" s="118" t="s">
        <v>83</v>
      </c>
    </row>
    <row r="179" spans="1:8">
      <c r="A179" s="277" t="s">
        <v>980</v>
      </c>
      <c r="D179" s="118" t="s">
        <v>90</v>
      </c>
    </row>
    <row r="180" spans="1:8">
      <c r="A180" s="277" t="s">
        <v>987</v>
      </c>
      <c r="D180" s="118" t="s">
        <v>723</v>
      </c>
      <c r="F180" s="88">
        <v>0</v>
      </c>
      <c r="H180" s="89">
        <f>IF(F180=1,1.2,(IF(F180&gt;1,1.5,0.9)))</f>
        <v>0.9</v>
      </c>
    </row>
    <row r="181" spans="1:8">
      <c r="A181" s="277" t="s">
        <v>983</v>
      </c>
      <c r="D181" s="118" t="s">
        <v>82</v>
      </c>
    </row>
    <row r="182" spans="1:8">
      <c r="A182" s="278" t="s">
        <v>988</v>
      </c>
      <c r="D182" s="118" t="s">
        <v>83</v>
      </c>
    </row>
    <row r="183" spans="1:8">
      <c r="A183" s="279" t="s">
        <v>989</v>
      </c>
      <c r="D183" s="118" t="s">
        <v>90</v>
      </c>
    </row>
    <row r="184" spans="1:8">
      <c r="A184" s="277" t="s">
        <v>990</v>
      </c>
      <c r="D184" s="118" t="s">
        <v>724</v>
      </c>
      <c r="F184" s="88">
        <v>0</v>
      </c>
      <c r="H184" s="89">
        <f>IF(F184=1,1.2,(IF(F184&gt;1,2.5,0.9)))</f>
        <v>0.9</v>
      </c>
    </row>
    <row r="185" spans="1:8">
      <c r="A185" s="277" t="s">
        <v>991</v>
      </c>
      <c r="D185" s="118" t="s">
        <v>82</v>
      </c>
    </row>
    <row r="186" spans="1:8">
      <c r="A186" s="277" t="s">
        <v>992</v>
      </c>
      <c r="D186" s="118" t="s">
        <v>83</v>
      </c>
    </row>
    <row r="187" spans="1:8">
      <c r="A187" s="279" t="s">
        <v>993</v>
      </c>
      <c r="D187" s="118" t="s">
        <v>90</v>
      </c>
    </row>
    <row r="188" spans="1:8" ht="34.799999999999997">
      <c r="A188" s="277" t="s">
        <v>994</v>
      </c>
      <c r="D188" s="119" t="s">
        <v>725</v>
      </c>
      <c r="F188" s="71" t="str">
        <f>IF(AUTOQUESTIONNAIRE!F121=0,"N","Y")</f>
        <v>N</v>
      </c>
      <c r="H188" s="72">
        <f>IF(F188="Y",1.2,0.9)</f>
        <v>0.9</v>
      </c>
    </row>
    <row r="189" spans="1:8">
      <c r="A189" s="277" t="s">
        <v>995</v>
      </c>
      <c r="D189" s="118" t="s">
        <v>648</v>
      </c>
    </row>
    <row r="190" spans="1:8">
      <c r="A190" s="277" t="s">
        <v>996</v>
      </c>
      <c r="D190" s="118" t="s">
        <v>649</v>
      </c>
    </row>
    <row r="191" spans="1:8" ht="34.799999999999997">
      <c r="A191" s="277" t="s">
        <v>997</v>
      </c>
      <c r="D191" s="119" t="s">
        <v>726</v>
      </c>
      <c r="F191" s="121" t="str">
        <f>IF(AUTOQUESTIONNAIRE!F122=0,"N","Y")</f>
        <v>N</v>
      </c>
      <c r="G191" s="80" t="str">
        <f>IF($F$188="Y",F191,"N")</f>
        <v>N</v>
      </c>
      <c r="H191" s="72">
        <f>IF(G191="Y",1.2,0.9)</f>
        <v>0.9</v>
      </c>
    </row>
    <row r="192" spans="1:8">
      <c r="A192" s="292" t="s">
        <v>826</v>
      </c>
      <c r="D192" s="118" t="s">
        <v>648</v>
      </c>
    </row>
    <row r="193" spans="1:8">
      <c r="A193" s="277" t="s">
        <v>827</v>
      </c>
      <c r="D193" s="118" t="s">
        <v>649</v>
      </c>
    </row>
    <row r="194" spans="1:8" ht="34.799999999999997">
      <c r="A194" s="277" t="s">
        <v>828</v>
      </c>
      <c r="D194" s="119" t="s">
        <v>727</v>
      </c>
      <c r="F194" s="121" t="str">
        <f>IF(AUTOQUESTIONNAIRE!F124=0,"N","Y")</f>
        <v>N</v>
      </c>
      <c r="G194" s="80" t="str">
        <f>IF($F$188="Y",F194,"N")</f>
        <v>N</v>
      </c>
      <c r="H194" s="72">
        <f>IF(G194="Y",1.2,0.9)</f>
        <v>0.9</v>
      </c>
    </row>
    <row r="195" spans="1:8">
      <c r="A195" s="277" t="s">
        <v>829</v>
      </c>
      <c r="D195" s="118" t="s">
        <v>648</v>
      </c>
    </row>
    <row r="196" spans="1:8">
      <c r="A196" s="279" t="s">
        <v>830</v>
      </c>
      <c r="D196" s="118" t="s">
        <v>649</v>
      </c>
    </row>
    <row r="197" spans="1:8" ht="34.799999999999997">
      <c r="A197" s="277" t="s">
        <v>831</v>
      </c>
      <c r="D197" s="119" t="s">
        <v>728</v>
      </c>
      <c r="F197" s="71" t="str">
        <f>IF(AUTOQUESTIONNAIRE!F125=0,"N","Y")</f>
        <v>N</v>
      </c>
      <c r="G197" s="80" t="str">
        <f>IF($F$188="Y",F197,"N")</f>
        <v>N</v>
      </c>
      <c r="H197" s="72">
        <f>IF(G197="Y",1.2,0.9)</f>
        <v>0.9</v>
      </c>
    </row>
    <row r="198" spans="1:8">
      <c r="A198" s="277" t="s">
        <v>832</v>
      </c>
      <c r="D198" s="118" t="s">
        <v>648</v>
      </c>
    </row>
    <row r="199" spans="1:8">
      <c r="A199" s="277" t="s">
        <v>635</v>
      </c>
      <c r="D199" s="118" t="s">
        <v>649</v>
      </c>
    </row>
    <row r="200" spans="1:8" ht="34.799999999999997">
      <c r="A200" s="279" t="s">
        <v>833</v>
      </c>
      <c r="D200" s="119" t="s">
        <v>729</v>
      </c>
      <c r="F200" s="121" t="str">
        <f>IF(AUTOQUESTIONNAIRE!F126=0,"N","Y")</f>
        <v>N</v>
      </c>
      <c r="G200" s="80" t="str">
        <f>IF($F$188="Y",F200,"N")</f>
        <v>N</v>
      </c>
      <c r="H200" s="72">
        <f>IF(G200="Y",1.2,0.9)</f>
        <v>0.9</v>
      </c>
    </row>
    <row r="201" spans="1:8">
      <c r="A201" s="277" t="s">
        <v>834</v>
      </c>
      <c r="D201" s="118" t="s">
        <v>648</v>
      </c>
    </row>
    <row r="202" spans="1:8">
      <c r="A202" s="277" t="s">
        <v>835</v>
      </c>
      <c r="D202" s="118" t="s">
        <v>649</v>
      </c>
    </row>
    <row r="203" spans="1:8" ht="34.799999999999997">
      <c r="A203" s="277" t="s">
        <v>836</v>
      </c>
      <c r="D203" s="119" t="s">
        <v>730</v>
      </c>
      <c r="F203" s="121" t="str">
        <f>IF(AUTOQUESTIONNAIRE!F127=0,"N","Y")</f>
        <v>N</v>
      </c>
      <c r="G203" s="80" t="str">
        <f>IF($F$188="Y",F203,"N")</f>
        <v>N</v>
      </c>
      <c r="H203" s="72">
        <f>IF(G203="Y",1.2,0.9)</f>
        <v>0.9</v>
      </c>
    </row>
    <row r="204" spans="1:8">
      <c r="A204" s="277" t="s">
        <v>635</v>
      </c>
      <c r="D204" s="118" t="s">
        <v>648</v>
      </c>
    </row>
    <row r="205" spans="1:8">
      <c r="A205" s="284" t="s">
        <v>998</v>
      </c>
      <c r="D205" s="118" t="s">
        <v>649</v>
      </c>
    </row>
    <row r="206" spans="1:8" ht="34.799999999999997">
      <c r="A206" s="279" t="s">
        <v>912</v>
      </c>
      <c r="D206" s="119" t="s">
        <v>731</v>
      </c>
      <c r="F206" s="121" t="str">
        <f>IF(AUTOQUESTIONNAIRE!F129=0,"N","Y")</f>
        <v>N</v>
      </c>
      <c r="G206" s="80" t="str">
        <f>IF($F$188="Y",F206,"N")</f>
        <v>N</v>
      </c>
      <c r="H206" s="72">
        <f>IF(G206="Y",1.2,0.9)</f>
        <v>0.9</v>
      </c>
    </row>
    <row r="207" spans="1:8">
      <c r="A207" s="276" t="s">
        <v>935</v>
      </c>
      <c r="D207" s="118" t="s">
        <v>648</v>
      </c>
    </row>
    <row r="208" spans="1:8">
      <c r="A208" s="276" t="s">
        <v>936</v>
      </c>
      <c r="D208" s="118" t="s">
        <v>649</v>
      </c>
    </row>
    <row r="209" spans="1:6" ht="34.799999999999997">
      <c r="A209" s="276" t="s">
        <v>803</v>
      </c>
      <c r="D209" s="122" t="s">
        <v>697</v>
      </c>
      <c r="F209" s="88">
        <f>AUTOQUESTIONNAIRE!F143</f>
        <v>0</v>
      </c>
    </row>
    <row r="210" spans="1:6" ht="28.8">
      <c r="A210" s="275" t="s">
        <v>999</v>
      </c>
      <c r="D210" s="118" t="s">
        <v>315</v>
      </c>
    </row>
    <row r="211" spans="1:6">
      <c r="A211" s="276" t="s">
        <v>1000</v>
      </c>
      <c r="D211" s="118" t="s">
        <v>316</v>
      </c>
    </row>
    <row r="212" spans="1:6">
      <c r="A212" s="276" t="s">
        <v>1001</v>
      </c>
      <c r="D212" s="118" t="s">
        <v>317</v>
      </c>
    </row>
    <row r="213" spans="1:6">
      <c r="A213" s="276" t="s">
        <v>1002</v>
      </c>
      <c r="D213" s="118" t="s">
        <v>318</v>
      </c>
    </row>
    <row r="214" spans="1:6" ht="34.799999999999997">
      <c r="A214" s="276" t="s">
        <v>983</v>
      </c>
      <c r="D214" s="122" t="s">
        <v>696</v>
      </c>
      <c r="F214" s="88">
        <f>AUTOQUESTIONNAIRE!F144</f>
        <v>1</v>
      </c>
    </row>
    <row r="215" spans="1:6">
      <c r="A215" s="298" t="s">
        <v>1003</v>
      </c>
      <c r="D215" s="118" t="s">
        <v>315</v>
      </c>
    </row>
    <row r="216" spans="1:6">
      <c r="A216" s="276" t="s">
        <v>1000</v>
      </c>
      <c r="D216" s="118" t="s">
        <v>316</v>
      </c>
    </row>
    <row r="217" spans="1:6">
      <c r="A217" s="276" t="s">
        <v>1001</v>
      </c>
      <c r="D217" s="118" t="s">
        <v>317</v>
      </c>
    </row>
    <row r="218" spans="1:6">
      <c r="A218" s="276" t="s">
        <v>1002</v>
      </c>
      <c r="D218" s="118" t="s">
        <v>318</v>
      </c>
    </row>
    <row r="219" spans="1:6" ht="34.799999999999997">
      <c r="A219" s="276" t="s">
        <v>983</v>
      </c>
      <c r="D219" s="122" t="s">
        <v>695</v>
      </c>
      <c r="F219" s="88">
        <f>AUTOQUESTIONNAIRE!F145</f>
        <v>0</v>
      </c>
    </row>
    <row r="220" spans="1:6">
      <c r="A220" s="279" t="s">
        <v>1004</v>
      </c>
      <c r="D220" s="118" t="s">
        <v>315</v>
      </c>
    </row>
    <row r="221" spans="1:6">
      <c r="A221" s="276" t="s">
        <v>935</v>
      </c>
      <c r="D221" s="118" t="s">
        <v>316</v>
      </c>
    </row>
    <row r="222" spans="1:6">
      <c r="A222" s="276" t="s">
        <v>936</v>
      </c>
      <c r="D222" s="118" t="s">
        <v>317</v>
      </c>
    </row>
    <row r="223" spans="1:6">
      <c r="A223" s="276" t="s">
        <v>803</v>
      </c>
      <c r="D223" s="118" t="s">
        <v>318</v>
      </c>
    </row>
    <row r="224" spans="1:6" ht="55.95" customHeight="1">
      <c r="A224" s="279" t="s">
        <v>815</v>
      </c>
      <c r="D224" s="122" t="s">
        <v>694</v>
      </c>
      <c r="F224" s="88">
        <f>AUTOQUESTIONNAIRE!F146</f>
        <v>0</v>
      </c>
    </row>
    <row r="225" spans="1:8">
      <c r="A225" s="276" t="s">
        <v>935</v>
      </c>
      <c r="D225" s="118" t="s">
        <v>315</v>
      </c>
    </row>
    <row r="226" spans="1:8">
      <c r="A226" s="276" t="s">
        <v>936</v>
      </c>
      <c r="D226" s="118" t="s">
        <v>316</v>
      </c>
    </row>
    <row r="227" spans="1:8">
      <c r="A227" s="277" t="s">
        <v>816</v>
      </c>
      <c r="D227" s="118" t="s">
        <v>317</v>
      </c>
    </row>
    <row r="228" spans="1:8">
      <c r="A228" s="279" t="s">
        <v>825</v>
      </c>
      <c r="D228" s="118" t="s">
        <v>318</v>
      </c>
    </row>
    <row r="229" spans="1:8" ht="34.799999999999997">
      <c r="A229" s="276" t="s">
        <v>935</v>
      </c>
      <c r="D229" s="116" t="s">
        <v>693</v>
      </c>
      <c r="F229" s="124">
        <f>AUTOQUESTIONNAIRE!F241</f>
        <v>25</v>
      </c>
    </row>
    <row r="230" spans="1:8">
      <c r="A230" s="276" t="s">
        <v>936</v>
      </c>
    </row>
    <row r="231" spans="1:8">
      <c r="A231" s="297" t="s">
        <v>817</v>
      </c>
      <c r="D231" s="118" t="s">
        <v>733</v>
      </c>
      <c r="F231" s="121" t="str">
        <f>IF(AUTOQUESTIONNAIRE!F32=0,"N","Y")</f>
        <v>N</v>
      </c>
      <c r="H231" s="80" t="str">
        <f>IF($F$11="Y",F231,"N")</f>
        <v>N</v>
      </c>
    </row>
    <row r="232" spans="1:8">
      <c r="A232" s="276" t="s">
        <v>935</v>
      </c>
      <c r="D232" s="118" t="s">
        <v>692</v>
      </c>
      <c r="F232" s="76">
        <f>AUTOQUESTIONNAIRE!F114</f>
        <v>0</v>
      </c>
      <c r="H232" s="72">
        <f>IF(F232&lt;2,1,0.9)</f>
        <v>1</v>
      </c>
    </row>
    <row r="233" spans="1:8">
      <c r="A233" s="276" t="s">
        <v>936</v>
      </c>
      <c r="D233" s="118"/>
    </row>
    <row r="234" spans="1:8" s="572" customFormat="1" ht="18" thickBot="1">
      <c r="A234" s="573" t="s">
        <v>816</v>
      </c>
      <c r="D234" s="574"/>
      <c r="F234" s="575"/>
    </row>
    <row r="235" spans="1:8" ht="18" thickBot="1">
      <c r="A235" s="279" t="s">
        <v>818</v>
      </c>
      <c r="D235" s="205" t="s">
        <v>607</v>
      </c>
      <c r="F235" s="88">
        <f>AUTOQUESTIONNAIRE!F223</f>
        <v>0</v>
      </c>
    </row>
    <row r="236" spans="1:8" ht="18" thickBot="1">
      <c r="A236" s="276" t="s">
        <v>935</v>
      </c>
      <c r="D236" s="206" t="s">
        <v>608</v>
      </c>
      <c r="F236" s="88">
        <f>AUTOQUESTIONNAIRE!F224</f>
        <v>0</v>
      </c>
    </row>
    <row r="237" spans="1:8" ht="18" thickBot="1">
      <c r="A237" s="276" t="s">
        <v>936</v>
      </c>
      <c r="D237" s="206" t="s">
        <v>641</v>
      </c>
      <c r="F237" s="88">
        <f>AUTOQUESTIONNAIRE!F225</f>
        <v>0</v>
      </c>
    </row>
    <row r="238" spans="1:8" ht="18" thickBot="1">
      <c r="A238" s="276" t="s">
        <v>803</v>
      </c>
      <c r="D238" s="206" t="s">
        <v>642</v>
      </c>
      <c r="F238" s="88">
        <f>AUTOQUESTIONNAIRE!F226</f>
        <v>0</v>
      </c>
    </row>
    <row r="239" spans="1:8" ht="29.4" thickBot="1">
      <c r="A239" s="275" t="s">
        <v>1005</v>
      </c>
      <c r="D239" s="206" t="s">
        <v>643</v>
      </c>
      <c r="F239" s="88">
        <f>AUTOQUESTIONNAIRE!F227</f>
        <v>0</v>
      </c>
    </row>
    <row r="240" spans="1:8" ht="18" thickBot="1">
      <c r="A240" s="276" t="s">
        <v>1006</v>
      </c>
      <c r="D240" s="206" t="s">
        <v>613</v>
      </c>
      <c r="F240" s="88">
        <f>AUTOQUESTIONNAIRE!F217</f>
        <v>70</v>
      </c>
    </row>
    <row r="241" spans="1:10" ht="18" thickBot="1">
      <c r="A241" s="276" t="s">
        <v>1007</v>
      </c>
      <c r="D241" s="206" t="s">
        <v>609</v>
      </c>
      <c r="F241" s="88">
        <f>AUTOQUESTIONNAIRE!F346</f>
        <v>80</v>
      </c>
    </row>
    <row r="242" spans="1:10" ht="18" thickBot="1">
      <c r="A242" s="276" t="s">
        <v>1002</v>
      </c>
      <c r="D242" s="206" t="s">
        <v>614</v>
      </c>
      <c r="F242" s="88">
        <f>AUTOQUESTIONNAIRE!F220</f>
        <v>99</v>
      </c>
    </row>
    <row r="243" spans="1:10" ht="18" thickBot="1">
      <c r="A243" s="276" t="s">
        <v>983</v>
      </c>
      <c r="D243" s="206" t="s">
        <v>644</v>
      </c>
      <c r="F243" s="88">
        <f>AUTOQUESTIONNAIRE!F221</f>
        <v>65</v>
      </c>
    </row>
    <row r="244" spans="1:10" ht="29.4" thickBot="1">
      <c r="A244" s="275" t="s">
        <v>1008</v>
      </c>
      <c r="D244" s="206" t="s">
        <v>610</v>
      </c>
      <c r="F244" s="88">
        <f>AUTOQUESTIONNAIRE!F228</f>
        <v>0</v>
      </c>
    </row>
    <row r="245" spans="1:10" ht="29.4" thickBot="1">
      <c r="A245" s="281" t="s">
        <v>841</v>
      </c>
      <c r="D245" s="206" t="s">
        <v>611</v>
      </c>
      <c r="F245" s="88">
        <f>AUTOQUESTIONNAIRE!F229</f>
        <v>0</v>
      </c>
    </row>
    <row r="246" spans="1:10" ht="18" thickBot="1">
      <c r="A246" s="276" t="s">
        <v>935</v>
      </c>
      <c r="D246" s="206" t="s">
        <v>633</v>
      </c>
      <c r="F246" s="88">
        <f>AUTOQUESTIONNAIRE!G230</f>
        <v>1</v>
      </c>
    </row>
    <row r="247" spans="1:10" ht="18" thickBot="1">
      <c r="A247" s="276" t="s">
        <v>936</v>
      </c>
      <c r="D247" s="206" t="s">
        <v>634</v>
      </c>
      <c r="F247" s="88">
        <f>AUTOQUESTIONNAIRE!G231</f>
        <v>2</v>
      </c>
    </row>
    <row r="248" spans="1:10" ht="57.6">
      <c r="A248" s="281" t="s">
        <v>842</v>
      </c>
      <c r="D248" s="209" t="s">
        <v>740</v>
      </c>
      <c r="F248" s="208">
        <f>AUTOQUESTIONNAIRE!F232</f>
        <v>0</v>
      </c>
    </row>
    <row r="249" spans="1:10">
      <c r="A249" s="276" t="s">
        <v>935</v>
      </c>
      <c r="D249" s="210" t="s">
        <v>735</v>
      </c>
    </row>
    <row r="250" spans="1:10">
      <c r="A250" s="276" t="s">
        <v>936</v>
      </c>
      <c r="D250" s="210" t="s">
        <v>742</v>
      </c>
      <c r="F250" s="76">
        <f>AUTOQUESTIONNAIRE!F233</f>
        <v>2</v>
      </c>
      <c r="H250" s="72">
        <f>F250/20</f>
        <v>0.1</v>
      </c>
    </row>
    <row r="251" spans="1:10" ht="28.8">
      <c r="A251" s="281" t="s">
        <v>843</v>
      </c>
      <c r="D251" s="210" t="s">
        <v>743</v>
      </c>
      <c r="F251" s="76" t="s">
        <v>781</v>
      </c>
      <c r="H251" s="72">
        <f>IF(F251="Normale",1,0)</f>
        <v>0</v>
      </c>
    </row>
    <row r="252" spans="1:10">
      <c r="A252" s="276" t="s">
        <v>935</v>
      </c>
      <c r="D252" s="210" t="s">
        <v>744</v>
      </c>
      <c r="F252" s="76" t="s">
        <v>781</v>
      </c>
      <c r="H252" s="72">
        <f>IF(F252="Normale",1,0)</f>
        <v>0</v>
      </c>
      <c r="I252" s="218" t="s">
        <v>119</v>
      </c>
      <c r="J252" s="218">
        <f>(H250+H251+H252)/3</f>
        <v>3.3333333333333333E-2</v>
      </c>
    </row>
    <row r="253" spans="1:10" ht="21">
      <c r="A253" s="276" t="s">
        <v>936</v>
      </c>
      <c r="D253" s="215" t="s">
        <v>748</v>
      </c>
      <c r="E253" s="211"/>
      <c r="F253" s="212" t="s">
        <v>745</v>
      </c>
      <c r="G253" s="211" t="s">
        <v>749</v>
      </c>
      <c r="H253" s="211"/>
      <c r="I253" s="211"/>
    </row>
    <row r="254" spans="1:10" ht="21">
      <c r="A254" s="276" t="s">
        <v>816</v>
      </c>
      <c r="D254" s="216" t="s">
        <v>746</v>
      </c>
      <c r="E254" s="214"/>
      <c r="F254" s="212"/>
      <c r="G254" s="211"/>
      <c r="H254" s="211"/>
      <c r="I254" s="219" t="s">
        <v>119</v>
      </c>
      <c r="J254" s="219">
        <f>IF(F253="Normale perte auditive en décibel &lt;20 dB",1,(IF(F253="Surdité perte auditive en décibel &gt; 40 dB",0.4,0.6)))</f>
        <v>0.6</v>
      </c>
    </row>
    <row r="255" spans="1:10" ht="21">
      <c r="A255" s="278" t="s">
        <v>1009</v>
      </c>
      <c r="D255" s="217" t="s">
        <v>745</v>
      </c>
      <c r="E255" s="213"/>
      <c r="F255" s="212"/>
      <c r="G255" s="211"/>
      <c r="H255" s="211"/>
      <c r="I255" s="211"/>
    </row>
    <row r="256" spans="1:10" ht="21">
      <c r="A256" s="299" t="s">
        <v>844</v>
      </c>
      <c r="D256" s="216" t="s">
        <v>747</v>
      </c>
      <c r="E256" s="213"/>
      <c r="F256" s="212"/>
      <c r="G256" s="211"/>
      <c r="H256" s="211"/>
      <c r="I256" s="211"/>
    </row>
    <row r="257" spans="1:8">
      <c r="A257" s="277" t="s">
        <v>845</v>
      </c>
    </row>
    <row r="258" spans="1:8" ht="18">
      <c r="A258" s="277" t="s">
        <v>846</v>
      </c>
      <c r="D258" s="246" t="s">
        <v>768</v>
      </c>
      <c r="F258" s="88" t="s">
        <v>89</v>
      </c>
      <c r="G258" s="79">
        <f>IF(F258="Y",1,0)</f>
        <v>0</v>
      </c>
      <c r="H258" s="72" t="s">
        <v>764</v>
      </c>
    </row>
    <row r="259" spans="1:8" ht="18">
      <c r="A259" s="277" t="s">
        <v>847</v>
      </c>
      <c r="D259" s="245" t="s">
        <v>762</v>
      </c>
    </row>
    <row r="260" spans="1:8" ht="18">
      <c r="A260" s="277" t="s">
        <v>848</v>
      </c>
      <c r="D260" s="245" t="s">
        <v>763</v>
      </c>
    </row>
    <row r="261" spans="1:8" ht="36">
      <c r="A261" s="299" t="s">
        <v>849</v>
      </c>
      <c r="D261" s="247" t="s">
        <v>769</v>
      </c>
      <c r="F261" s="88" t="s">
        <v>89</v>
      </c>
      <c r="G261" s="79">
        <f>IF(F261="Y",0.5,0)</f>
        <v>0</v>
      </c>
    </row>
    <row r="262" spans="1:8" ht="18">
      <c r="A262" s="277" t="s">
        <v>850</v>
      </c>
      <c r="D262" s="245" t="s">
        <v>762</v>
      </c>
    </row>
    <row r="263" spans="1:8" ht="18">
      <c r="A263" s="277" t="s">
        <v>851</v>
      </c>
      <c r="D263" s="245" t="s">
        <v>763</v>
      </c>
    </row>
    <row r="264" spans="1:8" ht="18">
      <c r="A264" s="277" t="s">
        <v>852</v>
      </c>
      <c r="D264" s="248" t="s">
        <v>770</v>
      </c>
      <c r="F264" s="88" t="s">
        <v>89</v>
      </c>
      <c r="G264" s="79">
        <f>IF(F264="Y",0.5,0)</f>
        <v>0</v>
      </c>
    </row>
    <row r="265" spans="1:8" ht="18">
      <c r="A265" s="286" t="s">
        <v>922</v>
      </c>
      <c r="D265" s="245" t="s">
        <v>762</v>
      </c>
    </row>
    <row r="266" spans="1:8" ht="18">
      <c r="A266" s="277" t="s">
        <v>834</v>
      </c>
      <c r="D266" s="245" t="s">
        <v>763</v>
      </c>
    </row>
    <row r="267" spans="1:8" ht="18">
      <c r="A267" s="277" t="s">
        <v>923</v>
      </c>
      <c r="D267" s="249" t="s">
        <v>778</v>
      </c>
      <c r="F267" s="88" t="s">
        <v>89</v>
      </c>
      <c r="G267" s="79">
        <f>IF(F267="Y",1,0)</f>
        <v>0</v>
      </c>
      <c r="H267" s="116"/>
    </row>
    <row r="268" spans="1:8" ht="18">
      <c r="A268" s="277" t="s">
        <v>635</v>
      </c>
      <c r="D268" s="245" t="s">
        <v>762</v>
      </c>
    </row>
    <row r="269" spans="1:8" ht="18">
      <c r="A269" s="299" t="s">
        <v>924</v>
      </c>
      <c r="D269" s="245" t="s">
        <v>763</v>
      </c>
    </row>
    <row r="270" spans="1:8" ht="18">
      <c r="A270" s="300" t="s">
        <v>837</v>
      </c>
      <c r="D270" s="247" t="s">
        <v>771</v>
      </c>
      <c r="F270" s="88" t="s">
        <v>89</v>
      </c>
      <c r="G270" s="79">
        <f>IF(F270="Y",1,0)</f>
        <v>0</v>
      </c>
    </row>
    <row r="271" spans="1:8" ht="18">
      <c r="A271" s="277" t="s">
        <v>838</v>
      </c>
      <c r="D271" s="245" t="s">
        <v>762</v>
      </c>
    </row>
    <row r="272" spans="1:8" ht="18">
      <c r="A272" s="277" t="s">
        <v>839</v>
      </c>
      <c r="D272" s="245" t="s">
        <v>763</v>
      </c>
    </row>
    <row r="273" spans="1:7" ht="36">
      <c r="A273" s="277" t="s">
        <v>840</v>
      </c>
      <c r="D273" s="246" t="s">
        <v>772</v>
      </c>
      <c r="F273" s="88" t="s">
        <v>89</v>
      </c>
      <c r="G273" s="79">
        <f>IF(F273="Y",1,0)</f>
        <v>0</v>
      </c>
    </row>
    <row r="274" spans="1:7" ht="18">
      <c r="A274" s="300" t="s">
        <v>853</v>
      </c>
      <c r="D274" s="245" t="s">
        <v>762</v>
      </c>
    </row>
    <row r="275" spans="1:7" ht="18">
      <c r="A275" s="277" t="s">
        <v>854</v>
      </c>
      <c r="D275" s="245" t="s">
        <v>763</v>
      </c>
    </row>
    <row r="276" spans="1:7">
      <c r="A276" s="277" t="s">
        <v>855</v>
      </c>
      <c r="D276" s="282" t="s">
        <v>950</v>
      </c>
    </row>
    <row r="277" spans="1:7">
      <c r="A277" s="277" t="s">
        <v>856</v>
      </c>
      <c r="D277" s="276" t="s">
        <v>935</v>
      </c>
    </row>
    <row r="278" spans="1:7">
      <c r="A278" s="277" t="s">
        <v>857</v>
      </c>
      <c r="D278" s="276" t="s">
        <v>936</v>
      </c>
    </row>
    <row r="279" spans="1:7">
      <c r="A279" s="300" t="s">
        <v>858</v>
      </c>
      <c r="D279" s="268" t="s">
        <v>785</v>
      </c>
    </row>
    <row r="280" spans="1:7">
      <c r="A280" s="277" t="s">
        <v>854</v>
      </c>
      <c r="D280" s="269" t="s">
        <v>786</v>
      </c>
    </row>
    <row r="281" spans="1:7">
      <c r="A281" s="277" t="s">
        <v>855</v>
      </c>
      <c r="D281" s="269" t="s">
        <v>787</v>
      </c>
    </row>
    <row r="282" spans="1:7">
      <c r="A282" s="277" t="s">
        <v>856</v>
      </c>
      <c r="D282" s="268" t="s">
        <v>788</v>
      </c>
    </row>
    <row r="283" spans="1:7">
      <c r="A283" s="277" t="s">
        <v>857</v>
      </c>
      <c r="D283" s="269" t="s">
        <v>786</v>
      </c>
    </row>
    <row r="284" spans="1:7">
      <c r="A284" s="300" t="s">
        <v>859</v>
      </c>
      <c r="D284" s="269" t="s">
        <v>787</v>
      </c>
    </row>
    <row r="285" spans="1:7" ht="28.8">
      <c r="A285" s="277" t="s">
        <v>854</v>
      </c>
      <c r="D285" s="269" t="s">
        <v>789</v>
      </c>
    </row>
    <row r="286" spans="1:7">
      <c r="A286" s="277" t="s">
        <v>855</v>
      </c>
      <c r="D286" s="269" t="s">
        <v>786</v>
      </c>
    </row>
    <row r="287" spans="1:7">
      <c r="A287" s="277" t="s">
        <v>856</v>
      </c>
      <c r="D287" s="269" t="s">
        <v>787</v>
      </c>
    </row>
    <row r="288" spans="1:7">
      <c r="A288" s="277" t="s">
        <v>857</v>
      </c>
      <c r="D288" s="269" t="s">
        <v>790</v>
      </c>
    </row>
    <row r="289" spans="1:4">
      <c r="A289" s="300" t="s">
        <v>860</v>
      </c>
      <c r="D289" s="269" t="s">
        <v>786</v>
      </c>
    </row>
    <row r="290" spans="1:4">
      <c r="A290" s="277" t="s">
        <v>854</v>
      </c>
      <c r="D290" s="269" t="s">
        <v>787</v>
      </c>
    </row>
    <row r="291" spans="1:4">
      <c r="A291" s="277" t="s">
        <v>855</v>
      </c>
      <c r="D291" s="268" t="s">
        <v>791</v>
      </c>
    </row>
    <row r="292" spans="1:4">
      <c r="A292" s="277" t="s">
        <v>856</v>
      </c>
      <c r="D292" s="268" t="s">
        <v>792</v>
      </c>
    </row>
    <row r="293" spans="1:4">
      <c r="A293" s="277" t="s">
        <v>857</v>
      </c>
      <c r="D293" s="268" t="s">
        <v>793</v>
      </c>
    </row>
    <row r="294" spans="1:4">
      <c r="A294" s="300" t="s">
        <v>861</v>
      </c>
      <c r="D294" s="268" t="s">
        <v>794</v>
      </c>
    </row>
    <row r="295" spans="1:4">
      <c r="A295" s="276" t="s">
        <v>862</v>
      </c>
      <c r="D295" s="268" t="s">
        <v>795</v>
      </c>
    </row>
    <row r="296" spans="1:4">
      <c r="A296" s="276" t="s">
        <v>863</v>
      </c>
      <c r="D296" s="268" t="s">
        <v>796</v>
      </c>
    </row>
    <row r="297" spans="1:4">
      <c r="A297" s="276" t="s">
        <v>936</v>
      </c>
      <c r="D297" s="268" t="s">
        <v>797</v>
      </c>
    </row>
    <row r="298" spans="1:4">
      <c r="A298" s="278" t="s">
        <v>864</v>
      </c>
      <c r="D298" s="268" t="s">
        <v>798</v>
      </c>
    </row>
    <row r="299" spans="1:4">
      <c r="A299" s="276" t="s">
        <v>935</v>
      </c>
      <c r="D299" s="268" t="s">
        <v>799</v>
      </c>
    </row>
    <row r="300" spans="1:4">
      <c r="A300" s="276" t="s">
        <v>936</v>
      </c>
      <c r="D300" s="268" t="s">
        <v>800</v>
      </c>
    </row>
    <row r="301" spans="1:4">
      <c r="A301" s="289" t="s">
        <v>803</v>
      </c>
      <c r="D301" s="268" t="s">
        <v>801</v>
      </c>
    </row>
    <row r="302" spans="1:4">
      <c r="A302" s="300" t="s">
        <v>867</v>
      </c>
      <c r="D302" s="268" t="s">
        <v>802</v>
      </c>
    </row>
    <row r="303" spans="1:4">
      <c r="A303" s="295" t="s">
        <v>868</v>
      </c>
      <c r="D303" s="269" t="s">
        <v>786</v>
      </c>
    </row>
    <row r="304" spans="1:4">
      <c r="A304" s="276" t="s">
        <v>935</v>
      </c>
      <c r="D304" s="269" t="s">
        <v>787</v>
      </c>
    </row>
    <row r="305" spans="1:4">
      <c r="A305" s="276" t="s">
        <v>936</v>
      </c>
      <c r="D305" s="268" t="s">
        <v>803</v>
      </c>
    </row>
    <row r="306" spans="1:4">
      <c r="A306" s="301" t="s">
        <v>869</v>
      </c>
      <c r="D306" s="269" t="s">
        <v>804</v>
      </c>
    </row>
    <row r="307" spans="1:4">
      <c r="A307" s="276" t="s">
        <v>935</v>
      </c>
      <c r="D307" s="269" t="s">
        <v>786</v>
      </c>
    </row>
    <row r="308" spans="1:4">
      <c r="A308" s="276" t="s">
        <v>936</v>
      </c>
      <c r="D308" s="269" t="s">
        <v>787</v>
      </c>
    </row>
    <row r="309" spans="1:4" ht="28.8">
      <c r="A309" s="301" t="s">
        <v>870</v>
      </c>
      <c r="D309" s="269" t="s">
        <v>805</v>
      </c>
    </row>
    <row r="310" spans="1:4">
      <c r="A310" s="276" t="s">
        <v>935</v>
      </c>
      <c r="D310" s="269" t="s">
        <v>786</v>
      </c>
    </row>
    <row r="311" spans="1:4">
      <c r="A311" s="276" t="s">
        <v>936</v>
      </c>
      <c r="D311" s="269" t="s">
        <v>787</v>
      </c>
    </row>
    <row r="312" spans="1:4">
      <c r="A312" s="301" t="s">
        <v>871</v>
      </c>
      <c r="D312" s="269" t="s">
        <v>806</v>
      </c>
    </row>
    <row r="313" spans="1:4">
      <c r="A313" s="276" t="s">
        <v>935</v>
      </c>
      <c r="D313" s="269" t="s">
        <v>786</v>
      </c>
    </row>
    <row r="314" spans="1:4">
      <c r="A314" s="276" t="s">
        <v>936</v>
      </c>
      <c r="D314" s="269" t="s">
        <v>787</v>
      </c>
    </row>
    <row r="315" spans="1:4">
      <c r="A315" s="301" t="s">
        <v>872</v>
      </c>
      <c r="D315" s="269" t="s">
        <v>807</v>
      </c>
    </row>
    <row r="316" spans="1:4">
      <c r="A316" s="276" t="s">
        <v>935</v>
      </c>
      <c r="D316" s="269" t="s">
        <v>786</v>
      </c>
    </row>
    <row r="317" spans="1:4">
      <c r="A317" s="276" t="s">
        <v>936</v>
      </c>
      <c r="D317" s="269" t="s">
        <v>787</v>
      </c>
    </row>
    <row r="318" spans="1:4">
      <c r="A318" s="301" t="s">
        <v>873</v>
      </c>
      <c r="D318" s="307" t="s">
        <v>808</v>
      </c>
    </row>
    <row r="319" spans="1:4">
      <c r="A319" s="276" t="s">
        <v>935</v>
      </c>
      <c r="D319" s="307" t="s">
        <v>786</v>
      </c>
    </row>
    <row r="320" spans="1:4">
      <c r="A320" s="276" t="s">
        <v>936</v>
      </c>
      <c r="D320" s="307" t="s">
        <v>787</v>
      </c>
    </row>
    <row r="321" spans="1:4">
      <c r="A321" s="301" t="s">
        <v>874</v>
      </c>
      <c r="D321" s="307" t="s">
        <v>809</v>
      </c>
    </row>
    <row r="322" spans="1:4">
      <c r="A322" s="276" t="s">
        <v>935</v>
      </c>
      <c r="D322" s="307" t="s">
        <v>786</v>
      </c>
    </row>
    <row r="323" spans="1:4">
      <c r="A323" s="276" t="s">
        <v>936</v>
      </c>
      <c r="D323" s="307" t="s">
        <v>787</v>
      </c>
    </row>
    <row r="324" spans="1:4" ht="28.8">
      <c r="A324" s="302" t="s">
        <v>875</v>
      </c>
      <c r="D324" s="269" t="s">
        <v>810</v>
      </c>
    </row>
    <row r="325" spans="1:4">
      <c r="A325" s="276" t="s">
        <v>935</v>
      </c>
      <c r="D325" s="269" t="s">
        <v>786</v>
      </c>
    </row>
    <row r="326" spans="1:4">
      <c r="A326" s="276" t="s">
        <v>936</v>
      </c>
      <c r="D326" s="269" t="s">
        <v>787</v>
      </c>
    </row>
    <row r="327" spans="1:4">
      <c r="A327" s="295" t="s">
        <v>876</v>
      </c>
      <c r="D327" s="269" t="s">
        <v>811</v>
      </c>
    </row>
    <row r="328" spans="1:4">
      <c r="A328" s="276" t="s">
        <v>935</v>
      </c>
      <c r="D328" s="269" t="s">
        <v>786</v>
      </c>
    </row>
    <row r="329" spans="1:4">
      <c r="A329" s="276" t="s">
        <v>936</v>
      </c>
      <c r="D329" s="269" t="s">
        <v>787</v>
      </c>
    </row>
    <row r="330" spans="1:4" ht="28.8">
      <c r="A330" s="281" t="s">
        <v>877</v>
      </c>
      <c r="D330" s="269" t="s">
        <v>812</v>
      </c>
    </row>
    <row r="331" spans="1:4">
      <c r="A331" s="276" t="s">
        <v>935</v>
      </c>
      <c r="D331" s="269" t="s">
        <v>813</v>
      </c>
    </row>
    <row r="332" spans="1:4">
      <c r="A332" s="276" t="s">
        <v>936</v>
      </c>
      <c r="D332" s="269" t="s">
        <v>814</v>
      </c>
    </row>
    <row r="333" spans="1:4">
      <c r="A333" s="295" t="s">
        <v>878</v>
      </c>
      <c r="D333" s="268" t="s">
        <v>815</v>
      </c>
    </row>
    <row r="334" spans="1:4">
      <c r="A334" s="273" t="s">
        <v>879</v>
      </c>
      <c r="D334" s="269" t="s">
        <v>786</v>
      </c>
    </row>
    <row r="335" spans="1:4">
      <c r="A335" s="303" t="s">
        <v>1010</v>
      </c>
      <c r="D335" s="269" t="s">
        <v>787</v>
      </c>
    </row>
    <row r="336" spans="1:4">
      <c r="A336" s="286" t="s">
        <v>865</v>
      </c>
      <c r="D336" s="268" t="s">
        <v>816</v>
      </c>
    </row>
    <row r="337" spans="1:4">
      <c r="A337" s="276" t="s">
        <v>935</v>
      </c>
      <c r="D337" s="270" t="s">
        <v>817</v>
      </c>
    </row>
    <row r="338" spans="1:4">
      <c r="A338" s="276" t="s">
        <v>936</v>
      </c>
      <c r="D338" s="269" t="s">
        <v>786</v>
      </c>
    </row>
    <row r="339" spans="1:4">
      <c r="A339" s="286" t="s">
        <v>866</v>
      </c>
      <c r="D339" s="269" t="s">
        <v>787</v>
      </c>
    </row>
    <row r="340" spans="1:4">
      <c r="A340" s="276" t="s">
        <v>935</v>
      </c>
      <c r="D340" s="268" t="s">
        <v>816</v>
      </c>
    </row>
    <row r="341" spans="1:4">
      <c r="A341" s="276" t="s">
        <v>936</v>
      </c>
      <c r="D341" s="268" t="s">
        <v>818</v>
      </c>
    </row>
    <row r="342" spans="1:4">
      <c r="D342" s="269" t="s">
        <v>786</v>
      </c>
    </row>
    <row r="343" spans="1:4" ht="69.599999999999994">
      <c r="A343" s="304" t="s">
        <v>925</v>
      </c>
      <c r="D343" s="269" t="s">
        <v>787</v>
      </c>
    </row>
    <row r="344" spans="1:4">
      <c r="A344" s="305" t="s">
        <v>315</v>
      </c>
      <c r="D344" s="269" t="s">
        <v>803</v>
      </c>
    </row>
    <row r="345" spans="1:4">
      <c r="A345" s="305" t="s">
        <v>316</v>
      </c>
      <c r="D345" s="268" t="s">
        <v>819</v>
      </c>
    </row>
    <row r="346" spans="1:4">
      <c r="A346" s="305" t="s">
        <v>317</v>
      </c>
      <c r="D346" s="269" t="s">
        <v>786</v>
      </c>
    </row>
    <row r="347" spans="1:4">
      <c r="A347" s="305" t="s">
        <v>318</v>
      </c>
      <c r="D347" s="269" t="s">
        <v>787</v>
      </c>
    </row>
    <row r="348" spans="1:4" ht="69.599999999999994">
      <c r="A348" s="304" t="s">
        <v>926</v>
      </c>
      <c r="D348" s="268" t="s">
        <v>820</v>
      </c>
    </row>
    <row r="349" spans="1:4">
      <c r="A349" s="305" t="s">
        <v>315</v>
      </c>
      <c r="D349" s="268" t="s">
        <v>821</v>
      </c>
    </row>
    <row r="350" spans="1:4">
      <c r="A350" s="305" t="s">
        <v>316</v>
      </c>
      <c r="D350" s="268" t="s">
        <v>822</v>
      </c>
    </row>
    <row r="351" spans="1:4">
      <c r="A351" s="305" t="s">
        <v>317</v>
      </c>
      <c r="D351" s="269" t="s">
        <v>635</v>
      </c>
    </row>
    <row r="352" spans="1:4">
      <c r="A352" s="305" t="s">
        <v>318</v>
      </c>
      <c r="D352" s="271" t="s">
        <v>823</v>
      </c>
    </row>
    <row r="353" spans="1:4" ht="69.599999999999994">
      <c r="A353" s="304" t="s">
        <v>927</v>
      </c>
      <c r="D353" s="271" t="s">
        <v>786</v>
      </c>
    </row>
    <row r="354" spans="1:4">
      <c r="A354" s="305" t="s">
        <v>315</v>
      </c>
      <c r="D354" s="271" t="s">
        <v>787</v>
      </c>
    </row>
    <row r="355" spans="1:4">
      <c r="A355" s="305" t="s">
        <v>316</v>
      </c>
      <c r="D355" s="269" t="s">
        <v>824</v>
      </c>
    </row>
    <row r="356" spans="1:4">
      <c r="A356" s="305" t="s">
        <v>317</v>
      </c>
      <c r="D356" s="269" t="s">
        <v>786</v>
      </c>
    </row>
    <row r="357" spans="1:4">
      <c r="A357" s="305" t="s">
        <v>318</v>
      </c>
      <c r="D357" s="269" t="s">
        <v>787</v>
      </c>
    </row>
    <row r="358" spans="1:4" ht="87">
      <c r="A358" s="304" t="s">
        <v>928</v>
      </c>
      <c r="D358" s="268" t="s">
        <v>825</v>
      </c>
    </row>
    <row r="359" spans="1:4">
      <c r="A359" s="305" t="s">
        <v>315</v>
      </c>
      <c r="D359" s="269" t="s">
        <v>786</v>
      </c>
    </row>
    <row r="360" spans="1:4">
      <c r="A360" s="305" t="s">
        <v>316</v>
      </c>
      <c r="D360" s="269" t="s">
        <v>787</v>
      </c>
    </row>
    <row r="361" spans="1:4">
      <c r="A361" s="305" t="s">
        <v>317</v>
      </c>
      <c r="D361" s="268" t="s">
        <v>826</v>
      </c>
    </row>
    <row r="362" spans="1:4">
      <c r="A362" s="305" t="s">
        <v>318</v>
      </c>
      <c r="D362" s="268" t="s">
        <v>827</v>
      </c>
    </row>
    <row r="363" spans="1:4" ht="69.599999999999994">
      <c r="A363" s="306" t="s">
        <v>921</v>
      </c>
      <c r="D363" s="268" t="s">
        <v>828</v>
      </c>
    </row>
    <row r="364" spans="1:4">
      <c r="A364" s="116" t="s">
        <v>315</v>
      </c>
      <c r="D364" s="268" t="s">
        <v>829</v>
      </c>
    </row>
    <row r="365" spans="1:4">
      <c r="A365" s="116" t="s">
        <v>316</v>
      </c>
      <c r="D365" s="268" t="s">
        <v>830</v>
      </c>
    </row>
    <row r="366" spans="1:4">
      <c r="A366" s="116" t="s">
        <v>317</v>
      </c>
      <c r="D366" s="268" t="s">
        <v>831</v>
      </c>
    </row>
    <row r="367" spans="1:4">
      <c r="A367" s="116" t="s">
        <v>318</v>
      </c>
      <c r="D367" s="268" t="s">
        <v>832</v>
      </c>
    </row>
    <row r="368" spans="1:4">
      <c r="D368" s="268" t="s">
        <v>635</v>
      </c>
    </row>
    <row r="369" spans="4:4">
      <c r="D369" s="268" t="s">
        <v>833</v>
      </c>
    </row>
    <row r="370" spans="4:4">
      <c r="D370" s="268" t="s">
        <v>834</v>
      </c>
    </row>
    <row r="371" spans="4:4">
      <c r="D371" s="268" t="s">
        <v>835</v>
      </c>
    </row>
    <row r="372" spans="4:4">
      <c r="D372" s="268" t="s">
        <v>836</v>
      </c>
    </row>
    <row r="373" spans="4:4">
      <c r="D373" s="268" t="s">
        <v>635</v>
      </c>
    </row>
    <row r="374" spans="4:4">
      <c r="D374" s="270" t="s">
        <v>837</v>
      </c>
    </row>
    <row r="375" spans="4:4">
      <c r="D375" s="268" t="s">
        <v>838</v>
      </c>
    </row>
    <row r="376" spans="4:4">
      <c r="D376" s="268" t="s">
        <v>839</v>
      </c>
    </row>
    <row r="377" spans="4:4">
      <c r="D377" s="268" t="s">
        <v>840</v>
      </c>
    </row>
    <row r="378" spans="4:4">
      <c r="D378" s="269" t="s">
        <v>841</v>
      </c>
    </row>
    <row r="379" spans="4:4">
      <c r="D379" s="269" t="s">
        <v>786</v>
      </c>
    </row>
    <row r="380" spans="4:4">
      <c r="D380" s="269" t="s">
        <v>787</v>
      </c>
    </row>
    <row r="381" spans="4:4" ht="28.8">
      <c r="D381" s="269" t="s">
        <v>842</v>
      </c>
    </row>
    <row r="382" spans="4:4">
      <c r="D382" s="269" t="s">
        <v>786</v>
      </c>
    </row>
    <row r="383" spans="4:4">
      <c r="D383" s="269" t="s">
        <v>787</v>
      </c>
    </row>
    <row r="384" spans="4:4">
      <c r="D384" s="269" t="s">
        <v>843</v>
      </c>
    </row>
    <row r="385" spans="4:4">
      <c r="D385" s="269" t="s">
        <v>786</v>
      </c>
    </row>
    <row r="386" spans="4:4">
      <c r="D386" s="269" t="s">
        <v>787</v>
      </c>
    </row>
    <row r="387" spans="4:4">
      <c r="D387" s="269" t="s">
        <v>816</v>
      </c>
    </row>
    <row r="388" spans="4:4">
      <c r="D388" s="268" t="s">
        <v>844</v>
      </c>
    </row>
    <row r="389" spans="4:4">
      <c r="D389" s="268" t="s">
        <v>845</v>
      </c>
    </row>
    <row r="390" spans="4:4">
      <c r="D390" s="268" t="s">
        <v>846</v>
      </c>
    </row>
    <row r="391" spans="4:4">
      <c r="D391" s="268" t="s">
        <v>847</v>
      </c>
    </row>
    <row r="392" spans="4:4">
      <c r="D392" s="268" t="s">
        <v>848</v>
      </c>
    </row>
    <row r="393" spans="4:4">
      <c r="D393" s="268" t="s">
        <v>849</v>
      </c>
    </row>
    <row r="394" spans="4:4">
      <c r="D394" s="268" t="s">
        <v>850</v>
      </c>
    </row>
    <row r="395" spans="4:4">
      <c r="D395" s="268" t="s">
        <v>851</v>
      </c>
    </row>
    <row r="396" spans="4:4">
      <c r="D396" s="268" t="s">
        <v>852</v>
      </c>
    </row>
    <row r="397" spans="4:4">
      <c r="D397" s="270" t="s">
        <v>853</v>
      </c>
    </row>
    <row r="398" spans="4:4">
      <c r="D398" s="268" t="s">
        <v>854</v>
      </c>
    </row>
    <row r="399" spans="4:4">
      <c r="D399" s="268" t="s">
        <v>855</v>
      </c>
    </row>
    <row r="400" spans="4:4">
      <c r="D400" s="268" t="s">
        <v>856</v>
      </c>
    </row>
    <row r="401" spans="4:4">
      <c r="D401" s="268" t="s">
        <v>857</v>
      </c>
    </row>
    <row r="402" spans="4:4">
      <c r="D402" s="270" t="s">
        <v>858</v>
      </c>
    </row>
    <row r="403" spans="4:4">
      <c r="D403" s="268" t="s">
        <v>854</v>
      </c>
    </row>
    <row r="404" spans="4:4">
      <c r="D404" s="268" t="s">
        <v>855</v>
      </c>
    </row>
    <row r="405" spans="4:4">
      <c r="D405" s="268" t="s">
        <v>856</v>
      </c>
    </row>
    <row r="406" spans="4:4">
      <c r="D406" s="268" t="s">
        <v>857</v>
      </c>
    </row>
    <row r="407" spans="4:4">
      <c r="D407" s="270" t="s">
        <v>859</v>
      </c>
    </row>
    <row r="408" spans="4:4">
      <c r="D408" s="268" t="s">
        <v>854</v>
      </c>
    </row>
    <row r="409" spans="4:4">
      <c r="D409" s="268" t="s">
        <v>855</v>
      </c>
    </row>
    <row r="410" spans="4:4">
      <c r="D410" s="268" t="s">
        <v>856</v>
      </c>
    </row>
    <row r="411" spans="4:4">
      <c r="D411" s="268" t="s">
        <v>857</v>
      </c>
    </row>
    <row r="412" spans="4:4">
      <c r="D412" s="270" t="s">
        <v>860</v>
      </c>
    </row>
    <row r="413" spans="4:4">
      <c r="D413" s="268" t="s">
        <v>854</v>
      </c>
    </row>
    <row r="414" spans="4:4">
      <c r="D414" s="268" t="s">
        <v>855</v>
      </c>
    </row>
    <row r="415" spans="4:4">
      <c r="D415" s="268" t="s">
        <v>856</v>
      </c>
    </row>
    <row r="416" spans="4:4">
      <c r="D416" s="268" t="s">
        <v>857</v>
      </c>
    </row>
    <row r="417" spans="4:4">
      <c r="D417" s="270" t="s">
        <v>861</v>
      </c>
    </row>
    <row r="418" spans="4:4">
      <c r="D418" s="269" t="s">
        <v>862</v>
      </c>
    </row>
    <row r="419" spans="4:4">
      <c r="D419" s="269" t="s">
        <v>863</v>
      </c>
    </row>
    <row r="420" spans="4:4">
      <c r="D420" s="269" t="s">
        <v>787</v>
      </c>
    </row>
    <row r="421" spans="4:4">
      <c r="D421" s="268" t="s">
        <v>864</v>
      </c>
    </row>
    <row r="422" spans="4:4">
      <c r="D422" s="269" t="s">
        <v>786</v>
      </c>
    </row>
    <row r="423" spans="4:4">
      <c r="D423" s="269" t="s">
        <v>787</v>
      </c>
    </row>
    <row r="424" spans="4:4">
      <c r="D424" s="269" t="s">
        <v>803</v>
      </c>
    </row>
    <row r="425" spans="4:4">
      <c r="D425" s="270" t="s">
        <v>865</v>
      </c>
    </row>
    <row r="426" spans="4:4">
      <c r="D426" s="269" t="s">
        <v>786</v>
      </c>
    </row>
    <row r="427" spans="4:4">
      <c r="D427" s="269" t="s">
        <v>787</v>
      </c>
    </row>
    <row r="428" spans="4:4">
      <c r="D428" s="270" t="s">
        <v>866</v>
      </c>
    </row>
    <row r="429" spans="4:4">
      <c r="D429" s="269" t="s">
        <v>786</v>
      </c>
    </row>
    <row r="430" spans="4:4">
      <c r="D430" s="269" t="s">
        <v>787</v>
      </c>
    </row>
    <row r="431" spans="4:4">
      <c r="D431" s="270" t="s">
        <v>867</v>
      </c>
    </row>
    <row r="432" spans="4:4">
      <c r="D432" s="270" t="s">
        <v>868</v>
      </c>
    </row>
    <row r="433" spans="4:4">
      <c r="D433" s="269" t="s">
        <v>786</v>
      </c>
    </row>
    <row r="434" spans="4:4">
      <c r="D434" s="269" t="s">
        <v>787</v>
      </c>
    </row>
    <row r="435" spans="4:4">
      <c r="D435" s="268" t="s">
        <v>869</v>
      </c>
    </row>
    <row r="436" spans="4:4">
      <c r="D436" s="269" t="s">
        <v>786</v>
      </c>
    </row>
    <row r="437" spans="4:4">
      <c r="D437" s="269" t="s">
        <v>787</v>
      </c>
    </row>
    <row r="438" spans="4:4">
      <c r="D438" s="268" t="s">
        <v>870</v>
      </c>
    </row>
    <row r="439" spans="4:4">
      <c r="D439" s="269" t="s">
        <v>786</v>
      </c>
    </row>
    <row r="440" spans="4:4">
      <c r="D440" s="269" t="s">
        <v>787</v>
      </c>
    </row>
    <row r="441" spans="4:4">
      <c r="D441" s="268" t="s">
        <v>871</v>
      </c>
    </row>
    <row r="442" spans="4:4">
      <c r="D442" s="269" t="s">
        <v>786</v>
      </c>
    </row>
    <row r="443" spans="4:4">
      <c r="D443" s="269" t="s">
        <v>787</v>
      </c>
    </row>
    <row r="444" spans="4:4">
      <c r="D444" s="268" t="s">
        <v>872</v>
      </c>
    </row>
    <row r="445" spans="4:4">
      <c r="D445" s="269" t="s">
        <v>786</v>
      </c>
    </row>
    <row r="446" spans="4:4">
      <c r="D446" s="269" t="s">
        <v>787</v>
      </c>
    </row>
    <row r="447" spans="4:4">
      <c r="D447" s="268" t="s">
        <v>873</v>
      </c>
    </row>
    <row r="448" spans="4:4">
      <c r="D448" s="269" t="s">
        <v>786</v>
      </c>
    </row>
    <row r="449" spans="4:4">
      <c r="D449" s="269" t="s">
        <v>787</v>
      </c>
    </row>
    <row r="450" spans="4:4">
      <c r="D450" s="268" t="s">
        <v>874</v>
      </c>
    </row>
    <row r="451" spans="4:4">
      <c r="D451" s="269" t="s">
        <v>786</v>
      </c>
    </row>
    <row r="452" spans="4:4">
      <c r="D452" s="269" t="s">
        <v>787</v>
      </c>
    </row>
    <row r="453" spans="4:4">
      <c r="D453" s="269" t="s">
        <v>875</v>
      </c>
    </row>
    <row r="454" spans="4:4">
      <c r="D454" s="269" t="s">
        <v>786</v>
      </c>
    </row>
    <row r="455" spans="4:4">
      <c r="D455" s="269" t="s">
        <v>787</v>
      </c>
    </row>
    <row r="456" spans="4:4">
      <c r="D456" s="270" t="s">
        <v>876</v>
      </c>
    </row>
    <row r="457" spans="4:4">
      <c r="D457" s="269" t="s">
        <v>786</v>
      </c>
    </row>
    <row r="458" spans="4:4">
      <c r="D458" s="269" t="s">
        <v>787</v>
      </c>
    </row>
    <row r="459" spans="4:4">
      <c r="D459" s="269" t="s">
        <v>877</v>
      </c>
    </row>
    <row r="460" spans="4:4">
      <c r="D460" s="269" t="s">
        <v>786</v>
      </c>
    </row>
    <row r="461" spans="4:4">
      <c r="D461" s="269" t="s">
        <v>787</v>
      </c>
    </row>
    <row r="462" spans="4:4">
      <c r="D462" s="270" t="s">
        <v>878</v>
      </c>
    </row>
    <row r="463" spans="4:4">
      <c r="D463" s="268" t="s">
        <v>879</v>
      </c>
    </row>
    <row r="464" spans="4:4">
      <c r="D464" s="272"/>
    </row>
    <row r="465" spans="4:4">
      <c r="D465" t="s">
        <v>1017</v>
      </c>
    </row>
  </sheetData>
  <sheetProtection selectLockedCells="1"/>
  <conditionalFormatting sqref="J25:AD25">
    <cfRule type="colorScale" priority="1">
      <colorScale>
        <cfvo type="min"/>
        <cfvo type="percentile" val="50"/>
        <cfvo type="max"/>
        <color rgb="FF63BE7B"/>
        <color rgb="FFFFEB84"/>
        <color rgb="FFF8696B"/>
      </colorScale>
    </cfRule>
  </conditionalFormatting>
  <conditionalFormatting sqref="L149:S149">
    <cfRule type="colorScale" priority="1064">
      <colorScale>
        <cfvo type="min"/>
        <cfvo type="percentile" val="50"/>
        <cfvo type="max"/>
        <color rgb="FF5A8AC6"/>
        <color rgb="FFFCFCFF"/>
        <color rgb="FFF8696B"/>
      </colorScale>
    </cfRule>
  </conditionalFormatting>
  <conditionalFormatting sqref="T11">
    <cfRule type="colorScale" priority="29">
      <colorScale>
        <cfvo type="min"/>
        <cfvo type="percentile" val="50"/>
        <cfvo type="max"/>
        <color rgb="FF5A8AC6"/>
        <color rgb="FFFCFCFF"/>
        <color rgb="FFF8696B"/>
      </colorScale>
    </cfRule>
  </conditionalFormatting>
  <conditionalFormatting sqref="T15">
    <cfRule type="colorScale" priority="5">
      <colorScale>
        <cfvo type="min"/>
        <cfvo type="percentile" val="50"/>
        <cfvo type="max"/>
        <color rgb="FF5A8AC6"/>
        <color rgb="FFFCFCFF"/>
        <color rgb="FFF8696B"/>
      </colorScale>
    </cfRule>
  </conditionalFormatting>
  <conditionalFormatting sqref="T17">
    <cfRule type="colorScale" priority="19">
      <colorScale>
        <cfvo type="min"/>
        <cfvo type="percentile" val="50"/>
        <cfvo type="max"/>
        <color rgb="FF5A8AC6"/>
        <color rgb="FFFCFCFF"/>
        <color rgb="FFF8696B"/>
      </colorScale>
    </cfRule>
  </conditionalFormatting>
  <conditionalFormatting sqref="T26">
    <cfRule type="colorScale" priority="10">
      <colorScale>
        <cfvo type="min"/>
        <cfvo type="percentile" val="50"/>
        <cfvo type="max"/>
        <color rgb="FF5A8AC6"/>
        <color rgb="FFFCFCFF"/>
        <color rgb="FFF8696B"/>
      </colorScale>
    </cfRule>
  </conditionalFormatting>
  <conditionalFormatting sqref="T149">
    <cfRule type="colorScale" priority="43">
      <colorScale>
        <cfvo type="min"/>
        <cfvo type="percentile" val="50"/>
        <cfvo type="max"/>
        <color rgb="FF5A8AC6"/>
        <color rgb="FFFCFCFF"/>
        <color rgb="FFF8696B"/>
      </colorScale>
    </cfRule>
  </conditionalFormatting>
  <conditionalFormatting sqref="U149">
    <cfRule type="colorScale" priority="42">
      <colorScale>
        <cfvo type="min"/>
        <cfvo type="percentile" val="50"/>
        <cfvo type="max"/>
        <color rgb="FF5A8AC6"/>
        <color rgb="FFFCFCFF"/>
        <color rgb="FFF8696B"/>
      </colorScale>
    </cfRule>
  </conditionalFormatting>
  <conditionalFormatting sqref="U15:Z15 K15:S15">
    <cfRule type="colorScale" priority="6">
      <colorScale>
        <cfvo type="min"/>
        <cfvo type="percentile" val="50"/>
        <cfvo type="max"/>
        <color rgb="FF5A8AC6"/>
        <color rgb="FFFCFCFF"/>
        <color rgb="FFF8696B"/>
      </colorScale>
    </cfRule>
  </conditionalFormatting>
  <conditionalFormatting sqref="U17:Z17 K17:S17">
    <cfRule type="colorScale" priority="1120">
      <colorScale>
        <cfvo type="min"/>
        <cfvo type="percentile" val="50"/>
        <cfvo type="max"/>
        <color rgb="FF5A8AC6"/>
        <color rgb="FFFCFCFF"/>
        <color rgb="FFF8696B"/>
      </colorScale>
    </cfRule>
  </conditionalFormatting>
  <conditionalFormatting sqref="U26:Z26 K26:S26">
    <cfRule type="colorScale" priority="1123">
      <colorScale>
        <cfvo type="min"/>
        <cfvo type="percentile" val="50"/>
        <cfvo type="max"/>
        <color rgb="FF5A8AC6"/>
        <color rgb="FFFCFCFF"/>
        <color rgb="FFF8696B"/>
      </colorScale>
    </cfRule>
  </conditionalFormatting>
  <conditionalFormatting sqref="U11:AA11 K11:S11">
    <cfRule type="colorScale" priority="30">
      <colorScale>
        <cfvo type="min"/>
        <cfvo type="percentile" val="50"/>
        <cfvo type="max"/>
        <color rgb="FF5A8AC6"/>
        <color rgb="FFFCFCFF"/>
        <color rgb="FFF8696B"/>
      </colorScale>
    </cfRule>
  </conditionalFormatting>
  <conditionalFormatting sqref="V149">
    <cfRule type="iconSet" priority="41">
      <iconSet reverse="1">
        <cfvo type="percent" val="0"/>
        <cfvo type="percent" val="33"/>
        <cfvo type="percent" val="67"/>
      </iconSet>
    </cfRule>
  </conditionalFormatting>
  <conditionalFormatting sqref="AA15">
    <cfRule type="colorScale" priority="4">
      <colorScale>
        <cfvo type="min"/>
        <cfvo type="percentile" val="50"/>
        <cfvo type="max"/>
        <color rgb="FF5A8AC6"/>
        <color rgb="FFFCFCFF"/>
        <color rgb="FFF8696B"/>
      </colorScale>
    </cfRule>
  </conditionalFormatting>
  <conditionalFormatting sqref="AA17">
    <cfRule type="colorScale" priority="18">
      <colorScale>
        <cfvo type="min"/>
        <cfvo type="percentile" val="50"/>
        <cfvo type="max"/>
        <color rgb="FF5A8AC6"/>
        <color rgb="FFFCFCFF"/>
        <color rgb="FFF8696B"/>
      </colorScale>
    </cfRule>
  </conditionalFormatting>
  <conditionalFormatting sqref="AA26">
    <cfRule type="colorScale" priority="9">
      <colorScale>
        <cfvo type="min"/>
        <cfvo type="percentile" val="50"/>
        <cfvo type="max"/>
        <color rgb="FF5A8AC6"/>
        <color rgb="FFFCFCFF"/>
        <color rgb="FFF8696B"/>
      </colorScale>
    </cfRule>
  </conditionalFormatting>
  <conditionalFormatting sqref="AB11">
    <cfRule type="colorScale" priority="28">
      <colorScale>
        <cfvo type="min"/>
        <cfvo type="percentile" val="50"/>
        <cfvo type="max"/>
        <color rgb="FF5A8AC6"/>
        <color rgb="FFFCFCFF"/>
        <color rgb="FFF8696B"/>
      </colorScale>
    </cfRule>
  </conditionalFormatting>
  <conditionalFormatting sqref="AB15">
    <cfRule type="colorScale" priority="3">
      <colorScale>
        <cfvo type="min"/>
        <cfvo type="percentile" val="50"/>
        <cfvo type="max"/>
        <color rgb="FF5A8AC6"/>
        <color rgb="FFFCFCFF"/>
        <color rgb="FFF8696B"/>
      </colorScale>
    </cfRule>
  </conditionalFormatting>
  <conditionalFormatting sqref="AB17">
    <cfRule type="colorScale" priority="17">
      <colorScale>
        <cfvo type="min"/>
        <cfvo type="percentile" val="50"/>
        <cfvo type="max"/>
        <color rgb="FF5A8AC6"/>
        <color rgb="FFFCFCFF"/>
        <color rgb="FFF8696B"/>
      </colorScale>
    </cfRule>
  </conditionalFormatting>
  <conditionalFormatting sqref="AB26">
    <cfRule type="colorScale" priority="8">
      <colorScale>
        <cfvo type="min"/>
        <cfvo type="percentile" val="50"/>
        <cfvo type="max"/>
        <color rgb="FF5A8AC6"/>
        <color rgb="FFFCFCFF"/>
        <color rgb="FFF8696B"/>
      </colorScale>
    </cfRule>
  </conditionalFormatting>
  <conditionalFormatting sqref="AC11">
    <cfRule type="colorScale" priority="27">
      <colorScale>
        <cfvo type="min"/>
        <cfvo type="percentile" val="50"/>
        <cfvo type="max"/>
        <color rgb="FF5A8AC6"/>
        <color rgb="FFFCFCFF"/>
        <color rgb="FFF8696B"/>
      </colorScale>
    </cfRule>
  </conditionalFormatting>
  <conditionalFormatting sqref="AC15">
    <cfRule type="iconSet" priority="2">
      <iconSet reverse="1">
        <cfvo type="percent" val="0"/>
        <cfvo type="percent" val="33"/>
        <cfvo type="percent" val="67"/>
      </iconSet>
    </cfRule>
  </conditionalFormatting>
  <conditionalFormatting sqref="AC17">
    <cfRule type="iconSet" priority="14">
      <iconSet reverse="1">
        <cfvo type="percent" val="0"/>
        <cfvo type="percent" val="33"/>
        <cfvo type="percent" val="67"/>
      </iconSet>
    </cfRule>
  </conditionalFormatting>
  <conditionalFormatting sqref="AC26">
    <cfRule type="iconSet" priority="7">
      <iconSet reverse="1">
        <cfvo type="percent" val="0"/>
        <cfvo type="percent" val="33"/>
        <cfvo type="percent" val="67"/>
      </iconSet>
    </cfRule>
  </conditionalFormatting>
  <conditionalFormatting sqref="AD11">
    <cfRule type="iconSet" priority="26">
      <iconSet reverse="1">
        <cfvo type="percent" val="0"/>
        <cfvo type="percent" val="33"/>
        <cfvo type="percent" val="67"/>
      </iconSet>
    </cfRule>
  </conditionalFormatting>
  <printOptions headings="1"/>
  <pageMargins left="0.70866141732283472" right="0.70866141732283472" top="0.74803149606299213" bottom="0.74803149606299213" header="0.31496062992125984" footer="0.31496062992125984"/>
  <pageSetup paperSize="9" scale="10"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4">
    <tabColor rgb="FFFF0000"/>
  </sheetPr>
  <dimension ref="A1:AU67"/>
  <sheetViews>
    <sheetView zoomScale="97" zoomScaleNormal="97" workbookViewId="0">
      <pane xSplit="2" ySplit="1" topLeftCell="C3" activePane="bottomRight" state="frozen"/>
      <selection pane="topRight" activeCell="C1" sqref="C1"/>
      <selection pane="bottomLeft" activeCell="A2" sqref="A2"/>
      <selection pane="bottomRight" activeCell="P16" sqref="P16"/>
    </sheetView>
  </sheetViews>
  <sheetFormatPr baseColWidth="10" defaultColWidth="10.88671875" defaultRowHeight="14.4"/>
  <cols>
    <col min="1" max="1" width="8.109375" style="145" customWidth="1"/>
    <col min="2" max="2" width="36.77734375" style="565" bestFit="1" customWidth="1"/>
    <col min="3" max="3" width="12.21875" style="146" bestFit="1" customWidth="1"/>
    <col min="4" max="4" width="5.21875" style="146" bestFit="1" customWidth="1"/>
    <col min="5" max="5" width="7.77734375" style="146" customWidth="1"/>
    <col min="6" max="6" width="5.5546875" style="143" bestFit="1" customWidth="1"/>
    <col min="7" max="7" width="8.5546875" style="143" bestFit="1" customWidth="1"/>
    <col min="8" max="8" width="9.5546875" style="144" bestFit="1" customWidth="1"/>
    <col min="9" max="9" width="6.77734375" style="144" bestFit="1" customWidth="1"/>
    <col min="10" max="10" width="8.5546875" style="144" customWidth="1"/>
    <col min="11" max="13" width="15.77734375" style="144" customWidth="1"/>
    <col min="14" max="14" width="11.88671875" style="8" bestFit="1" customWidth="1"/>
    <col min="15" max="15" width="13.5546875" style="8" bestFit="1" customWidth="1"/>
    <col min="16" max="16" width="11" style="8" bestFit="1" customWidth="1"/>
    <col min="17" max="17" width="34.5546875" style="8" bestFit="1" customWidth="1"/>
    <col min="18" max="18" width="10.5546875" style="31" bestFit="1" customWidth="1"/>
    <col min="19" max="19" width="13.5546875" style="11" bestFit="1" customWidth="1"/>
    <col min="20" max="20" width="34.5546875" style="8" bestFit="1" customWidth="1"/>
    <col min="21" max="21" width="10.5546875" style="31" bestFit="1" customWidth="1"/>
    <col min="22" max="22" width="13.77734375" style="31" bestFit="1" customWidth="1"/>
    <col min="23" max="23" width="21.77734375" style="11" customWidth="1"/>
    <col min="24" max="16384" width="10.88671875" style="8"/>
  </cols>
  <sheetData>
    <row r="1" spans="1:47" ht="18">
      <c r="A1" s="139" t="s">
        <v>27</v>
      </c>
      <c r="B1" s="426" t="s">
        <v>55</v>
      </c>
      <c r="C1" s="1" t="s">
        <v>24</v>
      </c>
      <c r="D1" s="1" t="s">
        <v>25</v>
      </c>
      <c r="E1" s="1" t="s">
        <v>26</v>
      </c>
      <c r="F1" s="141" t="s">
        <v>20</v>
      </c>
      <c r="G1" s="2" t="s">
        <v>21</v>
      </c>
      <c r="H1" s="3" t="s">
        <v>22</v>
      </c>
      <c r="I1" s="3" t="s">
        <v>23</v>
      </c>
      <c r="J1" s="3" t="s">
        <v>99</v>
      </c>
      <c r="K1" s="9" t="s">
        <v>33</v>
      </c>
      <c r="L1" s="9" t="s">
        <v>57</v>
      </c>
      <c r="M1" s="9" t="s">
        <v>303</v>
      </c>
      <c r="N1" s="9" t="s">
        <v>28</v>
      </c>
      <c r="O1" s="9" t="s">
        <v>29</v>
      </c>
      <c r="P1" s="9" t="s">
        <v>30</v>
      </c>
      <c r="Q1" s="140" t="s">
        <v>783</v>
      </c>
      <c r="R1" s="266" t="s">
        <v>31</v>
      </c>
      <c r="S1" s="11" t="s">
        <v>32</v>
      </c>
      <c r="T1" s="140" t="s">
        <v>782</v>
      </c>
      <c r="U1" s="267" t="s">
        <v>72</v>
      </c>
      <c r="V1" s="31" t="s">
        <v>77</v>
      </c>
      <c r="W1" s="11" t="s">
        <v>242</v>
      </c>
      <c r="X1" s="24" t="s">
        <v>1660</v>
      </c>
      <c r="Y1" s="32"/>
      <c r="Z1" s="32"/>
      <c r="AA1" s="32"/>
      <c r="AB1" s="32"/>
    </row>
    <row r="2" spans="1:47">
      <c r="A2" s="139">
        <f>ImportQuestion!$F$6</f>
        <v>65</v>
      </c>
      <c r="B2" s="557" t="s">
        <v>54</v>
      </c>
      <c r="C2" s="5">
        <v>-4.8000000000000001E-2</v>
      </c>
      <c r="D2" s="5">
        <f>0.000710799200799209</f>
        <v>7.1079920079920899E-4</v>
      </c>
      <c r="E2" s="5">
        <f>0.0000126493506493506</f>
        <v>1.26493506493506E-5</v>
      </c>
      <c r="F2" s="7">
        <v>1</v>
      </c>
      <c r="G2" s="7">
        <v>0</v>
      </c>
      <c r="H2" s="7">
        <v>1.25</v>
      </c>
      <c r="I2" s="7">
        <v>0.8</v>
      </c>
      <c r="J2" s="7">
        <f>IF(ImportQuestion!$F$3="F",0,1)</f>
        <v>1</v>
      </c>
      <c r="K2" s="7">
        <f>IF(ImportQuestion!$F$7="AF",H2,IF(ImportQuestion!$F$7="AS",calculRISKS!I2,1))</f>
        <v>1</v>
      </c>
      <c r="L2" s="7">
        <f>IF(ImportQuestion!H14="Y",0,1)</f>
        <v>1</v>
      </c>
      <c r="M2" s="7">
        <f>IF(ImportQuestion!H62="Y",0.8,1)</f>
        <v>1</v>
      </c>
      <c r="N2" s="4">
        <f>ImportQuestion!K$150</f>
        <v>0.9</v>
      </c>
      <c r="O2" s="4">
        <f>ImportQuestion!J25</f>
        <v>1.2</v>
      </c>
      <c r="P2" s="4">
        <f>ImportBiologie!H36</f>
        <v>6.8665999999999991E-2</v>
      </c>
      <c r="Q2" s="31">
        <f>($C2+($D2*($A2+5))+(($E2*(($A2+5)^2))))*$J2*$K2</f>
        <v>6.3737762237762563E-2</v>
      </c>
      <c r="R2" s="110">
        <f>IF(T2&lt;0,0.001,T2)</f>
        <v>5.1645454545454869E-2</v>
      </c>
      <c r="S2" s="110">
        <f>(MAX(P2,(IF(L2=0,1,0))))*J2*O2*N2</f>
        <v>7.4159279999999994E-2</v>
      </c>
      <c r="T2" s="31">
        <f t="shared" ref="T2:T7" si="0">($C2+($D2*$A2)+(($E2*($A2*$A2))))*$J2*$K2</f>
        <v>5.1645454545454869E-2</v>
      </c>
      <c r="U2" s="31">
        <f>MAX(IF(Q2&lt;0,0.001,Q2),R2)</f>
        <v>6.3737762237762563E-2</v>
      </c>
      <c r="V2" s="110">
        <f>MAX(ImportBiologie!J36,(ImportBiologie!J36*O2*N2),S2)*J2</f>
        <v>8.7418079999999995E-2</v>
      </c>
      <c r="W2" s="110">
        <f>IF(L2=0,1,($N2*$P2*1.5*Z$10))*J2</f>
        <v>0.16018404479999995</v>
      </c>
      <c r="X2" s="146">
        <f>J2*K2*L2*M2*N2*O2</f>
        <v>1.08</v>
      </c>
      <c r="Y2" s="33" t="s">
        <v>97</v>
      </c>
      <c r="Z2" s="34" t="s">
        <v>54</v>
      </c>
      <c r="AA2" s="35" t="s">
        <v>35</v>
      </c>
      <c r="AB2" s="35" t="s">
        <v>36</v>
      </c>
      <c r="AC2" s="35" t="s">
        <v>37</v>
      </c>
      <c r="AD2" s="35" t="s">
        <v>38</v>
      </c>
      <c r="AE2" s="35" t="s">
        <v>39</v>
      </c>
      <c r="AF2" s="35" t="s">
        <v>40</v>
      </c>
      <c r="AG2" s="35" t="s">
        <v>41</v>
      </c>
      <c r="AH2" s="35" t="s">
        <v>42</v>
      </c>
      <c r="AI2" s="35" t="s">
        <v>43</v>
      </c>
      <c r="AJ2" s="35" t="s">
        <v>44</v>
      </c>
      <c r="AK2" s="35" t="s">
        <v>45</v>
      </c>
      <c r="AL2" s="35" t="s">
        <v>46</v>
      </c>
      <c r="AM2" s="35" t="s">
        <v>47</v>
      </c>
      <c r="AN2" s="35" t="s">
        <v>48</v>
      </c>
      <c r="AO2" s="35" t="s">
        <v>49</v>
      </c>
      <c r="AP2" s="35" t="s">
        <v>50</v>
      </c>
      <c r="AQ2" s="46" t="s">
        <v>51</v>
      </c>
      <c r="AR2" s="46" t="s">
        <v>52</v>
      </c>
      <c r="AS2" s="46" t="s">
        <v>96</v>
      </c>
      <c r="AT2" s="47" t="s">
        <v>95</v>
      </c>
      <c r="AU2" s="142" t="s">
        <v>595</v>
      </c>
    </row>
    <row r="3" spans="1:47">
      <c r="A3" s="139">
        <f>ImportQuestion!$F$6</f>
        <v>65</v>
      </c>
      <c r="B3" s="558" t="s">
        <v>890</v>
      </c>
      <c r="C3" s="5">
        <v>-0.51776223776225105</v>
      </c>
      <c r="D3" s="5">
        <f>0.0177272727272731</f>
        <v>1.7727272727273102E-2</v>
      </c>
      <c r="E3" s="5">
        <v>-1.2167832167832501E-4</v>
      </c>
      <c r="F3" s="7">
        <v>1</v>
      </c>
      <c r="G3" s="7">
        <v>0</v>
      </c>
      <c r="H3" s="7">
        <v>0.8</v>
      </c>
      <c r="I3" s="7">
        <v>0.6</v>
      </c>
      <c r="J3" s="7">
        <f>IF(ImportQuestion!$F$3="F",0,1)</f>
        <v>1</v>
      </c>
      <c r="K3" s="7">
        <f>IF(ImportQuestion!$F$7="AF",H3,IF(ImportQuestion!$F$7="AS",calculRISKS!I3,1))</f>
        <v>1</v>
      </c>
      <c r="L3" s="7">
        <v>1</v>
      </c>
      <c r="M3" s="7">
        <v>1</v>
      </c>
      <c r="N3" s="4">
        <v>1</v>
      </c>
      <c r="O3" s="4">
        <f>ImportQuestion!K25</f>
        <v>1.2</v>
      </c>
      <c r="P3" s="10">
        <f>IF(ImportQuestion!H125&gt;2,1.2,IF(ImportQuestion!H125&lt;1,0.8,1))</f>
        <v>1</v>
      </c>
      <c r="Q3" s="31">
        <f t="shared" ref="Q3:Q22" si="1">($C3+($D3*($A3+5))+(($E3*(($A3+5)^2))))*$J3*$K3</f>
        <v>0.12692307692307359</v>
      </c>
      <c r="R3" s="110">
        <f t="shared" ref="R3:R22" si="2">IF(T3&lt;0,0.001,T3)</f>
        <v>0.12041958041957734</v>
      </c>
      <c r="S3" s="110">
        <f>(MAX((N3*O3*P3*R3),(IF(L3=0,1,0))))*J3</f>
        <v>0.14450349650349281</v>
      </c>
      <c r="T3" s="31">
        <f t="shared" si="0"/>
        <v>0.12041958041957734</v>
      </c>
      <c r="U3" s="31">
        <f t="shared" ref="U3:U22" si="3">MAX(IF(Q3&lt;0,0.001,Q3),R3)</f>
        <v>0.12692307692307359</v>
      </c>
      <c r="V3" s="110">
        <f>MAX(($N3*$O3*$P3*$U3),S3)</f>
        <v>0.15230769230768829</v>
      </c>
      <c r="W3" s="31">
        <f>$N3*$P3*$U3*AA10</f>
        <v>0.21932307692307115</v>
      </c>
      <c r="X3" s="146">
        <f t="shared" ref="X3:X22" si="4">J3*K3*L3*M3*N3*O3</f>
        <v>1.2</v>
      </c>
      <c r="Y3" s="16" t="str">
        <f>ImportQuestion!I18</f>
        <v>IMC</v>
      </c>
      <c r="Z3" s="16">
        <f>IF(SIMULATEUR!$L$3="N",ImportQuestion!J18,1)</f>
        <v>1.2</v>
      </c>
      <c r="AA3" s="16">
        <f>IF(SIMULATEUR!$L$3="N",ImportQuestion!K18,1)</f>
        <v>1.2</v>
      </c>
      <c r="AB3" s="16">
        <f>IF(SIMULATEUR!$L$3="N",ImportQuestion!L18,1)</f>
        <v>1.2</v>
      </c>
      <c r="AC3" s="16">
        <f>IF(SIMULATEUR!$L$3="N",ImportQuestion!M18,0.8)</f>
        <v>1.2</v>
      </c>
      <c r="AD3" s="16">
        <f>IF(SIMULATEUR!$L$3="N",ImportQuestion!N18,1)</f>
        <v>0.8</v>
      </c>
      <c r="AE3" s="16">
        <f>IF(SIMULATEUR!$L$3="N",ImportQuestion!O18,0.9)</f>
        <v>1.2</v>
      </c>
      <c r="AF3" s="16">
        <f>IF(SIMULATEUR!$L$3="N",ImportQuestion!P18,0.8)</f>
        <v>1.2</v>
      </c>
      <c r="AG3" s="16">
        <f>IF(SIMULATEUR!$L$3="N",ImportQuestion!Q18,1)</f>
        <v>1</v>
      </c>
      <c r="AH3" s="16">
        <f>IF(SIMULATEUR!$L$3="N",ImportQuestion!R18,0.8)</f>
        <v>1.2</v>
      </c>
      <c r="AI3" s="16">
        <f>IF(SIMULATEUR!$L$3="N",ImportQuestion!S18,0.8)</f>
        <v>1.2</v>
      </c>
      <c r="AJ3" s="16">
        <f>IF(SIMULATEUR!$L$3="N",ImportQuestion!T18,0.8)</f>
        <v>1.2</v>
      </c>
      <c r="AK3" s="16">
        <f>IF(SIMULATEUR!$L$3="N",ImportQuestion!U18,1)</f>
        <v>1</v>
      </c>
      <c r="AL3" s="16">
        <f>IF(SIMULATEUR!$L$3="N",ImportQuestion!V18,1)</f>
        <v>1.2</v>
      </c>
      <c r="AM3" s="16">
        <f>IF(SIMULATEUR!$L$3="N",ImportQuestion!W18,0.8)</f>
        <v>1.2</v>
      </c>
      <c r="AN3" s="16">
        <f>IF(SIMULATEUR!$L$3="N",ImportQuestion!X18,0.8)</f>
        <v>1.2</v>
      </c>
      <c r="AO3" s="16">
        <f>IF(SIMULATEUR!$L$3="N",ImportQuestion!Y18,1)</f>
        <v>1</v>
      </c>
      <c r="AP3" s="16">
        <f>IF(SIMULATEUR!$L$3="N",ImportQuestion!Z18,1)</f>
        <v>1</v>
      </c>
      <c r="AQ3" s="16">
        <f>IF(SIMULATEUR!$L$3="N",ImportQuestion!AA18,1)</f>
        <v>1</v>
      </c>
      <c r="AR3" s="16">
        <f>IF(SIMULATEUR!$L$3="N",ImportQuestion!AB18,1)</f>
        <v>1</v>
      </c>
      <c r="AS3" s="16">
        <f>IF(SIMULATEUR!$L$3="N",ImportQuestion!AC18,1)</f>
        <v>1.2</v>
      </c>
      <c r="AT3" s="16">
        <f>IF(SIMULATEUR!$L$3="N",ImportQuestion!AD18,1)</f>
        <v>1</v>
      </c>
      <c r="AU3" s="16">
        <f>IF(SIMULATEUR!$L$3="N",ImportQuestion!AE18,1)</f>
        <v>1</v>
      </c>
    </row>
    <row r="4" spans="1:47">
      <c r="A4" s="139">
        <f>ImportQuestion!$F$6</f>
        <v>65</v>
      </c>
      <c r="B4" s="559" t="s">
        <v>891</v>
      </c>
      <c r="C4" s="5">
        <v>0.116225714285713</v>
      </c>
      <c r="D4" s="5">
        <f>-0.00573914285714281</f>
        <v>-5.7391428571428099E-3</v>
      </c>
      <c r="E4" s="5">
        <f>0.0000701428571428567</f>
        <v>7.0142857142856699E-5</v>
      </c>
      <c r="F4" s="7">
        <v>1</v>
      </c>
      <c r="G4" s="7">
        <v>0.92</v>
      </c>
      <c r="H4" s="7">
        <v>1.5</v>
      </c>
      <c r="I4" s="7">
        <v>1</v>
      </c>
      <c r="J4" s="7">
        <v>1</v>
      </c>
      <c r="K4" s="7">
        <f>IF(ImportQuestion!$F$7="AF",H4,IF(ImportQuestion!$F$7="AS",calculRISKS!I4,1))</f>
        <v>1</v>
      </c>
      <c r="L4" s="7">
        <v>1</v>
      </c>
      <c r="M4" s="7">
        <v>1</v>
      </c>
      <c r="N4" s="4">
        <v>1</v>
      </c>
      <c r="O4" s="4">
        <f>ImportQuestion!L25</f>
        <v>1.2</v>
      </c>
      <c r="P4" s="4">
        <f>ImportBiologie!F37</f>
        <v>1</v>
      </c>
      <c r="Q4" s="31">
        <f t="shared" si="1"/>
        <v>5.8185714285714119E-2</v>
      </c>
      <c r="R4" s="110">
        <f t="shared" si="2"/>
        <v>3.9534999999999876E-2</v>
      </c>
      <c r="S4" s="31">
        <f>(N4*O4*P4*R4)</f>
        <v>4.7441999999999852E-2</v>
      </c>
      <c r="T4" s="31">
        <f t="shared" si="0"/>
        <v>3.9534999999999876E-2</v>
      </c>
      <c r="U4" s="31">
        <f t="shared" si="3"/>
        <v>5.8185714285714119E-2</v>
      </c>
      <c r="V4" s="110">
        <f>MAX($N4*$O4*$U4*$L4,S4)</f>
        <v>6.9822857142856937E-2</v>
      </c>
      <c r="W4" s="31">
        <f>$N4*$U4*AB10</f>
        <v>0.10054491428571399</v>
      </c>
      <c r="X4" s="146">
        <f t="shared" si="4"/>
        <v>1.2</v>
      </c>
      <c r="Y4" s="16" t="str">
        <f>ImportQuestion!I19</f>
        <v>Fumeur</v>
      </c>
      <c r="Z4" s="16">
        <f>IF(SIMULATEUR!$L$4="N",ImportQuestion!J19,1)</f>
        <v>1</v>
      </c>
      <c r="AA4" s="16">
        <f>IF(SIMULATEUR!$L$4="N",ImportQuestion!K19,1)</f>
        <v>1</v>
      </c>
      <c r="AB4" s="16">
        <f>IF(SIMULATEUR!$L$4="N",ImportQuestion!L19,1)</f>
        <v>1</v>
      </c>
      <c r="AC4" s="16">
        <f>IF(SIMULATEUR!$L$4="N",ImportQuestion!M19,1)</f>
        <v>1</v>
      </c>
      <c r="AD4" s="16">
        <f>IF(SIMULATEUR!$L$4="N",ImportQuestion!N19,1)</f>
        <v>1</v>
      </c>
      <c r="AE4" s="16">
        <f>IF(SIMULATEUR!$L$4="N",ImportQuestion!O19,1)</f>
        <v>1</v>
      </c>
      <c r="AF4" s="16">
        <f>IF(SIMULATEUR!$L$4="N",ImportQuestion!P19,1)</f>
        <v>1</v>
      </c>
      <c r="AG4" s="16">
        <f>IF(SIMULATEUR!$L$4="N",ImportQuestion!Q19,1)</f>
        <v>1</v>
      </c>
      <c r="AH4" s="16">
        <f>IF(SIMULATEUR!$L$4="N",ImportQuestion!R19,1)</f>
        <v>1</v>
      </c>
      <c r="AI4" s="16">
        <f>IF(SIMULATEUR!$L$4="N",ImportQuestion!S19,1)</f>
        <v>1</v>
      </c>
      <c r="AJ4" s="16">
        <f>IF(SIMULATEUR!$L$4="N",ImportQuestion!T19,1)</f>
        <v>1</v>
      </c>
      <c r="AK4" s="16">
        <f>IF(SIMULATEUR!$L$4="N",ImportQuestion!U19,1)</f>
        <v>1</v>
      </c>
      <c r="AL4" s="16">
        <f>IF(SIMULATEUR!$L$4="N",ImportQuestion!V19,1)</f>
        <v>1</v>
      </c>
      <c r="AM4" s="16">
        <f>IF(SIMULATEUR!$L$4="N",ImportQuestion!W19,1)</f>
        <v>1</v>
      </c>
      <c r="AN4" s="16">
        <f>IF(SIMULATEUR!$L$4="N",ImportQuestion!X19,1)</f>
        <v>1</v>
      </c>
      <c r="AO4" s="233">
        <f>IF(SIMULATEUR!$L$4="N",ImportQuestion!Y19,10)</f>
        <v>0.1</v>
      </c>
      <c r="AP4" s="16">
        <f>IF(SIMULATEUR!$L$4="N",ImportQuestion!Z19,1)</f>
        <v>0.1</v>
      </c>
      <c r="AQ4" s="16">
        <f>IF(SIMULATEUR!$L$4="N",ImportQuestion!AA19,1)</f>
        <v>1</v>
      </c>
      <c r="AR4" s="16">
        <f>IF(SIMULATEUR!$L$4="N",ImportQuestion!AB19,1)</f>
        <v>1</v>
      </c>
      <c r="AS4" s="16">
        <f>IF(SIMULATEUR!$L$4="N",ImportQuestion!AC19,1)</f>
        <v>1</v>
      </c>
      <c r="AT4" s="16">
        <f>IF(SIMULATEUR!$L$4="N",ImportQuestion!AD19,1)</f>
        <v>1</v>
      </c>
      <c r="AU4" s="233">
        <f>IF(SIMULATEUR!$L$4="N",ImportQuestion!AE19,10)</f>
        <v>1</v>
      </c>
    </row>
    <row r="5" spans="1:47">
      <c r="A5" s="139">
        <f>ImportQuestion!$F$6</f>
        <v>65</v>
      </c>
      <c r="B5" s="559" t="s">
        <v>37</v>
      </c>
      <c r="C5" s="5">
        <v>-0.307999999999999</v>
      </c>
      <c r="D5" s="5">
        <f>0.0126</f>
        <v>1.26E-2</v>
      </c>
      <c r="E5" s="5">
        <f>-0.0000999999999999998</f>
        <v>-9.9999999999999802E-5</v>
      </c>
      <c r="F5" s="7">
        <v>1</v>
      </c>
      <c r="G5" s="7">
        <v>1</v>
      </c>
      <c r="H5" s="7">
        <v>1</v>
      </c>
      <c r="I5" s="7">
        <v>1</v>
      </c>
      <c r="J5" s="7">
        <v>1</v>
      </c>
      <c r="K5" s="7">
        <f>IF(ImportQuestion!$F$7="AF",H5,IF(ImportQuestion!$F$7="AS",calculRISKS!I5,1))</f>
        <v>1</v>
      </c>
      <c r="L5" s="109">
        <f>IF(ImportQuestion!H44="Y",2,1)</f>
        <v>2</v>
      </c>
      <c r="M5" s="7">
        <v>1</v>
      </c>
      <c r="N5" s="4">
        <f>ImportQuestion!L$150</f>
        <v>0.9</v>
      </c>
      <c r="O5" s="4">
        <f>ImportQuestion!M25</f>
        <v>1.2</v>
      </c>
      <c r="P5" s="4">
        <f>ImportBiologie!H35</f>
        <v>1</v>
      </c>
      <c r="Q5" s="31">
        <f t="shared" si="1"/>
        <v>8.4000000000001906E-2</v>
      </c>
      <c r="R5" s="110">
        <f t="shared" si="2"/>
        <v>8.8500000000001855E-2</v>
      </c>
      <c r="S5" s="31">
        <f>IF((N5*O5*P5*R5*L5)&gt;1,1,(N5*O5*P5*R5*L5))</f>
        <v>0.19116000000000402</v>
      </c>
      <c r="T5" s="31">
        <f t="shared" si="0"/>
        <v>8.8500000000001855E-2</v>
      </c>
      <c r="U5" s="31">
        <f t="shared" si="3"/>
        <v>8.8500000000001855E-2</v>
      </c>
      <c r="V5" s="110">
        <f>MAX($N5*$O5*$U5*$L5,S5)</f>
        <v>0.19116000000000402</v>
      </c>
      <c r="W5" s="31">
        <f>$N5*$U5*$L5*AC10</f>
        <v>0.2752704000000058</v>
      </c>
      <c r="X5" s="146">
        <f t="shared" si="4"/>
        <v>2.16</v>
      </c>
      <c r="Y5" s="16" t="str">
        <f>ImportQuestion!I20</f>
        <v>Alcool</v>
      </c>
      <c r="Z5" s="16">
        <f>IF(SIMULATEUR!$L$5="Y",1,ImportQuestion!J20)</f>
        <v>1</v>
      </c>
      <c r="AA5" s="16">
        <f>IF(SIMULATEUR!$L$5="Y",1,ImportQuestion!K20)</f>
        <v>1</v>
      </c>
      <c r="AB5" s="16">
        <f>IF(SIMULATEUR!$L$5="Y",1,ImportQuestion!L20)</f>
        <v>1</v>
      </c>
      <c r="AC5" s="16">
        <f>IF(SIMULATEUR!$L$5="Y",1,ImportQuestion!M20)</f>
        <v>1</v>
      </c>
      <c r="AD5" s="16">
        <f>IF(SIMULATEUR!$L$5="Y",1,ImportQuestion!N20)</f>
        <v>1</v>
      </c>
      <c r="AE5" s="16">
        <f>IF(SIMULATEUR!$L$5="Y",1,ImportQuestion!O20)</f>
        <v>1.2</v>
      </c>
      <c r="AF5" s="16">
        <f>IF(SIMULATEUR!$L$5="N",ImportQuestion!P20,1)</f>
        <v>1.2</v>
      </c>
      <c r="AG5" s="16">
        <f>IF(SIMULATEUR!$L$5="Y",1,ImportQuestion!Q20)</f>
        <v>1</v>
      </c>
      <c r="AH5" s="16">
        <f>IF(SIMULATEUR!$L$5="Y",1,ImportQuestion!R20)</f>
        <v>1</v>
      </c>
      <c r="AI5" s="16">
        <f>IF(SIMULATEUR!$L$5="Y",1,ImportQuestion!S20)</f>
        <v>1</v>
      </c>
      <c r="AJ5" s="16">
        <f>IF(SIMULATEUR!$L$5="Y",1,ImportQuestion!T20)</f>
        <v>1</v>
      </c>
      <c r="AK5" s="16">
        <f>IF(SIMULATEUR!$L$5="Y",1,ImportQuestion!U20)</f>
        <v>1</v>
      </c>
      <c r="AL5" s="16">
        <f>IF(SIMULATEUR!$L$5="Y",1,ImportQuestion!V20)</f>
        <v>1</v>
      </c>
      <c r="AM5" s="16">
        <f>IF(SIMULATEUR!$L$5="Y",1,ImportQuestion!W20)</f>
        <v>1</v>
      </c>
      <c r="AN5" s="16">
        <f>IF(SIMULATEUR!$L$5="Y",1,ImportQuestion!X20)</f>
        <v>1</v>
      </c>
      <c r="AO5" s="16">
        <f>IF(SIMULATEUR!$L$5="Y",1,ImportQuestion!Y20)</f>
        <v>1</v>
      </c>
      <c r="AP5" s="16">
        <f>IF(SIMULATEUR!$L$5="Y",1,ImportQuestion!Z20)</f>
        <v>5</v>
      </c>
      <c r="AQ5" s="16">
        <f>IF(SIMULATEUR!$L$5="Y",1,ImportQuestion!AA20)</f>
        <v>1</v>
      </c>
      <c r="AR5" s="16">
        <f>IF(SIMULATEUR!$L$5="Y",1,ImportQuestion!AB20)</f>
        <v>1</v>
      </c>
      <c r="AS5" s="16">
        <f>IF(SIMULATEUR!$L$5="Y",1,ImportQuestion!AC20)</f>
        <v>1</v>
      </c>
      <c r="AT5" s="16">
        <f>IF(SIMULATEUR!$L$5="Y",1,ImportQuestion!AD20)</f>
        <v>1.2</v>
      </c>
      <c r="AU5" s="16">
        <f>IF(SIMULATEUR!$L$5="Y",1,ImportQuestion!AE20)</f>
        <v>1</v>
      </c>
    </row>
    <row r="6" spans="1:47" ht="13.2" customHeight="1">
      <c r="A6" s="139">
        <f>ImportQuestion!$F$6</f>
        <v>65</v>
      </c>
      <c r="B6" s="559" t="s">
        <v>38</v>
      </c>
      <c r="C6" s="5">
        <v>-1.38542857142852E-2</v>
      </c>
      <c r="D6" s="5">
        <f>0.0000558571428571242</f>
        <v>5.5857142857124199E-5</v>
      </c>
      <c r="E6" s="5">
        <f>0.0000066428571428573</f>
        <v>6.6428571428573E-6</v>
      </c>
      <c r="F6" s="7">
        <v>1</v>
      </c>
      <c r="G6" s="7">
        <v>3</v>
      </c>
      <c r="H6" s="7">
        <v>0.5</v>
      </c>
      <c r="I6" s="7">
        <v>0.8</v>
      </c>
      <c r="J6" s="7">
        <v>1</v>
      </c>
      <c r="K6" s="7">
        <f>IF(ImportQuestion!$F$7="AF",H6,IF(ImportQuestion!$F$7="AS",calculRISKS!I6,1))</f>
        <v>1</v>
      </c>
      <c r="L6" s="7">
        <v>1</v>
      </c>
      <c r="M6" s="7">
        <v>1</v>
      </c>
      <c r="N6" s="4">
        <v>1</v>
      </c>
      <c r="O6" s="4">
        <f>ImportQuestion!N25</f>
        <v>0.8</v>
      </c>
      <c r="P6" s="4">
        <f>MIN(IF(ImportBiologie!H14&gt;30,1,1.2),IF(ImportBiologie!H14&lt;0.1,1,1.2))</f>
        <v>1.2</v>
      </c>
      <c r="Q6" s="31">
        <f t="shared" si="1"/>
        <v>2.2605714285714267E-2</v>
      </c>
      <c r="R6" s="110">
        <f t="shared" si="2"/>
        <v>1.7842499999999966E-2</v>
      </c>
      <c r="S6" s="31">
        <f>N6*O6*P6*R6*L6</f>
        <v>1.7128799999999968E-2</v>
      </c>
      <c r="T6" s="31">
        <f t="shared" si="0"/>
        <v>1.7842499999999966E-2</v>
      </c>
      <c r="U6" s="31">
        <f t="shared" si="3"/>
        <v>2.2605714285714267E-2</v>
      </c>
      <c r="V6" s="110">
        <f>MAX(($N6*$O6*$U6*$L6*P6),S6)</f>
        <v>2.1701485714285696E-2</v>
      </c>
      <c r="W6" s="31">
        <f>$N6*$U6*AD10</f>
        <v>2.6041782857142835E-2</v>
      </c>
      <c r="X6" s="146">
        <f t="shared" si="4"/>
        <v>0.8</v>
      </c>
      <c r="Y6" s="16" t="str">
        <f>ImportQuestion!I21</f>
        <v>Activité</v>
      </c>
      <c r="Z6" s="16">
        <f>IF(SIMULATEUR!$L$6="Y",ImportQuestion!J21,1.2)</f>
        <v>1.2</v>
      </c>
      <c r="AA6" s="16">
        <f>IF(SIMULATEUR!$L$6="Y",ImportQuestion!K21,1.2)</f>
        <v>1.2</v>
      </c>
      <c r="AB6" s="16">
        <f>IF(SIMULATEUR!$L$6="Y",ImportQuestion!L21,1.2)</f>
        <v>1.2</v>
      </c>
      <c r="AC6" s="16">
        <f>IF(SIMULATEUR!$L$6="Y",ImportQuestion!M21,1.2)</f>
        <v>1.2</v>
      </c>
      <c r="AD6" s="16">
        <f>IF(SIMULATEUR!$L$6="Y",ImportQuestion!N21,1.2)</f>
        <v>1.2</v>
      </c>
      <c r="AE6" s="16">
        <f>IF(SIMULATEUR!$L$6="Y",ImportQuestion!O21,1.2)</f>
        <v>1.2</v>
      </c>
      <c r="AF6" s="16">
        <f>IF(SIMULATEUR!$L$6="N",ImportQuestion!P21,1)</f>
        <v>1</v>
      </c>
      <c r="AG6" s="16">
        <f>IF(SIMULATEUR!$L$6="Y",ImportQuestion!Q21,1.2)</f>
        <v>1.2</v>
      </c>
      <c r="AH6" s="16">
        <f>IF(SIMULATEUR!$L$6="Y",ImportQuestion!R21,1.2)</f>
        <v>1.2</v>
      </c>
      <c r="AI6" s="16">
        <f>IF(SIMULATEUR!$L$6="Y",ImportQuestion!S21,1.2)</f>
        <v>1.2</v>
      </c>
      <c r="AJ6" s="16">
        <f>IF(SIMULATEUR!$L$6="Y",ImportQuestion!T21,1.2)</f>
        <v>1.2</v>
      </c>
      <c r="AK6" s="16">
        <f>IF(SIMULATEUR!$L$6="Y",ImportQuestion!U21,1.2)</f>
        <v>1.2</v>
      </c>
      <c r="AL6" s="16">
        <f>IF(SIMULATEUR!$L$6="Y",ImportQuestion!V21,1.2)</f>
        <v>1.2</v>
      </c>
      <c r="AM6" s="16">
        <f>IF(SIMULATEUR!$L$6="Y",ImportQuestion!W21,1.2)</f>
        <v>1.2</v>
      </c>
      <c r="AN6" s="16">
        <f>IF(SIMULATEUR!$L$6="Y",ImportQuestion!X21,1.2)</f>
        <v>1.2</v>
      </c>
      <c r="AO6" s="16">
        <f>IF(SIMULATEUR!$L$6="Y",ImportQuestion!Y21,1.2)</f>
        <v>1.2</v>
      </c>
      <c r="AP6" s="16">
        <f>IF(SIMULATEUR!$L$6="Y",ImportQuestion!Z21,1.2)</f>
        <v>1.2</v>
      </c>
      <c r="AQ6" s="16">
        <f>IF(SIMULATEUR!$L$6="Y",ImportQuestion!AA21,1.2)</f>
        <v>1.2</v>
      </c>
      <c r="AR6" s="16">
        <f>IF(SIMULATEUR!$L$6="Y",ImportQuestion!AB21,1.2)</f>
        <v>1.2</v>
      </c>
      <c r="AS6" s="16">
        <f>IF(SIMULATEUR!$L$6="Y",ImportQuestion!AC21,1.2)</f>
        <v>1.2</v>
      </c>
      <c r="AT6" s="16">
        <f>IF(SIMULATEUR!$L$6="Y",ImportQuestion!AD21,1.2)</f>
        <v>1.2</v>
      </c>
      <c r="AU6" s="16">
        <f>IF(SIMULATEUR!$L$6="Y",ImportQuestion!AE21,1.2)</f>
        <v>1.2</v>
      </c>
    </row>
    <row r="7" spans="1:47">
      <c r="A7" s="139">
        <f>ImportQuestion!$F$6</f>
        <v>65</v>
      </c>
      <c r="B7" s="560" t="s">
        <v>248</v>
      </c>
      <c r="C7" s="5">
        <v>6.5546184602425797E-2</v>
      </c>
      <c r="D7" s="5">
        <f>-0.00279089539624784</f>
        <v>-2.7908953962478399E-3</v>
      </c>
      <c r="E7" s="5">
        <f>0.000030133820973974</f>
        <v>3.0133820973974001E-5</v>
      </c>
      <c r="F7" s="7">
        <v>1</v>
      </c>
      <c r="G7" s="7">
        <v>1</v>
      </c>
      <c r="H7" s="7">
        <v>1</v>
      </c>
      <c r="I7" s="7">
        <v>1</v>
      </c>
      <c r="J7" s="7">
        <v>1</v>
      </c>
      <c r="K7" s="7">
        <f>IF(ImportQuestion!$F$7="AF",H7,IF(ImportQuestion!$F$7="AS",calculRISKS!I7,1))</f>
        <v>1</v>
      </c>
      <c r="L7" s="109">
        <f>IF(ImportQuestion!H17="Y",0,1)</f>
        <v>1</v>
      </c>
      <c r="M7" s="7">
        <f>IF(ImportQuestion!H74="Y",0.8,1)</f>
        <v>1</v>
      </c>
      <c r="N7" s="4">
        <f>ImportQuestion!M$150</f>
        <v>0.9</v>
      </c>
      <c r="O7" s="4">
        <f>ImportQuestion!O25</f>
        <v>1.44</v>
      </c>
      <c r="P7" s="4">
        <v>1</v>
      </c>
      <c r="Q7" s="31">
        <f t="shared" si="1"/>
        <v>1.7839229637549608E-2</v>
      </c>
      <c r="R7" s="110">
        <f t="shared" si="2"/>
        <v>1.145337746135637E-2</v>
      </c>
      <c r="S7" s="110">
        <f>MAX((N7*O7*P7*R7),(IF(L7=0,1,0)))</f>
        <v>1.4843577189917856E-2</v>
      </c>
      <c r="T7" s="31">
        <f t="shared" si="0"/>
        <v>1.145337746135637E-2</v>
      </c>
      <c r="U7" s="31">
        <f t="shared" si="3"/>
        <v>1.7839229637549608E-2</v>
      </c>
      <c r="V7" s="110">
        <f>MAX(($N7*$O7*$U7*$L7),S7)</f>
        <v>2.3119641610264294E-2</v>
      </c>
      <c r="W7" s="110">
        <f>IF(L7=0,1,($N7*$U7*AE10))</f>
        <v>3.3292283918780578E-2</v>
      </c>
      <c r="X7" s="146">
        <f t="shared" si="4"/>
        <v>1.296</v>
      </c>
      <c r="Y7" s="16" t="str">
        <f>ImportQuestion!I22</f>
        <v>Alimentation</v>
      </c>
      <c r="Z7" s="16">
        <f>IF(SIMULATEUR!$L$7="Y",ImportQuestion!J22,1.2)</f>
        <v>1.2</v>
      </c>
      <c r="AA7" s="16">
        <f>IF(SIMULATEUR!$L$7="Y",ImportQuestion!K22,1.2)</f>
        <v>1.2</v>
      </c>
      <c r="AB7" s="16">
        <f>IF(SIMULATEUR!$L$7="Y",ImportQuestion!L22,1.2)</f>
        <v>1.2</v>
      </c>
      <c r="AC7" s="16">
        <f>IF(SIMULATEUR!$L$7="Y",ImportQuestion!M22,1.2)</f>
        <v>1.2</v>
      </c>
      <c r="AD7" s="16">
        <f>IF(SIMULATEUR!$L$7="Y",ImportQuestion!N22,1.2)</f>
        <v>1.2</v>
      </c>
      <c r="AE7" s="16">
        <f>IF(SIMULATEUR!$L$7="Y",ImportQuestion!O22,1.2)</f>
        <v>1.2</v>
      </c>
      <c r="AF7" s="16">
        <f>IF(SIMULATEUR!$L$7="N",ImportQuestion!P22,1)</f>
        <v>1</v>
      </c>
      <c r="AG7" s="16">
        <f>IF(SIMULATEUR!$L$7="Y",ImportQuestion!Q22,1.2)</f>
        <v>1.2</v>
      </c>
      <c r="AH7" s="16">
        <f>IF(SIMULATEUR!$L$7="Y",ImportQuestion!R22,1.2)</f>
        <v>1.2</v>
      </c>
      <c r="AI7" s="16">
        <f>IF(SIMULATEUR!$L$7="Y",ImportQuestion!S22,1.2)</f>
        <v>1.2</v>
      </c>
      <c r="AJ7" s="16">
        <f>IF(SIMULATEUR!$L$7="Y",ImportQuestion!T22,1.2)</f>
        <v>1.2</v>
      </c>
      <c r="AK7" s="16">
        <f>IF(SIMULATEUR!$L$7="Y",ImportQuestion!U22,1.2)</f>
        <v>1.2</v>
      </c>
      <c r="AL7" s="16">
        <f>IF(SIMULATEUR!$L$7="Y",ImportQuestion!V22,1.2)</f>
        <v>1.2</v>
      </c>
      <c r="AM7" s="16">
        <f>IF(SIMULATEUR!$L$7="Y",ImportQuestion!W22,1.2)</f>
        <v>1.2</v>
      </c>
      <c r="AN7" s="16">
        <f>IF(SIMULATEUR!$L$7="Y",ImportQuestion!X22,1.2)</f>
        <v>1.2</v>
      </c>
      <c r="AO7" s="16">
        <f>IF(SIMULATEUR!$L$7="Y",ImportQuestion!Y22,1.2)</f>
        <v>1.2</v>
      </c>
      <c r="AP7" s="16">
        <f>IF(SIMULATEUR!$L$7="Y",ImportQuestion!Z22,1.2)</f>
        <v>1.2</v>
      </c>
      <c r="AQ7" s="16">
        <f>IF(SIMULATEUR!$L$7="Y",ImportQuestion!AA22,1.2)</f>
        <v>1.2</v>
      </c>
      <c r="AR7" s="16">
        <f>IF(SIMULATEUR!$L$7="Y",ImportQuestion!AB22,1.2)</f>
        <v>1.2</v>
      </c>
      <c r="AS7" s="16">
        <f>IF(SIMULATEUR!$L$7="Y",ImportQuestion!AC22,1.2)</f>
        <v>1.2</v>
      </c>
      <c r="AT7" s="16">
        <f>IF(SIMULATEUR!$L$7="Y",ImportQuestion!AD22,1.2)</f>
        <v>1.2</v>
      </c>
      <c r="AU7" s="16">
        <f>IF(SIMULATEUR!$L$7="Y",ImportQuestion!AE22,1.2)</f>
        <v>1.2</v>
      </c>
    </row>
    <row r="8" spans="1:47">
      <c r="A8" s="139">
        <f>ImportQuestion!$F$6</f>
        <v>65</v>
      </c>
      <c r="B8" s="561" t="s">
        <v>892</v>
      </c>
      <c r="C8" s="5">
        <v>0.22885714285714301</v>
      </c>
      <c r="D8" s="5">
        <f>0.000428571428571423</f>
        <v>4.2857142857142302E-4</v>
      </c>
      <c r="E8" s="5">
        <v>-2.85714285714285E-5</v>
      </c>
      <c r="F8" s="7">
        <v>1</v>
      </c>
      <c r="G8" s="7">
        <v>0.8</v>
      </c>
      <c r="H8" s="7">
        <v>1</v>
      </c>
      <c r="I8" s="7">
        <v>1</v>
      </c>
      <c r="J8" s="7">
        <v>1</v>
      </c>
      <c r="K8" s="7">
        <f>IF(ImportQuestion!$F$7="AF",H8,IF(ImportQuestion!$F$7="AS",calculRISKS!I8,1))</f>
        <v>1</v>
      </c>
      <c r="L8" s="7">
        <v>1</v>
      </c>
      <c r="M8" s="7">
        <v>1</v>
      </c>
      <c r="N8" s="4">
        <v>1</v>
      </c>
      <c r="O8" s="4">
        <f>ImportQuestion!P25</f>
        <v>1.44</v>
      </c>
      <c r="P8" s="980">
        <f>IF(ISERROR(ImportBiologie!H30),1,ImportBiologie!H30)</f>
        <v>1.0277402395547233</v>
      </c>
      <c r="Q8" s="31">
        <f t="shared" si="1"/>
        <v>0.11885714285714297</v>
      </c>
      <c r="R8" s="110">
        <f t="shared" si="2"/>
        <v>0.13600000000000009</v>
      </c>
      <c r="S8" s="31">
        <f>N8*O8*P8*R8*L8</f>
        <v>0.20127264851439713</v>
      </c>
      <c r="T8" s="31">
        <f t="shared" ref="T8:T22" si="5">($C8+($D8*$A8)+(($E8*($A8*$A8))))*$J8*$K8</f>
        <v>0.13600000000000009</v>
      </c>
      <c r="U8" s="31">
        <f t="shared" si="3"/>
        <v>0.13600000000000009</v>
      </c>
      <c r="V8" s="110">
        <f>MAX(($N8*$O8*$U8*$L8*P8),S8)</f>
        <v>0.20127264851439713</v>
      </c>
      <c r="W8" s="31">
        <f>$N8*$U8*AF10*P8</f>
        <v>0.20127264851439713</v>
      </c>
      <c r="X8" s="146">
        <f t="shared" si="4"/>
        <v>1.44</v>
      </c>
      <c r="Y8" s="16" t="str">
        <f>ImportQuestion!I23</f>
        <v>Soleil</v>
      </c>
      <c r="Z8" s="16">
        <f>ImportQuestion!J23</f>
        <v>1</v>
      </c>
      <c r="AA8" s="16">
        <f>ImportQuestion!K23</f>
        <v>1</v>
      </c>
      <c r="AB8" s="16">
        <f>ImportQuestion!L23</f>
        <v>1</v>
      </c>
      <c r="AC8" s="16">
        <f>ImportQuestion!M23</f>
        <v>1</v>
      </c>
      <c r="AD8" s="16">
        <f>ImportQuestion!N23</f>
        <v>1</v>
      </c>
      <c r="AE8" s="16">
        <f>ImportQuestion!O23</f>
        <v>1</v>
      </c>
      <c r="AF8" s="16">
        <f>ImportQuestion!P23</f>
        <v>1</v>
      </c>
      <c r="AG8" s="16">
        <f>ImportQuestion!Q23</f>
        <v>1</v>
      </c>
      <c r="AH8" s="16">
        <f>ImportQuestion!R23</f>
        <v>1</v>
      </c>
      <c r="AI8" s="16">
        <f>ImportQuestion!S23</f>
        <v>1</v>
      </c>
      <c r="AJ8" s="16">
        <f>ImportQuestion!T23</f>
        <v>1</v>
      </c>
      <c r="AK8" s="16">
        <f>ImportQuestion!U23</f>
        <v>1</v>
      </c>
      <c r="AL8" s="16">
        <f>ImportQuestion!V23</f>
        <v>1</v>
      </c>
      <c r="AM8" s="16">
        <f>ImportQuestion!W23</f>
        <v>1</v>
      </c>
      <c r="AN8" s="16">
        <f>ImportQuestion!X23</f>
        <v>1</v>
      </c>
      <c r="AO8" s="16">
        <f>ImportQuestion!Y23</f>
        <v>1</v>
      </c>
      <c r="AP8" s="16">
        <f>ImportQuestion!Z23</f>
        <v>1</v>
      </c>
      <c r="AQ8" s="25">
        <f>ImportQuestion!AA23</f>
        <v>1</v>
      </c>
      <c r="AR8" s="25">
        <f>ImportQuestion!AB23</f>
        <v>1</v>
      </c>
      <c r="AS8" s="25">
        <f>ImportQuestion!AC23</f>
        <v>1</v>
      </c>
      <c r="AT8" s="25">
        <f>ImportQuestion!AD23</f>
        <v>1</v>
      </c>
      <c r="AU8" s="25">
        <f>ImportQuestion!AE23</f>
        <v>1</v>
      </c>
    </row>
    <row r="9" spans="1:47">
      <c r="A9" s="139">
        <f>ImportQuestion!$F$6</f>
        <v>65</v>
      </c>
      <c r="B9" s="559" t="s">
        <v>41</v>
      </c>
      <c r="C9" s="5">
        <f>-0.06</f>
        <v>-0.06</v>
      </c>
      <c r="D9" s="5">
        <f>0.002</f>
        <v>2E-3</v>
      </c>
      <c r="E9" s="5"/>
      <c r="F9" s="7">
        <v>1</v>
      </c>
      <c r="G9" s="7">
        <v>2</v>
      </c>
      <c r="H9" s="7">
        <v>1</v>
      </c>
      <c r="I9" s="7">
        <v>1</v>
      </c>
      <c r="J9" s="7">
        <v>1</v>
      </c>
      <c r="K9" s="7">
        <f>IF(ImportQuestion!$F$7="AF",H9,IF(ImportQuestion!$F$7="AS",calculRISKS!I9,1))</f>
        <v>1</v>
      </c>
      <c r="L9" s="7">
        <v>1</v>
      </c>
      <c r="M9" s="7">
        <v>1</v>
      </c>
      <c r="N9" s="4">
        <v>1</v>
      </c>
      <c r="O9" s="4">
        <v>1</v>
      </c>
      <c r="P9" s="109">
        <f>IF(ImportBiologie!H28&gt;10,2,(IF(ImportBiologie!H28=0,1,0)))</f>
        <v>1</v>
      </c>
      <c r="Q9" s="31">
        <f t="shared" si="1"/>
        <v>8.0000000000000016E-2</v>
      </c>
      <c r="R9" s="110">
        <f t="shared" si="2"/>
        <v>7.0000000000000007E-2</v>
      </c>
      <c r="S9" s="31">
        <f>N9*O9*P9*R9*L9</f>
        <v>7.0000000000000007E-2</v>
      </c>
      <c r="T9" s="31">
        <f t="shared" si="5"/>
        <v>7.0000000000000007E-2</v>
      </c>
      <c r="U9" s="31">
        <f t="shared" si="3"/>
        <v>8.0000000000000016E-2</v>
      </c>
      <c r="V9" s="110">
        <f>(MAX(($N9*$O9*$U9*$L9),S9))</f>
        <v>8.0000000000000016E-2</v>
      </c>
      <c r="W9" s="31">
        <f>$N9*$U9*AG10</f>
        <v>0.11520000000000002</v>
      </c>
      <c r="X9" s="146">
        <f t="shared" si="4"/>
        <v>1</v>
      </c>
      <c r="Y9" s="16" t="str">
        <f>ImportQuestion!I24</f>
        <v>Autres</v>
      </c>
      <c r="Z9" s="16">
        <f>ImportQuestion!J24</f>
        <v>1</v>
      </c>
      <c r="AA9" s="16">
        <f>ImportQuestion!K24</f>
        <v>1</v>
      </c>
      <c r="AB9" s="16">
        <f>ImportQuestion!L24</f>
        <v>1</v>
      </c>
      <c r="AC9" s="16">
        <f>ImportQuestion!M24</f>
        <v>1</v>
      </c>
      <c r="AD9" s="16">
        <f>IF(SIMULATEUR!L8="Y",0.8,ImportQuestion!N24)</f>
        <v>1</v>
      </c>
      <c r="AE9" s="16">
        <f>ImportQuestion!O24</f>
        <v>1</v>
      </c>
      <c r="AF9" s="16">
        <f>ImportQuestion!P24</f>
        <v>1</v>
      </c>
      <c r="AG9" s="16">
        <f>ImportQuestion!Q24</f>
        <v>1</v>
      </c>
      <c r="AH9" s="16">
        <f>ImportQuestion!R24</f>
        <v>1</v>
      </c>
      <c r="AI9" s="16">
        <f>ImportQuestion!S24</f>
        <v>1</v>
      </c>
      <c r="AJ9" s="16">
        <f>ImportQuestion!T24</f>
        <v>1</v>
      </c>
      <c r="AK9" s="16">
        <f>ImportQuestion!U24</f>
        <v>1</v>
      </c>
      <c r="AL9" s="16">
        <f>ImportQuestion!V24</f>
        <v>1</v>
      </c>
      <c r="AM9" s="16">
        <f>ImportQuestion!W24</f>
        <v>1</v>
      </c>
      <c r="AN9" s="16">
        <f>ImportQuestion!X24</f>
        <v>1</v>
      </c>
      <c r="AO9" s="16">
        <f>ImportQuestion!Y24</f>
        <v>1</v>
      </c>
      <c r="AP9" s="16">
        <f>ImportQuestion!Z24</f>
        <v>1</v>
      </c>
      <c r="AQ9" s="25">
        <f>ImportQuestion!AA24</f>
        <v>1</v>
      </c>
      <c r="AR9" s="25">
        <f>ImportQuestion!AB24</f>
        <v>1</v>
      </c>
      <c r="AS9" s="25">
        <f>ImportQuestion!AC24</f>
        <v>1</v>
      </c>
      <c r="AT9" s="25">
        <f>ImportQuestion!AD24</f>
        <v>1</v>
      </c>
      <c r="AU9" s="25">
        <f>ImportQuestion!AE24</f>
        <v>1</v>
      </c>
    </row>
    <row r="10" spans="1:47">
      <c r="A10" s="139">
        <f>ImportQuestion!$F$6</f>
        <v>65</v>
      </c>
      <c r="B10" s="562" t="s">
        <v>42</v>
      </c>
      <c r="C10" s="6">
        <v>-0.4</v>
      </c>
      <c r="D10" s="6">
        <v>0.01</v>
      </c>
      <c r="E10" s="6"/>
      <c r="F10" s="7">
        <v>1</v>
      </c>
      <c r="G10" s="7">
        <v>0.8</v>
      </c>
      <c r="H10" s="7">
        <v>1</v>
      </c>
      <c r="I10" s="7">
        <v>1</v>
      </c>
      <c r="J10" s="7">
        <v>1</v>
      </c>
      <c r="K10" s="7">
        <f>IF(ImportQuestion!$F$7="AF",H10,IF(ImportQuestion!$F$7="AS",calculRISKS!I10,1))</f>
        <v>1</v>
      </c>
      <c r="L10" s="109">
        <f>IF(ImportQuestion!F98="Y",0,1)</f>
        <v>0</v>
      </c>
      <c r="M10" s="7">
        <v>1</v>
      </c>
      <c r="N10" s="4">
        <f>ImportQuestion!N$150</f>
        <v>0.9</v>
      </c>
      <c r="O10" s="12">
        <f>ImportQuestion!R25</f>
        <v>1.2</v>
      </c>
      <c r="P10" s="12">
        <f>ImportBiologie!H33</f>
        <v>1.2</v>
      </c>
      <c r="Q10" s="31">
        <f t="shared" si="1"/>
        <v>0.30000000000000004</v>
      </c>
      <c r="R10" s="110">
        <f t="shared" si="2"/>
        <v>0.25</v>
      </c>
      <c r="S10" s="110">
        <f>MAX((N10*O10*P10*R10),IF(L10=0,1,0))</f>
        <v>1</v>
      </c>
      <c r="T10" s="31">
        <f t="shared" si="5"/>
        <v>0.25</v>
      </c>
      <c r="U10" s="31">
        <f t="shared" si="3"/>
        <v>0.30000000000000004</v>
      </c>
      <c r="V10" s="110">
        <f>MAX(($N10*$O10*$U10*$L10),S10)</f>
        <v>1</v>
      </c>
      <c r="W10" s="110">
        <f>IF(L10=0,1,($N10*$U10*AH10))</f>
        <v>1</v>
      </c>
      <c r="X10" s="146">
        <f t="shared" si="4"/>
        <v>0</v>
      </c>
      <c r="Y10" s="36" t="str">
        <f>ImportQuestion!I25</f>
        <v>MAX</v>
      </c>
      <c r="Z10" s="36">
        <f>Z3*Z4*Z5*Z6*Z7*Z8*Z9</f>
        <v>1.728</v>
      </c>
      <c r="AA10" s="36">
        <f t="shared" ref="AA10:AT10" si="6">AA3*AA4*AA5*AA6*AA7*AA8*AA9</f>
        <v>1.728</v>
      </c>
      <c r="AB10" s="36">
        <f t="shared" si="6"/>
        <v>1.728</v>
      </c>
      <c r="AC10" s="36">
        <f t="shared" si="6"/>
        <v>1.728</v>
      </c>
      <c r="AD10" s="36">
        <f t="shared" si="6"/>
        <v>1.1519999999999999</v>
      </c>
      <c r="AE10" s="36">
        <f t="shared" si="6"/>
        <v>2.0735999999999999</v>
      </c>
      <c r="AF10" s="36">
        <f t="shared" si="6"/>
        <v>1.44</v>
      </c>
      <c r="AG10" s="36">
        <f t="shared" si="6"/>
        <v>1.44</v>
      </c>
      <c r="AH10" s="36">
        <f t="shared" si="6"/>
        <v>1.728</v>
      </c>
      <c r="AI10" s="36">
        <f t="shared" si="6"/>
        <v>1.728</v>
      </c>
      <c r="AJ10" s="36">
        <f t="shared" si="6"/>
        <v>1.728</v>
      </c>
      <c r="AK10" s="36">
        <f t="shared" si="6"/>
        <v>1.44</v>
      </c>
      <c r="AL10" s="36">
        <f t="shared" si="6"/>
        <v>1.728</v>
      </c>
      <c r="AM10" s="36">
        <f t="shared" si="6"/>
        <v>1.728</v>
      </c>
      <c r="AN10" s="36">
        <f t="shared" si="6"/>
        <v>1.728</v>
      </c>
      <c r="AO10" s="36">
        <f t="shared" si="6"/>
        <v>0.14399999999999999</v>
      </c>
      <c r="AP10" s="36">
        <f t="shared" si="6"/>
        <v>0.72</v>
      </c>
      <c r="AQ10" s="36">
        <f t="shared" si="6"/>
        <v>1.44</v>
      </c>
      <c r="AR10" s="36">
        <f t="shared" si="6"/>
        <v>1.44</v>
      </c>
      <c r="AS10" s="36">
        <f t="shared" si="6"/>
        <v>1.728</v>
      </c>
      <c r="AT10" s="36">
        <f t="shared" si="6"/>
        <v>1.728</v>
      </c>
      <c r="AU10" s="36">
        <f t="shared" ref="AU10" si="7">AU3*AU4*AU5*AU6*AU7*AU8*AU9</f>
        <v>1.44</v>
      </c>
    </row>
    <row r="11" spans="1:47">
      <c r="A11" s="139">
        <f>ImportQuestion!$F$6</f>
        <v>65</v>
      </c>
      <c r="B11" s="559" t="s">
        <v>43</v>
      </c>
      <c r="C11" s="6">
        <v>-3.6142857142856602E-2</v>
      </c>
      <c r="D11" s="6">
        <f>0.00117857142857141</f>
        <v>1.1785714285714099E-3</v>
      </c>
      <c r="E11" s="6">
        <f>-3.57142857142841E-06</f>
        <v>-3.57142857142841E-6</v>
      </c>
      <c r="F11" s="7">
        <v>1</v>
      </c>
      <c r="G11" s="7">
        <v>0.94</v>
      </c>
      <c r="H11" s="7">
        <v>1.3</v>
      </c>
      <c r="I11" s="7">
        <v>1</v>
      </c>
      <c r="J11" s="7">
        <v>1</v>
      </c>
      <c r="K11" s="7">
        <f>IF(ImportQuestion!$F$7="AF",H11,IF(ImportQuestion!$F$7="AS",calculRISKS!I11,1))</f>
        <v>1</v>
      </c>
      <c r="L11" s="109">
        <f>IF(ImportQuestion!F95="Y",0,1)</f>
        <v>1</v>
      </c>
      <c r="M11" s="7">
        <v>1</v>
      </c>
      <c r="N11" s="4">
        <f>ImportQuestion!O$150</f>
        <v>0.9</v>
      </c>
      <c r="O11" s="4">
        <f>ImportQuestion!S25</f>
        <v>1.2</v>
      </c>
      <c r="P11" s="12">
        <f>ImportBiologie!H34</f>
        <v>1</v>
      </c>
      <c r="Q11" s="31">
        <f t="shared" si="1"/>
        <v>2.8857142857142887E-2</v>
      </c>
      <c r="R11" s="110">
        <f t="shared" si="2"/>
        <v>2.5375000000000002E-2</v>
      </c>
      <c r="S11" s="110">
        <f>MAX((N11*O11*P11*R11),(IF(L11=0,1,0)))</f>
        <v>2.7405000000000002E-2</v>
      </c>
      <c r="T11" s="31">
        <f t="shared" si="5"/>
        <v>2.5375000000000002E-2</v>
      </c>
      <c r="U11" s="31">
        <f t="shared" si="3"/>
        <v>2.8857142857142887E-2</v>
      </c>
      <c r="V11" s="110">
        <f>MAX(($N11*$O11*$U11*$L11),S11)</f>
        <v>3.1165714285714321E-2</v>
      </c>
      <c r="W11" s="110">
        <f>IF($L11=0,1,($N11*$U11*AI10))</f>
        <v>4.4878628571428623E-2</v>
      </c>
      <c r="X11" s="146">
        <f t="shared" si="4"/>
        <v>1.08</v>
      </c>
    </row>
    <row r="12" spans="1:47">
      <c r="A12" s="139">
        <f>ImportQuestion!$F$6</f>
        <v>65</v>
      </c>
      <c r="B12" s="559" t="s">
        <v>44</v>
      </c>
      <c r="C12" s="6">
        <v>-7.0714285714284397E-2</v>
      </c>
      <c r="D12" s="6">
        <f>0.0048928571428571</f>
        <v>4.8928571428570999E-3</v>
      </c>
      <c r="E12" s="6">
        <f>-0.0000178571428571425</f>
        <v>-1.7857142857142499E-5</v>
      </c>
      <c r="F12" s="7">
        <v>1</v>
      </c>
      <c r="G12" s="7">
        <v>1</v>
      </c>
      <c r="H12" s="7">
        <v>1.5</v>
      </c>
      <c r="I12" s="7">
        <v>1</v>
      </c>
      <c r="J12" s="7">
        <v>1</v>
      </c>
      <c r="K12" s="7">
        <f>IF(ImportQuestion!$F$7="AF",H12,IF(ImportQuestion!$F$7="AS",calculRISKS!I12,1))</f>
        <v>1</v>
      </c>
      <c r="L12" s="4">
        <v>1</v>
      </c>
      <c r="M12" s="7">
        <v>1</v>
      </c>
      <c r="N12" s="4">
        <v>1</v>
      </c>
      <c r="O12" s="4">
        <v>1</v>
      </c>
      <c r="P12" s="12">
        <f>IF(ImportBiologie!H38&lt;3,0.5,(IF(ImportBiologie!H38&gt;4,2,1.5)))</f>
        <v>2</v>
      </c>
      <c r="Q12" s="31">
        <f t="shared" si="1"/>
        <v>0.18428571428571433</v>
      </c>
      <c r="R12" s="110">
        <f t="shared" si="2"/>
        <v>0.17187500000000003</v>
      </c>
      <c r="S12" s="31">
        <f t="shared" ref="S12" si="8">N12*O12*P12*R12*L12</f>
        <v>0.34375000000000006</v>
      </c>
      <c r="T12" s="31">
        <f t="shared" si="5"/>
        <v>0.17187500000000003</v>
      </c>
      <c r="U12" s="31">
        <f t="shared" si="3"/>
        <v>0.18428571428571433</v>
      </c>
      <c r="V12" s="110">
        <f>MAX(($N12*$O12*$U12*$L12*P12),S12)</f>
        <v>0.36857142857142866</v>
      </c>
      <c r="W12" s="31">
        <f>MIN($N12*$U12*P12*AJ10,V12)</f>
        <v>0.36857142857142866</v>
      </c>
      <c r="X12" s="146">
        <f t="shared" si="4"/>
        <v>1</v>
      </c>
    </row>
    <row r="13" spans="1:47">
      <c r="A13" s="139">
        <f>ImportQuestion!$F$6</f>
        <v>65</v>
      </c>
      <c r="B13" s="559" t="s">
        <v>45</v>
      </c>
      <c r="C13" s="5">
        <v>0.02</v>
      </c>
      <c r="D13" s="5"/>
      <c r="E13" s="5"/>
      <c r="F13" s="7">
        <v>1</v>
      </c>
      <c r="G13" s="7">
        <v>1.2</v>
      </c>
      <c r="H13" s="7">
        <v>1</v>
      </c>
      <c r="I13" s="7">
        <v>1</v>
      </c>
      <c r="J13" s="7">
        <v>1</v>
      </c>
      <c r="K13" s="7">
        <f>IF(ImportQuestion!$F$7="AF",H13,IF(ImportQuestion!$F$7="AS",calculRISKS!I13,1))</f>
        <v>1</v>
      </c>
      <c r="L13" s="109">
        <f>IF(ImportQuestion!H47="Y",0,1)</f>
        <v>1</v>
      </c>
      <c r="M13" s="7">
        <v>1</v>
      </c>
      <c r="N13" s="4">
        <f>ImportQuestion!P$150</f>
        <v>0.9</v>
      </c>
      <c r="O13" s="4">
        <f>ImportQuestion!U25</f>
        <v>1</v>
      </c>
      <c r="P13" s="4">
        <f>IF(ImportQuestion!H53="N",1,1.2)</f>
        <v>1</v>
      </c>
      <c r="Q13" s="31">
        <f t="shared" si="1"/>
        <v>0.02</v>
      </c>
      <c r="R13" s="110">
        <f t="shared" si="2"/>
        <v>0.02</v>
      </c>
      <c r="S13" s="110">
        <f>MAX((N13*O13*P13*R13),(IF(L13=0,1,0)))</f>
        <v>1.8000000000000002E-2</v>
      </c>
      <c r="T13" s="31">
        <f t="shared" si="5"/>
        <v>0.02</v>
      </c>
      <c r="U13" s="31">
        <f t="shared" si="3"/>
        <v>0.02</v>
      </c>
      <c r="V13" s="110">
        <f>MAX(($N13*$O13*$U13*$L13),S13)</f>
        <v>1.8000000000000002E-2</v>
      </c>
      <c r="W13" s="110">
        <f>IF(L13=0,1,($N13*$U13*AK10))</f>
        <v>2.5920000000000002E-2</v>
      </c>
      <c r="X13" s="146">
        <f t="shared" si="4"/>
        <v>0.9</v>
      </c>
    </row>
    <row r="14" spans="1:47">
      <c r="A14" s="139">
        <f>ImportQuestion!$F$6</f>
        <v>65</v>
      </c>
      <c r="B14" s="559" t="s">
        <v>46</v>
      </c>
      <c r="C14" s="5">
        <v>0.04</v>
      </c>
      <c r="D14" s="5"/>
      <c r="E14" s="5"/>
      <c r="F14" s="7">
        <v>1</v>
      </c>
      <c r="G14" s="7">
        <v>0.4</v>
      </c>
      <c r="H14" s="7">
        <v>0.3</v>
      </c>
      <c r="I14" s="7">
        <v>0.3</v>
      </c>
      <c r="J14" s="7">
        <v>1</v>
      </c>
      <c r="K14" s="7">
        <f>IF(ImportQuestion!$F$7="AF",H14,IF(ImportQuestion!$F$7="AS",calculRISKS!I14,1))</f>
        <v>1</v>
      </c>
      <c r="L14" s="109">
        <f>IF(ImportQuestion!H35="Y",0,1)</f>
        <v>1</v>
      </c>
      <c r="M14" s="7">
        <v>1</v>
      </c>
      <c r="N14" s="4">
        <f>ImportQuestion!Q$150</f>
        <v>0.9</v>
      </c>
      <c r="O14" s="4">
        <f>ImportQuestion!V25</f>
        <v>1.2</v>
      </c>
      <c r="P14" s="4">
        <v>1</v>
      </c>
      <c r="Q14" s="31">
        <f t="shared" si="1"/>
        <v>0.04</v>
      </c>
      <c r="R14" s="110">
        <f t="shared" si="2"/>
        <v>0.04</v>
      </c>
      <c r="S14" s="110">
        <f>MAX((N14*O14*P14*R14),(IF(L14=0,1,0)))</f>
        <v>4.3200000000000002E-2</v>
      </c>
      <c r="T14" s="31">
        <f t="shared" si="5"/>
        <v>0.04</v>
      </c>
      <c r="U14" s="31">
        <f t="shared" si="3"/>
        <v>0.04</v>
      </c>
      <c r="V14" s="110">
        <f>(MAX(($N14*$O14*$U14*$L14),S14))</f>
        <v>4.3200000000000002E-2</v>
      </c>
      <c r="W14" s="110">
        <f>IF(L14=0,1,($N14*$U14*AL10))</f>
        <v>6.2208000000000006E-2</v>
      </c>
      <c r="X14" s="146">
        <f t="shared" si="4"/>
        <v>1.08</v>
      </c>
    </row>
    <row r="15" spans="1:47">
      <c r="A15" s="139">
        <f>ImportQuestion!$F$6</f>
        <v>65</v>
      </c>
      <c r="B15" s="559" t="s">
        <v>47</v>
      </c>
      <c r="C15" s="5">
        <v>9.4515746493517599E-2</v>
      </c>
      <c r="D15" s="5">
        <v>-4.6575542823482597E-3</v>
      </c>
      <c r="E15" s="5">
        <v>6.4542448496534202E-5</v>
      </c>
      <c r="F15" s="7">
        <v>1</v>
      </c>
      <c r="G15" s="7">
        <v>0.95</v>
      </c>
      <c r="H15" s="7">
        <v>1</v>
      </c>
      <c r="I15" s="7">
        <v>1</v>
      </c>
      <c r="J15" s="7">
        <v>1</v>
      </c>
      <c r="K15" s="7">
        <f>IF(ImportQuestion!$F$7="AF",H15,IF(ImportQuestion!$F$7="AS",calculRISKS!I15,1))</f>
        <v>1</v>
      </c>
      <c r="L15" s="109">
        <f>IF(ImportQuestion!H41="Y",0,1)</f>
        <v>1</v>
      </c>
      <c r="M15" s="7">
        <v>1</v>
      </c>
      <c r="N15" s="4">
        <f>ImportQuestion!R$150</f>
        <v>0.9</v>
      </c>
      <c r="O15" s="4">
        <f>ImportQuestion!W25</f>
        <v>1.2</v>
      </c>
      <c r="P15" s="4">
        <f>P16/3</f>
        <v>4.8720523333333321E-2</v>
      </c>
      <c r="Q15" s="31">
        <f t="shared" si="1"/>
        <v>8.4744944362156988E-2</v>
      </c>
      <c r="R15" s="110">
        <f t="shared" si="2"/>
        <v>6.446656303873774E-2</v>
      </c>
      <c r="S15" s="110">
        <f>MAX((S16/3),(IF(L15=0,1,0)))</f>
        <v>4.8720523333333321E-2</v>
      </c>
      <c r="T15" s="31">
        <f t="shared" si="5"/>
        <v>6.446656303873774E-2</v>
      </c>
      <c r="U15" s="31">
        <f t="shared" si="3"/>
        <v>8.4744944362156988E-2</v>
      </c>
      <c r="V15" s="110">
        <f>MAX(($V16/3),S15)</f>
        <v>5.6255523333333335E-2</v>
      </c>
      <c r="W15" s="110">
        <f>IF(L15=0,1,($V16/3))</f>
        <v>5.6255523333333335E-2</v>
      </c>
      <c r="X15" s="146">
        <f t="shared" si="4"/>
        <v>1.08</v>
      </c>
    </row>
    <row r="16" spans="1:47">
      <c r="A16" s="139">
        <f>ImportQuestion!$F$6</f>
        <v>65</v>
      </c>
      <c r="B16" s="559" t="s">
        <v>48</v>
      </c>
      <c r="C16" s="5"/>
      <c r="D16" s="5"/>
      <c r="E16" s="5"/>
      <c r="F16" s="7">
        <v>1</v>
      </c>
      <c r="G16" s="7">
        <v>0.5</v>
      </c>
      <c r="H16" s="7">
        <v>1</v>
      </c>
      <c r="I16" s="7">
        <v>1</v>
      </c>
      <c r="J16" s="7">
        <v>1</v>
      </c>
      <c r="K16" s="7">
        <f>IF(ImportQuestion!$F$7="AF",H16,IF(ImportQuestion!$F$7="AS",calculRISKS!I16,1))</f>
        <v>1</v>
      </c>
      <c r="L16" s="109">
        <f>IF(ImportQuestion!H41="Y",0,1)</f>
        <v>1</v>
      </c>
      <c r="M16" s="7">
        <f>IF(ImportQuestion!H71="Y",0.8,1)</f>
        <v>1</v>
      </c>
      <c r="N16" s="4">
        <f>MAX(ImportQuestion!S$150,IF(ImportBiologie!H10&gt;0.3,1.2,1))</f>
        <v>1</v>
      </c>
      <c r="O16" s="4">
        <f>ImportQuestion!X25</f>
        <v>1.2</v>
      </c>
      <c r="P16" s="4">
        <f>ImportBiologie!H31</f>
        <v>0.14616156999999996</v>
      </c>
      <c r="Q16" s="31">
        <f>(($C16+($D16*($A16+5))+(($E16*(($A16+5)^2))))*$J16*$K16)+$R16</f>
        <v>0.12590909090909078</v>
      </c>
      <c r="R16" s="110">
        <f t="shared" si="2"/>
        <v>0.12590909090909078</v>
      </c>
      <c r="S16" s="110">
        <f>MAX((P16*N16),(IF(L16=0,1,0)))</f>
        <v>0.14616156999999996</v>
      </c>
      <c r="T16" s="31">
        <f xml:space="preserve"> (-0.154969696969697+0.00432121212121212*$A16)*$J16*$K16</f>
        <v>0.12590909090909078</v>
      </c>
      <c r="U16" s="31">
        <f t="shared" si="3"/>
        <v>0.12590909090909078</v>
      </c>
      <c r="V16" s="110">
        <f>MAX((ImportBiologie!J31*N16),S16)</f>
        <v>0.16876657</v>
      </c>
      <c r="W16" s="110">
        <f>IF(L16=0,1,(V16*AN10))</f>
        <v>0.29162863296000002</v>
      </c>
      <c r="X16" s="146">
        <f t="shared" si="4"/>
        <v>1.2</v>
      </c>
    </row>
    <row r="17" spans="1:24">
      <c r="A17" s="139">
        <f>ImportQuestion!$F$6</f>
        <v>65</v>
      </c>
      <c r="B17" s="560" t="s">
        <v>881</v>
      </c>
      <c r="C17" s="5">
        <v>9.1456090629207995E-2</v>
      </c>
      <c r="D17" s="5">
        <f>-0.00368968864614031</f>
        <v>-3.6896886461403101E-3</v>
      </c>
      <c r="E17" s="5">
        <f>0.0000367445520814403</f>
        <v>3.6744552081440303E-5</v>
      </c>
      <c r="F17" s="7">
        <v>1</v>
      </c>
      <c r="G17" s="7">
        <v>0.68</v>
      </c>
      <c r="H17" s="7">
        <v>1</v>
      </c>
      <c r="I17" s="7">
        <v>1</v>
      </c>
      <c r="J17" s="7">
        <v>1</v>
      </c>
      <c r="K17" s="7">
        <f>IF(ImportQuestion!$F$7="AF",H17,IF(ImportQuestion!$F$7="AS",calculRISKS!I17,1))</f>
        <v>1</v>
      </c>
      <c r="L17" s="109">
        <f>IF(ImportQuestion!H23="Y",0,1)</f>
        <v>1</v>
      </c>
      <c r="M17" s="7">
        <f>IF(ImportQuestion!H59="Y",0.8,1)</f>
        <v>1</v>
      </c>
      <c r="N17" s="4">
        <v>1</v>
      </c>
      <c r="O17" s="4">
        <f>ImportQuestion!Y25</f>
        <v>0.1</v>
      </c>
      <c r="P17" s="4">
        <v>1</v>
      </c>
      <c r="Q17" s="31">
        <f t="shared" si="1"/>
        <v>1.3226190598443793E-2</v>
      </c>
      <c r="R17" s="110">
        <f t="shared" si="2"/>
        <v>6.872061174173133E-3</v>
      </c>
      <c r="S17" s="110">
        <f>(MAX((N17*O17*P17*R17),(IF(L17=0,1,0))))/10</f>
        <v>6.8720611741731333E-5</v>
      </c>
      <c r="T17" s="31">
        <f t="shared" si="5"/>
        <v>6.872061174173133E-3</v>
      </c>
      <c r="U17" s="31">
        <f t="shared" si="3"/>
        <v>1.3226190598443793E-2</v>
      </c>
      <c r="V17" s="110">
        <f>(MAX(($N17*$O17*$U17*$L17),S17))/10</f>
        <v>1.3226190598443794E-4</v>
      </c>
      <c r="W17" s="110">
        <f>(IF(L17=0,1,($N17*$U17*AO10)))/10</f>
        <v>1.904571446175906E-4</v>
      </c>
      <c r="X17" s="146">
        <f t="shared" si="4"/>
        <v>0.1</v>
      </c>
    </row>
    <row r="18" spans="1:24">
      <c r="A18" s="139">
        <f>ImportQuestion!$F$6</f>
        <v>65</v>
      </c>
      <c r="B18" s="560" t="s">
        <v>882</v>
      </c>
      <c r="C18" s="5">
        <v>-2.7423955339312398E-3</v>
      </c>
      <c r="D18" s="5">
        <f>-0.000200376142790573</f>
        <v>-2.0037614279057301E-4</v>
      </c>
      <c r="E18" s="5">
        <f>7.72972860283012E-06</f>
        <v>7.7297286028301195E-6</v>
      </c>
      <c r="F18" s="7">
        <v>1</v>
      </c>
      <c r="G18" s="7">
        <v>0.27</v>
      </c>
      <c r="H18" s="7">
        <v>1</v>
      </c>
      <c r="I18" s="7">
        <v>1</v>
      </c>
      <c r="J18" s="7">
        <v>1</v>
      </c>
      <c r="K18" s="7">
        <f>IF(ImportQuestion!$F$7="AF",H18,IF(ImportQuestion!$F$7="AS",calculRISKS!I18,1))</f>
        <v>1</v>
      </c>
      <c r="L18" s="109">
        <f>IF(ImportQuestion!H29="Y",0,1)</f>
        <v>1</v>
      </c>
      <c r="M18" s="7">
        <v>1</v>
      </c>
      <c r="N18" s="4">
        <v>1</v>
      </c>
      <c r="O18" s="4">
        <f>ImportQuestion!Z25</f>
        <v>0.5</v>
      </c>
      <c r="P18" s="4">
        <v>1</v>
      </c>
      <c r="Q18" s="31">
        <f t="shared" si="1"/>
        <v>2.1106944624596235E-2</v>
      </c>
      <c r="R18" s="110">
        <f t="shared" si="2"/>
        <v>1.689125853163877E-2</v>
      </c>
      <c r="S18" s="110">
        <f>(MAX((N18*O18*P18*R18),(IF(L18=0,1,0))))/10</f>
        <v>8.4456292658193855E-4</v>
      </c>
      <c r="T18" s="31">
        <f t="shared" si="5"/>
        <v>1.689125853163877E-2</v>
      </c>
      <c r="U18" s="31">
        <f t="shared" si="3"/>
        <v>2.1106944624596235E-2</v>
      </c>
      <c r="V18" s="110">
        <f>(MAX(($N18*$O18*$P18*$U18*$L18),S18))/10</f>
        <v>1.0553472312298117E-3</v>
      </c>
      <c r="W18" s="110">
        <f>IF(L18=0,1,($N18*$P18*$U18*AP10))</f>
        <v>1.5197000129709289E-2</v>
      </c>
      <c r="X18" s="146">
        <f t="shared" si="4"/>
        <v>0.5</v>
      </c>
    </row>
    <row r="19" spans="1:24">
      <c r="A19" s="139">
        <f>ImportQuestion!$F$6</f>
        <v>65</v>
      </c>
      <c r="B19" s="559" t="s">
        <v>51</v>
      </c>
      <c r="C19" s="5">
        <v>0.06</v>
      </c>
      <c r="D19" s="5"/>
      <c r="E19" s="5"/>
      <c r="F19" s="13">
        <v>1</v>
      </c>
      <c r="G19" s="7">
        <v>1.1000000000000001</v>
      </c>
      <c r="H19" s="7">
        <v>1</v>
      </c>
      <c r="I19" s="7">
        <v>1</v>
      </c>
      <c r="J19" s="7">
        <v>1</v>
      </c>
      <c r="K19" s="7">
        <f>IF(ImportQuestion!$F$7="AF",H19,IF(ImportQuestion!$F$7="AS",calculRISKS!I19,1))</f>
        <v>1</v>
      </c>
      <c r="L19" s="7">
        <f>IF(ImportQuestion!H50="Y",0,1)</f>
        <v>1</v>
      </c>
      <c r="M19" s="7">
        <v>1</v>
      </c>
      <c r="N19" s="4">
        <f>ImportQuestion!T$150</f>
        <v>0.9</v>
      </c>
      <c r="O19" s="4">
        <f>ImportQuestion!AA25</f>
        <v>1</v>
      </c>
      <c r="P19" s="4">
        <v>1</v>
      </c>
      <c r="Q19" s="31">
        <f t="shared" si="1"/>
        <v>0.06</v>
      </c>
      <c r="R19" s="110">
        <f t="shared" si="2"/>
        <v>0.06</v>
      </c>
      <c r="S19" s="31">
        <f t="shared" ref="S19:S21" si="9">MAX((N19*O19*P19*R19),(IF(L19=0,1,0)))</f>
        <v>5.3999999999999999E-2</v>
      </c>
      <c r="T19" s="31">
        <f t="shared" si="5"/>
        <v>0.06</v>
      </c>
      <c r="U19" s="31">
        <f t="shared" si="3"/>
        <v>0.06</v>
      </c>
      <c r="V19" s="110">
        <f>MAX(($N19*$O19*$U19*$L19),S19)</f>
        <v>5.3999999999999999E-2</v>
      </c>
      <c r="W19" s="110">
        <f>IF(L19=0,1,($N19*$U19*AQ10))</f>
        <v>7.7759999999999996E-2</v>
      </c>
      <c r="X19" s="146">
        <f t="shared" si="4"/>
        <v>0.9</v>
      </c>
    </row>
    <row r="20" spans="1:24">
      <c r="A20" s="139">
        <f>ImportQuestion!$F$6</f>
        <v>65</v>
      </c>
      <c r="B20" s="560" t="s">
        <v>887</v>
      </c>
      <c r="C20" s="5">
        <v>1.6220396466750199E-2</v>
      </c>
      <c r="D20" s="5">
        <f>-0.000493949673365258</f>
        <v>-4.9394967336525801E-4</v>
      </c>
      <c r="E20" s="5">
        <f>4.35923721975401E-06</f>
        <v>4.3592372197540102E-6</v>
      </c>
      <c r="F20" s="7">
        <v>1</v>
      </c>
      <c r="G20" s="7">
        <v>1</v>
      </c>
      <c r="H20" s="7">
        <v>1</v>
      </c>
      <c r="I20" s="7">
        <v>1</v>
      </c>
      <c r="J20" s="7">
        <v>1</v>
      </c>
      <c r="K20" s="7">
        <f>IF(ImportQuestion!$F$7="AF",H20,IF(ImportQuestion!$F$7="AS",calculRISKS!I20,1))</f>
        <v>1</v>
      </c>
      <c r="L20" s="109">
        <f>IF(ImportQuestion!H20="Y",0,1)</f>
        <v>1</v>
      </c>
      <c r="M20" s="7">
        <v>1</v>
      </c>
      <c r="N20" s="4">
        <f>ImportQuestion!U$150</f>
        <v>0.9</v>
      </c>
      <c r="O20" s="4">
        <f>ImportQuestion!AB25</f>
        <v>1</v>
      </c>
      <c r="P20" s="4">
        <v>1</v>
      </c>
      <c r="Q20" s="31">
        <f t="shared" si="1"/>
        <v>3.0041817079767899E-3</v>
      </c>
      <c r="R20" s="110">
        <f t="shared" si="2"/>
        <v>2.5314449514691195E-3</v>
      </c>
      <c r="S20" s="110">
        <f t="shared" si="9"/>
        <v>2.2783004563222075E-3</v>
      </c>
      <c r="T20" s="31">
        <f t="shared" si="5"/>
        <v>2.5314449514691195E-3</v>
      </c>
      <c r="U20" s="31">
        <f t="shared" si="3"/>
        <v>3.0041817079767899E-3</v>
      </c>
      <c r="V20" s="110">
        <f>MAX(($N20*$O20*$U20*$L20),S20)</f>
        <v>2.7037635371791112E-3</v>
      </c>
      <c r="W20" s="110">
        <f>IF(L20=0,1,($N20*$U20*AR10))</f>
        <v>3.8934194935379201E-3</v>
      </c>
      <c r="X20" s="146">
        <f t="shared" si="4"/>
        <v>0.9</v>
      </c>
    </row>
    <row r="21" spans="1:24">
      <c r="A21" s="139">
        <f>ImportQuestion!$F$6</f>
        <v>65</v>
      </c>
      <c r="B21" s="563" t="s">
        <v>1661</v>
      </c>
      <c r="C21" s="5">
        <v>4.50002597402595E-2</v>
      </c>
      <c r="D21" s="5">
        <f>-0.00273747186147185</f>
        <v>-2.73747186147185E-3</v>
      </c>
      <c r="E21" s="5">
        <v>4.1290043290043201E-5</v>
      </c>
      <c r="F21" s="7">
        <v>0.01</v>
      </c>
      <c r="G21" s="7">
        <v>1</v>
      </c>
      <c r="H21" s="7">
        <v>0.8</v>
      </c>
      <c r="I21" s="7">
        <v>0.6</v>
      </c>
      <c r="J21" s="7">
        <f>IF(ImportQuestion!$F$3="H",0.01,1)</f>
        <v>0.01</v>
      </c>
      <c r="K21" s="7">
        <f>IF(ImportQuestion!$F$7="AF",H21,IF(ImportQuestion!$F$7="AS",calculRISKS!I21,1))</f>
        <v>1</v>
      </c>
      <c r="L21" s="109">
        <f>IF(ImportQuestion!H26="Y",0,1)</f>
        <v>1</v>
      </c>
      <c r="M21" s="7">
        <f>IF(ImportQuestion!H65="Y",0.8,1)</f>
        <v>1</v>
      </c>
      <c r="N21" s="4">
        <f>ImportQuestion!V$150</f>
        <v>0.9</v>
      </c>
      <c r="O21" s="4">
        <f>ImportQuestion!AC25</f>
        <v>1.2</v>
      </c>
      <c r="P21" s="4">
        <v>1</v>
      </c>
      <c r="Q21" s="31">
        <f t="shared" si="1"/>
        <v>5.5698441558441698E-4</v>
      </c>
      <c r="R21" s="110">
        <f t="shared" si="2"/>
        <v>4.151502164502177E-4</v>
      </c>
      <c r="S21" s="110">
        <f t="shared" si="9"/>
        <v>4.4836223376623516E-4</v>
      </c>
      <c r="T21" s="31">
        <f t="shared" si="5"/>
        <v>4.151502164502177E-4</v>
      </c>
      <c r="U21" s="31">
        <f t="shared" si="3"/>
        <v>5.5698441558441698E-4</v>
      </c>
      <c r="V21" s="110">
        <f>MAX(($N21*$O21*$U21*$L21),S21)</f>
        <v>6.0154316883117035E-4</v>
      </c>
      <c r="W21" s="110">
        <f>IF(L21=0,1,($N21*$U21*AS10))</f>
        <v>8.6622216311688528E-4</v>
      </c>
      <c r="X21" s="146">
        <f t="shared" si="4"/>
        <v>1.0800000000000001E-2</v>
      </c>
    </row>
    <row r="22" spans="1:24">
      <c r="A22" s="139">
        <f>ImportQuestion!$F$6</f>
        <v>65</v>
      </c>
      <c r="B22" s="559" t="s">
        <v>880</v>
      </c>
      <c r="C22" s="109">
        <v>3.6911486561970901E-2</v>
      </c>
      <c r="D22" s="109">
        <f>-0.00157457925283427</f>
        <v>-1.57457925283427E-3</v>
      </c>
      <c r="E22" s="109">
        <f>0.0000167532085580737</f>
        <v>1.6753208558073701E-5</v>
      </c>
      <c r="F22" s="143">
        <v>1</v>
      </c>
      <c r="G22" s="143">
        <v>0.4</v>
      </c>
      <c r="H22" s="144">
        <v>1</v>
      </c>
      <c r="I22" s="144">
        <v>1</v>
      </c>
      <c r="J22" s="144">
        <v>1</v>
      </c>
      <c r="K22" s="7">
        <f>IF(ImportQuestion!$F$7="AF",H22,IF(ImportQuestion!$F$7="AS",calculRISKS!I22,1))</f>
        <v>1</v>
      </c>
      <c r="L22" s="144">
        <v>1</v>
      </c>
      <c r="M22" s="144">
        <v>1</v>
      </c>
      <c r="N22" s="8">
        <f>ImportQuestion!W150</f>
        <v>0.9</v>
      </c>
      <c r="O22" s="8">
        <f>ImportQuestion!AE25</f>
        <v>1</v>
      </c>
      <c r="P22" s="146">
        <f>ImportBiologie!H47</f>
        <v>1</v>
      </c>
      <c r="Q22" s="31">
        <f t="shared" si="1"/>
        <v>8.7816607981331396E-3</v>
      </c>
      <c r="R22" s="110">
        <f t="shared" si="2"/>
        <v>5.3461412856047469E-3</v>
      </c>
      <c r="S22" s="110">
        <f>(MAX((N22*O22*P22*R22),(IF(L22=0,1,0))))/10</f>
        <v>4.8115271570442719E-4</v>
      </c>
      <c r="T22" s="31">
        <f t="shared" si="5"/>
        <v>5.3461412856047469E-3</v>
      </c>
      <c r="U22" s="31">
        <f t="shared" si="3"/>
        <v>8.7816607981331396E-3</v>
      </c>
      <c r="V22" s="110">
        <f>(MAX(($N22*$O22*$U22*$L22),S22))/10</f>
        <v>7.9034947183198264E-4</v>
      </c>
      <c r="W22" s="110">
        <f>(IF(L22=0,1,($N22*$U22*AU10)))/10</f>
        <v>1.1381032394380548E-3</v>
      </c>
      <c r="X22" s="146">
        <f t="shared" si="4"/>
        <v>0.9</v>
      </c>
    </row>
    <row r="23" spans="1:24" customFormat="1"/>
    <row r="24" spans="1:24" customFormat="1"/>
    <row r="25" spans="1:24" customFormat="1"/>
    <row r="26" spans="1:24" customFormat="1"/>
    <row r="27" spans="1:24" customFormat="1"/>
    <row r="28" spans="1:24" customFormat="1"/>
    <row r="29" spans="1:24" customFormat="1"/>
    <row r="30" spans="1:24" customFormat="1"/>
    <row r="31" spans="1:24" customFormat="1"/>
    <row r="32" spans="1:24" customFormat="1"/>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sheetData>
  <conditionalFormatting sqref="B1">
    <cfRule type="iconSet" priority="75">
      <iconSet reverse="1">
        <cfvo type="percent" val="0"/>
        <cfvo type="percent" val="33"/>
        <cfvo type="percent" val="67"/>
      </iconSet>
    </cfRule>
  </conditionalFormatting>
  <conditionalFormatting sqref="B1:B22 B68:B1048576">
    <cfRule type="duplicateValues" dxfId="15" priority="10"/>
  </conditionalFormatting>
  <conditionalFormatting sqref="B12">
    <cfRule type="colorScale" priority="74">
      <colorScale>
        <cfvo type="min"/>
        <cfvo type="percentile" val="50"/>
        <cfvo type="max"/>
        <color rgb="FF5A8AC6"/>
        <color rgb="FFFCFCFF"/>
        <color rgb="FFF8696B"/>
      </colorScale>
    </cfRule>
  </conditionalFormatting>
  <conditionalFormatting sqref="B13:B16 B3:B6 B9:B11">
    <cfRule type="colorScale" priority="1147">
      <colorScale>
        <cfvo type="min"/>
        <cfvo type="percentile" val="50"/>
        <cfvo type="max"/>
        <color rgb="FF5A8AC6"/>
        <color rgb="FFFCFCFF"/>
        <color rgb="FFF8696B"/>
      </colorScale>
    </cfRule>
  </conditionalFormatting>
  <conditionalFormatting sqref="B19">
    <cfRule type="colorScale" priority="73">
      <colorScale>
        <cfvo type="min"/>
        <cfvo type="percentile" val="50"/>
        <cfvo type="max"/>
        <color rgb="FF5A8AC6"/>
        <color rgb="FFFCFCFF"/>
        <color rgb="FFF8696B"/>
      </colorScale>
    </cfRule>
  </conditionalFormatting>
  <conditionalFormatting sqref="B21">
    <cfRule type="iconSet" priority="71">
      <iconSet reverse="1">
        <cfvo type="percent" val="0"/>
        <cfvo type="percent" val="33"/>
        <cfvo type="percent" val="67"/>
      </iconSet>
    </cfRule>
  </conditionalFormatting>
  <conditionalFormatting sqref="C1:E1">
    <cfRule type="iconSet" priority="483">
      <iconSet reverse="1">
        <cfvo type="percent" val="0"/>
        <cfvo type="percent" val="33"/>
        <cfvo type="percent" val="67"/>
      </iconSet>
    </cfRule>
  </conditionalFormatting>
  <conditionalFormatting sqref="F22:G22 F1:G1 F68:G1048576">
    <cfRule type="colorScale" priority="1101">
      <colorScale>
        <cfvo type="min"/>
        <cfvo type="percentile" val="50"/>
        <cfvo type="max"/>
        <color rgb="FF63BE7B"/>
        <color rgb="FFFFEB84"/>
        <color rgb="FFF8696B"/>
      </colorScale>
    </cfRule>
  </conditionalFormatting>
  <conditionalFormatting sqref="F2:M21">
    <cfRule type="colorScale" priority="1146">
      <colorScale>
        <cfvo type="min"/>
        <cfvo type="percentile" val="50"/>
        <cfvo type="max"/>
        <color rgb="FF63BE7B"/>
        <color rgb="FFFFEB84"/>
        <color rgb="FFF8696B"/>
      </colorScale>
    </cfRule>
  </conditionalFormatting>
  <conditionalFormatting sqref="H22:M22 H1:M1 H68:M1048576">
    <cfRule type="colorScale" priority="97">
      <colorScale>
        <cfvo type="min"/>
        <cfvo type="percentile" val="50"/>
        <cfvo type="max"/>
        <color rgb="FF5A8AC6"/>
        <color rgb="FFFCFCFF"/>
        <color rgb="FFF8696B"/>
      </colorScale>
    </cfRule>
  </conditionalFormatting>
  <conditionalFormatting sqref="J1:J22 J68:J1048576">
    <cfRule type="colorScale" priority="3">
      <colorScale>
        <cfvo type="min"/>
        <cfvo type="percentile" val="50"/>
        <cfvo type="max"/>
        <color rgb="FF63BE7B"/>
        <color rgb="FFFFEB84"/>
        <color rgb="FFF8696B"/>
      </colorScale>
    </cfRule>
  </conditionalFormatting>
  <conditionalFormatting sqref="K22">
    <cfRule type="colorScale" priority="1280">
      <colorScale>
        <cfvo type="min"/>
        <cfvo type="percentile" val="50"/>
        <cfvo type="max"/>
        <color rgb="FF63BE7B"/>
        <color rgb="FFFFEB84"/>
        <color rgb="FFF8696B"/>
      </colorScale>
    </cfRule>
  </conditionalFormatting>
  <conditionalFormatting sqref="K1:M22 K68:M1048576">
    <cfRule type="colorScale" priority="94">
      <colorScale>
        <cfvo type="min"/>
        <cfvo type="percentile" val="50"/>
        <cfvo type="max"/>
        <color rgb="FFF8696B"/>
        <color rgb="FFFCFCFF"/>
        <color rgb="FF5A8AC6"/>
      </colorScale>
    </cfRule>
  </conditionalFormatting>
  <conditionalFormatting sqref="L1:L22 L68:L1048576">
    <cfRule type="colorScale" priority="1">
      <colorScale>
        <cfvo type="min"/>
        <cfvo type="max"/>
        <color rgb="FF63BE7B"/>
        <color rgb="FFFFEF9C"/>
      </colorScale>
    </cfRule>
  </conditionalFormatting>
  <conditionalFormatting sqref="N1:P7 N68:P1048576 N9:P22 N8:O8">
    <cfRule type="colorScale" priority="89">
      <colorScale>
        <cfvo type="min"/>
        <cfvo type="percentile" val="50"/>
        <cfvo type="max"/>
        <color rgb="FF63BE7B"/>
        <color rgb="FFFFEB84"/>
        <color rgb="FFF8696B"/>
      </colorScale>
    </cfRule>
  </conditionalFormatting>
  <conditionalFormatting sqref="Q1">
    <cfRule type="iconSet" priority="81">
      <iconSet reverse="1">
        <cfvo type="percent" val="0"/>
        <cfvo type="percent" val="33"/>
        <cfvo type="percent" val="67"/>
      </iconSet>
    </cfRule>
  </conditionalFormatting>
  <conditionalFormatting sqref="Q2:Q15 Q17:Q22">
    <cfRule type="colorScale" priority="1288">
      <colorScale>
        <cfvo type="min"/>
        <cfvo type="percentile" val="50"/>
        <cfvo type="max"/>
        <color rgb="FF63BE7B"/>
        <color rgb="FFFCFCFF"/>
        <color rgb="FFF8696B"/>
      </colorScale>
    </cfRule>
    <cfRule type="colorScale" priority="1287">
      <colorScale>
        <cfvo type="min"/>
        <cfvo type="percentile" val="50"/>
        <cfvo type="max"/>
        <color rgb="FF63BE7B"/>
        <color rgb="FFFCFCFF"/>
        <color rgb="FFF8696B"/>
      </colorScale>
    </cfRule>
  </conditionalFormatting>
  <conditionalFormatting sqref="Q16">
    <cfRule type="colorScale" priority="11">
      <colorScale>
        <cfvo type="min"/>
        <cfvo type="percentile" val="50"/>
        <cfvo type="max"/>
        <color rgb="FF63BE7B"/>
        <color rgb="FFFCFCFF"/>
        <color rgb="FFF8696B"/>
      </colorScale>
    </cfRule>
    <cfRule type="colorScale" priority="12">
      <colorScale>
        <cfvo type="min"/>
        <cfvo type="percentile" val="50"/>
        <cfvo type="max"/>
        <color rgb="FF63BE7B"/>
        <color rgb="FFFCFCFF"/>
        <color rgb="FFF8696B"/>
      </colorScale>
    </cfRule>
  </conditionalFormatting>
  <conditionalFormatting sqref="R1">
    <cfRule type="colorScale" priority="121">
      <colorScale>
        <cfvo type="min"/>
        <cfvo type="percentile" val="50"/>
        <cfvo type="max"/>
        <color rgb="FF63BE7B"/>
        <color rgb="FFFFEB84"/>
        <color rgb="FFF8696B"/>
      </colorScale>
    </cfRule>
  </conditionalFormatting>
  <conditionalFormatting sqref="R1:R22 R68:R1048576">
    <cfRule type="colorScale" priority="100">
      <colorScale>
        <cfvo type="min"/>
        <cfvo type="percentile" val="50"/>
        <cfvo type="max"/>
        <color rgb="FF63BE7B"/>
        <color rgb="FFFCFCFF"/>
        <color rgb="FFF8696B"/>
      </colorScale>
    </cfRule>
  </conditionalFormatting>
  <conditionalFormatting sqref="R2:R22 U2:U22">
    <cfRule type="colorScale" priority="1294">
      <colorScale>
        <cfvo type="min"/>
        <cfvo type="percentile" val="50"/>
        <cfvo type="max"/>
        <color rgb="FF63BE7B"/>
        <color rgb="FFFCFCFF"/>
        <color rgb="FFF8696B"/>
      </colorScale>
    </cfRule>
  </conditionalFormatting>
  <conditionalFormatting sqref="R2:R22">
    <cfRule type="colorScale" priority="1296">
      <colorScale>
        <cfvo type="min"/>
        <cfvo type="max"/>
        <color rgb="FFFCFCFF"/>
        <color rgb="FFF8696B"/>
      </colorScale>
    </cfRule>
  </conditionalFormatting>
  <conditionalFormatting sqref="S1">
    <cfRule type="colorScale" priority="102">
      <colorScale>
        <cfvo type="min"/>
        <cfvo type="percentile" val="50"/>
        <cfvo type="max"/>
        <color rgb="FF63BE7B"/>
        <color rgb="FFFFEB84"/>
        <color rgb="FFF8696B"/>
      </colorScale>
    </cfRule>
  </conditionalFormatting>
  <conditionalFormatting sqref="S1:S22 S68:S1048576">
    <cfRule type="dataBar" priority="91">
      <dataBar>
        <cfvo type="min"/>
        <cfvo type="max"/>
        <color rgb="FFFFB628"/>
      </dataBar>
      <extLst>
        <ext xmlns:x14="http://schemas.microsoft.com/office/spreadsheetml/2009/9/main" uri="{B025F937-C7B1-47D3-B67F-A62EFF666E3E}">
          <x14:id>{04752A11-54FF-4EBD-B7D7-B3B7940B5ECB}</x14:id>
        </ext>
      </extLst>
    </cfRule>
  </conditionalFormatting>
  <conditionalFormatting sqref="T3">
    <cfRule type="colorScale" priority="29">
      <colorScale>
        <cfvo type="min"/>
        <cfvo type="percentile" val="50"/>
        <cfvo type="max"/>
        <color rgb="FF63BE7B"/>
        <color rgb="FFFCFCFF"/>
        <color rgb="FFF8696B"/>
      </colorScale>
    </cfRule>
    <cfRule type="colorScale" priority="28">
      <colorScale>
        <cfvo type="min"/>
        <cfvo type="max"/>
        <color rgb="FFFCFCFF"/>
        <color rgb="FFF8696B"/>
      </colorScale>
    </cfRule>
    <cfRule type="colorScale" priority="27">
      <colorScale>
        <cfvo type="min"/>
        <cfvo type="percentile" val="50"/>
        <cfvo type="max"/>
        <color rgb="FF63BE7B"/>
        <color rgb="FFFCFCFF"/>
        <color rgb="FFF8696B"/>
      </colorScale>
    </cfRule>
  </conditionalFormatting>
  <conditionalFormatting sqref="T4">
    <cfRule type="colorScale" priority="26">
      <colorScale>
        <cfvo type="min"/>
        <cfvo type="percentile" val="50"/>
        <cfvo type="max"/>
        <color rgb="FF63BE7B"/>
        <color rgb="FFFCFCFF"/>
        <color rgb="FFF8696B"/>
      </colorScale>
    </cfRule>
    <cfRule type="colorScale" priority="25">
      <colorScale>
        <cfvo type="min"/>
        <cfvo type="max"/>
        <color rgb="FFFCFCFF"/>
        <color rgb="FFF8696B"/>
      </colorScale>
    </cfRule>
    <cfRule type="colorScale" priority="24">
      <colorScale>
        <cfvo type="min"/>
        <cfvo type="percentile" val="50"/>
        <cfvo type="max"/>
        <color rgb="FF63BE7B"/>
        <color rgb="FFFCFCFF"/>
        <color rgb="FFF8696B"/>
      </colorScale>
    </cfRule>
  </conditionalFormatting>
  <conditionalFormatting sqref="T5">
    <cfRule type="colorScale" priority="23">
      <colorScale>
        <cfvo type="min"/>
        <cfvo type="percentile" val="50"/>
        <cfvo type="max"/>
        <color rgb="FF63BE7B"/>
        <color rgb="FFFCFCFF"/>
        <color rgb="FFF8696B"/>
      </colorScale>
    </cfRule>
    <cfRule type="colorScale" priority="22">
      <colorScale>
        <cfvo type="min"/>
        <cfvo type="max"/>
        <color rgb="FFFCFCFF"/>
        <color rgb="FFF8696B"/>
      </colorScale>
    </cfRule>
    <cfRule type="colorScale" priority="21">
      <colorScale>
        <cfvo type="min"/>
        <cfvo type="percentile" val="50"/>
        <cfvo type="max"/>
        <color rgb="FF63BE7B"/>
        <color rgb="FFFCFCFF"/>
        <color rgb="FFF8696B"/>
      </colorScale>
    </cfRule>
  </conditionalFormatting>
  <conditionalFormatting sqref="T6:T15 T17:T22">
    <cfRule type="colorScale" priority="1300">
      <colorScale>
        <cfvo type="min"/>
        <cfvo type="percentile" val="50"/>
        <cfvo type="max"/>
        <color rgb="FF63BE7B"/>
        <color rgb="FFFCFCFF"/>
        <color rgb="FFF8696B"/>
      </colorScale>
    </cfRule>
    <cfRule type="colorScale" priority="1301">
      <colorScale>
        <cfvo type="min"/>
        <cfvo type="max"/>
        <color rgb="FFFCFCFF"/>
        <color rgb="FFF8696B"/>
      </colorScale>
    </cfRule>
    <cfRule type="colorScale" priority="1302">
      <colorScale>
        <cfvo type="min"/>
        <cfvo type="percentile" val="50"/>
        <cfvo type="max"/>
        <color rgb="FF63BE7B"/>
        <color rgb="FFFCFCFF"/>
        <color rgb="FFF8696B"/>
      </colorScale>
    </cfRule>
  </conditionalFormatting>
  <conditionalFormatting sqref="T16">
    <cfRule type="colorScale" priority="15">
      <colorScale>
        <cfvo type="min"/>
        <cfvo type="percentile" val="50"/>
        <cfvo type="max"/>
        <color rgb="FF63BE7B"/>
        <color rgb="FFFCFCFF"/>
        <color rgb="FFF8696B"/>
      </colorScale>
    </cfRule>
    <cfRule type="colorScale" priority="17">
      <colorScale>
        <cfvo type="min"/>
        <cfvo type="percentile" val="50"/>
        <cfvo type="max"/>
        <color rgb="FF63BE7B"/>
        <color rgb="FFFCFCFF"/>
        <color rgb="FFF8696B"/>
      </colorScale>
    </cfRule>
    <cfRule type="colorScale" priority="16">
      <colorScale>
        <cfvo type="min"/>
        <cfvo type="max"/>
        <color rgb="FFFCFCFF"/>
        <color rgb="FFF8696B"/>
      </colorScale>
    </cfRule>
  </conditionalFormatting>
  <conditionalFormatting sqref="U1:U22 U68:U1048576">
    <cfRule type="colorScale" priority="101">
      <colorScale>
        <cfvo type="min"/>
        <cfvo type="percentile" val="50"/>
        <cfvo type="max"/>
        <color rgb="FF63BE7B"/>
        <color rgb="FFFCFCFF"/>
        <color rgb="FFF8696B"/>
      </colorScale>
    </cfRule>
  </conditionalFormatting>
  <conditionalFormatting sqref="V1:V22 V68:V1048576">
    <cfRule type="dataBar" priority="90">
      <dataBar>
        <cfvo type="min"/>
        <cfvo type="max"/>
        <color rgb="FF008AEF"/>
      </dataBar>
      <extLst>
        <ext xmlns:x14="http://schemas.microsoft.com/office/spreadsheetml/2009/9/main" uri="{B025F937-C7B1-47D3-B67F-A62EFF666E3E}">
          <x14:id>{9F019558-EAE2-43F8-ACE3-FD53FF79E7F6}</x14:id>
        </ext>
      </extLst>
    </cfRule>
  </conditionalFormatting>
  <conditionalFormatting sqref="W1:W22 W68:W1048576">
    <cfRule type="dataBar" priority="42">
      <dataBar>
        <cfvo type="min"/>
        <cfvo type="max"/>
        <color rgb="FF008AEF"/>
      </dataBar>
      <extLst>
        <ext xmlns:x14="http://schemas.microsoft.com/office/spreadsheetml/2009/9/main" uri="{B025F937-C7B1-47D3-B67F-A62EFF666E3E}">
          <x14:id>{078CFDEC-A5A7-4504-B4FD-3DED17D3E9A7}</x14:id>
        </ext>
      </extLst>
    </cfRule>
  </conditionalFormatting>
  <conditionalFormatting sqref="X1:X22 X68:X1048576">
    <cfRule type="colorScale" priority="9">
      <colorScale>
        <cfvo type="min"/>
        <cfvo type="percentile" val="50"/>
        <cfvo type="max"/>
        <color rgb="FF63BE7B"/>
        <color rgb="FFFFEB84"/>
        <color rgb="FFF8696B"/>
      </colorScale>
    </cfRule>
  </conditionalFormatting>
  <conditionalFormatting sqref="AJ2">
    <cfRule type="colorScale" priority="40">
      <colorScale>
        <cfvo type="min"/>
        <cfvo type="percentile" val="50"/>
        <cfvo type="max"/>
        <color rgb="FF5A8AC6"/>
        <color rgb="FFFCFCFF"/>
        <color rgb="FFF8696B"/>
      </colorScale>
    </cfRule>
  </conditionalFormatting>
  <conditionalFormatting sqref="AK2:AP2 AA2:AI2">
    <cfRule type="colorScale" priority="41">
      <colorScale>
        <cfvo type="min"/>
        <cfvo type="percentile" val="50"/>
        <cfvo type="max"/>
        <color rgb="FF5A8AC6"/>
        <color rgb="FFFCFCFF"/>
        <color rgb="FFF8696B"/>
      </colorScale>
    </cfRule>
  </conditionalFormatting>
  <conditionalFormatting sqref="AQ2">
    <cfRule type="colorScale" priority="36">
      <colorScale>
        <cfvo type="min"/>
        <cfvo type="percentile" val="50"/>
        <cfvo type="max"/>
        <color rgb="FF5A8AC6"/>
        <color rgb="FFFCFCFF"/>
        <color rgb="FFF8696B"/>
      </colorScale>
    </cfRule>
  </conditionalFormatting>
  <conditionalFormatting sqref="AR2">
    <cfRule type="colorScale" priority="35">
      <colorScale>
        <cfvo type="min"/>
        <cfvo type="percentile" val="50"/>
        <cfvo type="max"/>
        <color rgb="FF5A8AC6"/>
        <color rgb="FFFCFCFF"/>
        <color rgb="FFF8696B"/>
      </colorScale>
    </cfRule>
  </conditionalFormatting>
  <conditionalFormatting sqref="AS2">
    <cfRule type="iconSet" priority="34">
      <iconSet reverse="1">
        <cfvo type="percent" val="0"/>
        <cfvo type="percent" val="33"/>
        <cfvo type="percent" val="67"/>
      </iconSe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04752A11-54FF-4EBD-B7D7-B3B7940B5ECB}">
            <x14:dataBar minLength="0" maxLength="100" border="1" negativeBarBorderColorSameAsPositive="0">
              <x14:cfvo type="autoMin"/>
              <x14:cfvo type="autoMax"/>
              <x14:borderColor rgb="FFFFB628"/>
              <x14:negativeFillColor rgb="FFFF0000"/>
              <x14:negativeBorderColor rgb="FFFF0000"/>
              <x14:axisColor rgb="FF000000"/>
            </x14:dataBar>
          </x14:cfRule>
          <xm:sqref>S1:S22 S68:S1048576</xm:sqref>
        </x14:conditionalFormatting>
        <x14:conditionalFormatting xmlns:xm="http://schemas.microsoft.com/office/excel/2006/main">
          <x14:cfRule type="dataBar" id="{9F019558-EAE2-43F8-ACE3-FD53FF79E7F6}">
            <x14:dataBar minLength="0" maxLength="100" border="1" negativeBarBorderColorSameAsPositive="0">
              <x14:cfvo type="autoMin"/>
              <x14:cfvo type="autoMax"/>
              <x14:borderColor rgb="FF008AEF"/>
              <x14:negativeFillColor rgb="FFFF0000"/>
              <x14:negativeBorderColor rgb="FFFF0000"/>
              <x14:axisColor rgb="FF000000"/>
            </x14:dataBar>
          </x14:cfRule>
          <xm:sqref>V1:V22 V68:V1048576</xm:sqref>
        </x14:conditionalFormatting>
        <x14:conditionalFormatting xmlns:xm="http://schemas.microsoft.com/office/excel/2006/main">
          <x14:cfRule type="dataBar" id="{078CFDEC-A5A7-4504-B4FD-3DED17D3E9A7}">
            <x14:dataBar minLength="0" maxLength="100" border="1" negativeBarBorderColorSameAsPositive="0">
              <x14:cfvo type="autoMin"/>
              <x14:cfvo type="autoMax"/>
              <x14:borderColor rgb="FF008AEF"/>
              <x14:negativeFillColor rgb="FFFF0000"/>
              <x14:negativeBorderColor rgb="FFFF0000"/>
              <x14:axisColor rgb="FF000000"/>
            </x14:dataBar>
          </x14:cfRule>
          <xm:sqref>W1:W22 W68:W1048576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20</vt:i4>
      </vt:variant>
      <vt:variant>
        <vt:lpstr>Plages nommées</vt:lpstr>
      </vt:variant>
      <vt:variant>
        <vt:i4>4</vt:i4>
      </vt:variant>
    </vt:vector>
  </HeadingPairs>
  <TitlesOfParts>
    <vt:vector size="24" baseType="lpstr">
      <vt:lpstr>AUTOQUESTIONNAIRE</vt:lpstr>
      <vt:lpstr>ImportBiologie</vt:lpstr>
      <vt:lpstr>RRImmédiat</vt:lpstr>
      <vt:lpstr>AFaire</vt:lpstr>
      <vt:lpstr>Integratome_AugmentV2</vt:lpstr>
      <vt:lpstr>CommentairesAnalyses</vt:lpstr>
      <vt:lpstr>SIMULATEUR</vt:lpstr>
      <vt:lpstr>ImportQuestion</vt:lpstr>
      <vt:lpstr>calculRISKS</vt:lpstr>
      <vt:lpstr>RESULTATS</vt:lpstr>
      <vt:lpstr>ACTIONS</vt:lpstr>
      <vt:lpstr>Options Réponses</vt:lpstr>
      <vt:lpstr>Systemes</vt:lpstr>
      <vt:lpstr>CLINIQUE&amp;Radiologie</vt:lpstr>
      <vt:lpstr>BIOLOGIE</vt:lpstr>
      <vt:lpstr>ANOMALIEBIOLOGIQUE</vt:lpstr>
      <vt:lpstr>CommentairesRésultats</vt:lpstr>
      <vt:lpstr>RapportPharmacie</vt:lpstr>
      <vt:lpstr>Analyse Globale Q</vt:lpstr>
      <vt:lpstr>Alerte&amp;Vigilances</vt:lpstr>
      <vt:lpstr>CommentairesAnalyses!Zone_d_impression</vt:lpstr>
      <vt:lpstr>CommentairesRésultats!Zone_d_impression</vt:lpstr>
      <vt:lpstr>RESULTATS!Zone_d_impression</vt:lpstr>
      <vt:lpstr>SIMULATEUR!Zone_d_impression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olivier cussenot</dc:creator>
  <cp:lastModifiedBy>Ugo HABERMAN</cp:lastModifiedBy>
  <cp:lastPrinted>2026-01-19T17:06:50Z</cp:lastPrinted>
  <dcterms:created xsi:type="dcterms:W3CDTF">2019-02-17T19:36:08Z</dcterms:created>
  <dcterms:modified xsi:type="dcterms:W3CDTF">2026-07-20T08:06:38Z</dcterms:modified>
</cp:coreProperties>
</file>