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structure.xml" ContentType="application/vnd.ms-excel.rdrichvaluestructure+xml"/>
  <Override PartName="/xl/richData/rdRichValueTypes.xml" ContentType="application/vnd.ms-excel.rdrichvaluetypes+xml"/>
  <Override PartName="/xl/richData/rdrichvalue.xml" ContentType="application/vnd.ms-excel.rdrichvalu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wAmp\www\Integratome\generator\doc\20260612\"/>
    </mc:Choice>
  </mc:AlternateContent>
  <xr:revisionPtr revIDLastSave="0" documentId="13_ncr:1_{3330A2B5-6E23-4B44-A7D4-0A2B92640717}" xr6:coauthVersionLast="47" xr6:coauthVersionMax="47" xr10:uidLastSave="{00000000-0000-0000-0000-000000000000}"/>
  <bookViews>
    <workbookView xWindow="-120" yWindow="-120" windowWidth="29040" windowHeight="15840" tabRatio="788" xr2:uid="{00000000-000D-0000-FFFF-FFFF00000000}"/>
  </bookViews>
  <sheets>
    <sheet name="AUTOQUESTIONNAIRE" sheetId="33" r:id="rId1"/>
    <sheet name="ImportBiologie" sheetId="22" r:id="rId2"/>
    <sheet name="RRImmédiat" sheetId="42" r:id="rId3"/>
    <sheet name="AFaire" sheetId="38" r:id="rId4"/>
    <sheet name="Integratome_AugmentV2" sheetId="49" r:id="rId5"/>
    <sheet name="CommentairesAnalyses" sheetId="28" r:id="rId6"/>
    <sheet name="SIMULATEUR" sheetId="25" r:id="rId7"/>
    <sheet name="ImportQuestion" sheetId="21" r:id="rId8"/>
    <sheet name="calculRISKS" sheetId="2" r:id="rId9"/>
    <sheet name="RESULTATS" sheetId="20" r:id="rId10"/>
    <sheet name="ACTIONS" sheetId="24" r:id="rId11"/>
    <sheet name="Options Réponses" sheetId="44" r:id="rId12"/>
    <sheet name="Systemes" sheetId="43" r:id="rId13"/>
    <sheet name="CLINIQUE&amp;Radiologie" sheetId="34" r:id="rId14"/>
    <sheet name="BIOLOGIE" sheetId="35" r:id="rId15"/>
    <sheet name="ANOMALIEBIOLOGIQUE" sheetId="37" r:id="rId16"/>
    <sheet name="CommentairesRésultats" sheetId="27" r:id="rId17"/>
    <sheet name="RapportPharmacie" sheetId="40" r:id="rId18"/>
    <sheet name="Analyse Globale Q" sheetId="39" r:id="rId19"/>
    <sheet name="Alerte&amp;Vigilances" sheetId="45" r:id="rId20"/>
  </sheets>
  <definedNames>
    <definedName name="_xlnm._FilterDatabase" localSheetId="5" hidden="1">CommentairesAnalyses!$A$1:$H$115</definedName>
    <definedName name="_xlnm._FilterDatabase" localSheetId="2" hidden="1">RRImmédiat!$A$1:$R$66</definedName>
    <definedName name="_xlnm.Print_Area" localSheetId="5">CommentairesAnalyses!$A$1:$H$52</definedName>
    <definedName name="_xlnm.Print_Area" localSheetId="16">CommentairesRésultats!$A$1:$C$42</definedName>
    <definedName name="_xlnm.Print_Area" localSheetId="9">RESULTATS!$A$1:$N$23</definedName>
    <definedName name="_xlnm.Print_Area" localSheetId="6">SIMULATEUR!$A$1:$L$40</definedName>
  </definedNames>
  <calcPr calcId="181029"/>
</workbook>
</file>

<file path=xl/calcChain.xml><?xml version="1.0" encoding="utf-8"?>
<calcChain xmlns="http://schemas.openxmlformats.org/spreadsheetml/2006/main">
  <c r="B204" i="49" l="1"/>
  <c r="B23" i="49"/>
  <c r="B85" i="28"/>
  <c r="B88" i="28" s="1"/>
  <c r="B75" i="28"/>
  <c r="B89" i="28"/>
  <c r="B87" i="28"/>
  <c r="B86" i="28"/>
  <c r="B76" i="28"/>
  <c r="B74" i="28"/>
  <c r="B8" i="28"/>
  <c r="B7" i="28"/>
  <c r="B5" i="28"/>
  <c r="B6" i="28"/>
  <c r="B4" i="28"/>
  <c r="B3" i="28"/>
  <c r="G223" i="49"/>
  <c r="C186" i="49"/>
  <c r="C192" i="49"/>
  <c r="C163" i="49"/>
  <c r="C162" i="49"/>
  <c r="C161" i="49"/>
  <c r="B160" i="49"/>
  <c r="B115" i="28"/>
  <c r="B27" i="49"/>
  <c r="B149" i="28"/>
  <c r="C180" i="49"/>
  <c r="C179" i="49"/>
  <c r="C178" i="49"/>
  <c r="C177" i="49"/>
  <c r="B178" i="49"/>
  <c r="B180" i="49" s="1"/>
  <c r="B177" i="49"/>
  <c r="B179" i="49" s="1"/>
  <c r="B161" i="49"/>
  <c r="B162" i="49" s="1"/>
  <c r="B159" i="49"/>
  <c r="B169" i="49" s="1"/>
  <c r="B132" i="49"/>
  <c r="B145" i="49"/>
  <c r="F145" i="49" s="1"/>
  <c r="B140" i="49"/>
  <c r="F140" i="49" s="1"/>
  <c r="B139" i="49"/>
  <c r="F139" i="49" s="1"/>
  <c r="B124" i="49"/>
  <c r="B123" i="49"/>
  <c r="B119" i="49"/>
  <c r="B117" i="49"/>
  <c r="B116" i="49"/>
  <c r="B115" i="49"/>
  <c r="B106" i="49"/>
  <c r="B98" i="49"/>
  <c r="F98" i="49" s="1"/>
  <c r="B97" i="49"/>
  <c r="F97" i="49" s="1"/>
  <c r="B94" i="49"/>
  <c r="F94" i="49" s="1"/>
  <c r="B93" i="49"/>
  <c r="F93" i="49" s="1"/>
  <c r="B92" i="49"/>
  <c r="F92" i="49" s="1"/>
  <c r="B91" i="49"/>
  <c r="F91" i="49" s="1"/>
  <c r="B12" i="49"/>
  <c r="B10" i="49"/>
  <c r="B8" i="49"/>
  <c r="B7" i="49"/>
  <c r="B6" i="49"/>
  <c r="B4" i="49"/>
  <c r="B3" i="49"/>
  <c r="B31" i="49"/>
  <c r="B30" i="49"/>
  <c r="B163" i="49" l="1"/>
  <c r="H74" i="33" l="1"/>
  <c r="I250" i="33"/>
  <c r="W167" i="38"/>
  <c r="W32" i="38"/>
  <c r="W26" i="38"/>
  <c r="L28" i="38"/>
  <c r="L27" i="38"/>
  <c r="J164" i="38"/>
  <c r="G233" i="33"/>
  <c r="G234" i="33"/>
  <c r="G235" i="33"/>
  <c r="G236" i="33"/>
  <c r="H236" i="33" s="1"/>
  <c r="B56" i="39" s="1"/>
  <c r="G152" i="33"/>
  <c r="H152" i="33" s="1"/>
  <c r="G153" i="33"/>
  <c r="H153" i="33" s="1"/>
  <c r="H154" i="33"/>
  <c r="H155" i="33"/>
  <c r="H156" i="33"/>
  <c r="H157" i="33"/>
  <c r="H158" i="33"/>
  <c r="H159" i="33"/>
  <c r="H160" i="33"/>
  <c r="H161" i="33"/>
  <c r="H162" i="33"/>
  <c r="H163" i="33"/>
  <c r="H164" i="33"/>
  <c r="H165" i="33"/>
  <c r="H166" i="33"/>
  <c r="H167" i="33"/>
  <c r="H168" i="33"/>
  <c r="H169" i="33"/>
  <c r="H172" i="33"/>
  <c r="H173" i="33"/>
  <c r="G151" i="33"/>
  <c r="M186" i="33"/>
  <c r="AT79" i="38"/>
  <c r="E79" i="38"/>
  <c r="H34" i="38"/>
  <c r="BL207" i="38"/>
  <c r="B46" i="39"/>
  <c r="B16" i="39"/>
  <c r="K18" i="33"/>
  <c r="K19" i="33"/>
  <c r="G16" i="33"/>
  <c r="G13" i="33"/>
  <c r="BL193" i="38"/>
  <c r="C193" i="38"/>
  <c r="B193" i="38"/>
  <c r="H193" i="33"/>
  <c r="G193" i="33"/>
  <c r="I135" i="33"/>
  <c r="G53" i="33"/>
  <c r="G52" i="33"/>
  <c r="G231" i="33"/>
  <c r="G230" i="33"/>
  <c r="F246" i="21" s="1"/>
  <c r="F250" i="21"/>
  <c r="F248" i="21"/>
  <c r="F245" i="21"/>
  <c r="F244" i="21"/>
  <c r="F243" i="21"/>
  <c r="F242" i="21"/>
  <c r="F241" i="21"/>
  <c r="F240" i="21"/>
  <c r="F239" i="21"/>
  <c r="F238" i="21"/>
  <c r="F237" i="21"/>
  <c r="F236" i="21"/>
  <c r="F235" i="21"/>
  <c r="B79" i="28" s="1"/>
  <c r="B148" i="28"/>
  <c r="C30" i="40"/>
  <c r="I245" i="33"/>
  <c r="B58" i="39" s="1"/>
  <c r="B57" i="39"/>
  <c r="B55" i="39"/>
  <c r="B54" i="39"/>
  <c r="B53" i="39"/>
  <c r="B52" i="39"/>
  <c r="B51" i="39"/>
  <c r="B49" i="39"/>
  <c r="B50" i="39"/>
  <c r="C28" i="40"/>
  <c r="G347" i="33"/>
  <c r="H347" i="33" s="1"/>
  <c r="H346" i="33"/>
  <c r="G346" i="33"/>
  <c r="G222" i="33"/>
  <c r="G179" i="33"/>
  <c r="G187" i="33"/>
  <c r="G191" i="33"/>
  <c r="G190" i="33"/>
  <c r="G189" i="33"/>
  <c r="G188" i="33"/>
  <c r="G192" i="33"/>
  <c r="G67" i="33"/>
  <c r="G66" i="33"/>
  <c r="G65" i="33"/>
  <c r="G64" i="33"/>
  <c r="G63" i="33"/>
  <c r="G62" i="33"/>
  <c r="G61" i="33"/>
  <c r="K72" i="33" s="1"/>
  <c r="G60" i="33"/>
  <c r="G59" i="33"/>
  <c r="G58" i="33"/>
  <c r="G57" i="33"/>
  <c r="G56" i="33"/>
  <c r="G55" i="33"/>
  <c r="G54" i="33"/>
  <c r="J235" i="33" l="1"/>
  <c r="K153" i="33" s="1"/>
  <c r="B76" i="49" s="1"/>
  <c r="F76" i="49" s="1"/>
  <c r="C29" i="40"/>
  <c r="G147" i="33"/>
  <c r="B30" i="39" l="1"/>
  <c r="C22" i="40"/>
  <c r="G115" i="33"/>
  <c r="G114" i="33"/>
  <c r="G86" i="33"/>
  <c r="H86" i="33"/>
  <c r="G11" i="33"/>
  <c r="G10" i="33"/>
  <c r="G17" i="33"/>
  <c r="F7" i="21"/>
  <c r="I3" i="33"/>
  <c r="H3" i="33"/>
  <c r="B171" i="49" s="1"/>
  <c r="F3" i="21"/>
  <c r="J2" i="2" s="1"/>
  <c r="K147" i="33"/>
  <c r="C41" i="40" s="1"/>
  <c r="K146" i="33"/>
  <c r="K145" i="33"/>
  <c r="K144" i="33"/>
  <c r="C37" i="40" s="1"/>
  <c r="K143" i="33"/>
  <c r="C36" i="40" s="1"/>
  <c r="K142" i="33"/>
  <c r="C35" i="40" s="1"/>
  <c r="K141" i="33"/>
  <c r="C34" i="40" s="1"/>
  <c r="G248" i="33"/>
  <c r="G247" i="33"/>
  <c r="G246" i="33"/>
  <c r="G245" i="33"/>
  <c r="G244" i="33"/>
  <c r="G243" i="33"/>
  <c r="G242" i="33"/>
  <c r="H192" i="33"/>
  <c r="H191" i="33"/>
  <c r="BM183" i="33"/>
  <c r="BK183" i="33"/>
  <c r="BI183" i="33"/>
  <c r="BH183" i="33"/>
  <c r="BG183" i="33"/>
  <c r="BF183" i="33"/>
  <c r="BE183" i="33"/>
  <c r="BD183" i="33"/>
  <c r="BC183" i="33"/>
  <c r="BA183" i="33"/>
  <c r="AZ183" i="33"/>
  <c r="AF183" i="33"/>
  <c r="N183" i="33"/>
  <c r="BO182" i="33"/>
  <c r="BL182" i="33"/>
  <c r="BK182" i="33"/>
  <c r="BJ182" i="33"/>
  <c r="BI182" i="33"/>
  <c r="BH182" i="33"/>
  <c r="BF182" i="33"/>
  <c r="BE182" i="33"/>
  <c r="BB182" i="33"/>
  <c r="BA182" i="33"/>
  <c r="AZ182" i="33"/>
  <c r="AY182" i="33"/>
  <c r="AW182" i="33"/>
  <c r="AV182" i="33"/>
  <c r="AS182" i="33"/>
  <c r="AR182" i="33"/>
  <c r="AQ182" i="33"/>
  <c r="AK182" i="33"/>
  <c r="AJ182" i="33"/>
  <c r="AI182" i="33"/>
  <c r="AH182" i="33"/>
  <c r="AG182" i="33"/>
  <c r="AF182" i="33"/>
  <c r="AE182" i="33"/>
  <c r="AD182" i="33"/>
  <c r="AC182" i="33"/>
  <c r="AA182" i="33"/>
  <c r="Z182" i="33"/>
  <c r="X182" i="33"/>
  <c r="R182" i="33"/>
  <c r="O182" i="33"/>
  <c r="G101" i="33"/>
  <c r="I100" i="33"/>
  <c r="G100" i="33"/>
  <c r="I73" i="33"/>
  <c r="I72" i="33"/>
  <c r="F231" i="21"/>
  <c r="F206" i="21"/>
  <c r="F203" i="21"/>
  <c r="F200" i="21"/>
  <c r="F197" i="21"/>
  <c r="F194" i="21"/>
  <c r="F191" i="21"/>
  <c r="F188" i="21"/>
  <c r="F154" i="21"/>
  <c r="F151" i="21"/>
  <c r="F148" i="21"/>
  <c r="F146" i="21"/>
  <c r="F145" i="21"/>
  <c r="F144" i="21"/>
  <c r="F143" i="21"/>
  <c r="F142" i="21"/>
  <c r="F141" i="21"/>
  <c r="F125" i="21"/>
  <c r="F122" i="21"/>
  <c r="F120" i="21"/>
  <c r="F119" i="21"/>
  <c r="F118" i="21"/>
  <c r="F117" i="21"/>
  <c r="F113" i="21"/>
  <c r="F110" i="21"/>
  <c r="F107" i="21"/>
  <c r="F104" i="21"/>
  <c r="F101" i="21"/>
  <c r="F98" i="21"/>
  <c r="F95" i="21"/>
  <c r="F92" i="21"/>
  <c r="F89" i="21"/>
  <c r="F86" i="21"/>
  <c r="F82" i="21"/>
  <c r="F74" i="21"/>
  <c r="F71" i="21"/>
  <c r="F68" i="21"/>
  <c r="F65" i="21"/>
  <c r="F62" i="21"/>
  <c r="F53" i="21"/>
  <c r="F59" i="21"/>
  <c r="F50" i="21"/>
  <c r="F47" i="21"/>
  <c r="F44" i="21"/>
  <c r="F41" i="21"/>
  <c r="F38" i="21"/>
  <c r="F35" i="21"/>
  <c r="F32" i="21"/>
  <c r="F29" i="21"/>
  <c r="F26" i="21"/>
  <c r="F23" i="21"/>
  <c r="F20" i="21"/>
  <c r="F17" i="21"/>
  <c r="F14" i="21"/>
  <c r="F11" i="21"/>
  <c r="G254" i="33"/>
  <c r="G211" i="33"/>
  <c r="G210" i="33"/>
  <c r="G206" i="33"/>
  <c r="G205" i="33"/>
  <c r="G204" i="33"/>
  <c r="G203" i="33"/>
  <c r="G202" i="33"/>
  <c r="G201" i="33"/>
  <c r="G200" i="33"/>
  <c r="G199" i="33"/>
  <c r="G198" i="33"/>
  <c r="G197" i="33"/>
  <c r="G196" i="33"/>
  <c r="G195" i="33"/>
  <c r="G194" i="33"/>
  <c r="G186" i="33"/>
  <c r="G184" i="33"/>
  <c r="G183" i="33"/>
  <c r="G182" i="33"/>
  <c r="G180" i="33"/>
  <c r="G178" i="33"/>
  <c r="G177" i="33"/>
  <c r="I170" i="33"/>
  <c r="G174" i="33"/>
  <c r="H174" i="33" s="1"/>
  <c r="G173" i="33"/>
  <c r="G172" i="33"/>
  <c r="G171" i="33"/>
  <c r="H171" i="33" s="1"/>
  <c r="G170" i="33"/>
  <c r="H170" i="33" s="1"/>
  <c r="G169" i="33"/>
  <c r="G168" i="33"/>
  <c r="G165" i="33"/>
  <c r="G164" i="33"/>
  <c r="G163" i="33"/>
  <c r="G162" i="33"/>
  <c r="G161" i="33"/>
  <c r="G160" i="33"/>
  <c r="G159" i="33"/>
  <c r="G158" i="33"/>
  <c r="G157" i="33"/>
  <c r="G156" i="33"/>
  <c r="G155" i="33"/>
  <c r="G154" i="33"/>
  <c r="G150" i="33"/>
  <c r="G149" i="33"/>
  <c r="H142" i="33"/>
  <c r="H141" i="33"/>
  <c r="H140" i="33"/>
  <c r="H139" i="33"/>
  <c r="H138" i="33"/>
  <c r="H137" i="33"/>
  <c r="K139" i="33" s="1"/>
  <c r="E142" i="38" s="1"/>
  <c r="G142" i="33"/>
  <c r="G141" i="33"/>
  <c r="G140" i="33"/>
  <c r="G139" i="33"/>
  <c r="G138" i="33"/>
  <c r="G137" i="33"/>
  <c r="G136" i="33"/>
  <c r="I136" i="33" s="1"/>
  <c r="G135" i="33"/>
  <c r="I131" i="33"/>
  <c r="I130" i="33"/>
  <c r="I129" i="33"/>
  <c r="I128" i="33"/>
  <c r="I127" i="33"/>
  <c r="I126" i="33"/>
  <c r="I125" i="33"/>
  <c r="I124" i="33"/>
  <c r="I123" i="33"/>
  <c r="I122" i="33"/>
  <c r="I121" i="33"/>
  <c r="H121" i="33"/>
  <c r="G131" i="33"/>
  <c r="H131" i="33" s="1"/>
  <c r="G130" i="33"/>
  <c r="H130" i="33" s="1"/>
  <c r="G129" i="33"/>
  <c r="H129" i="33" s="1"/>
  <c r="G128" i="33"/>
  <c r="H128" i="33" s="1"/>
  <c r="G127" i="33"/>
  <c r="H127" i="33" s="1"/>
  <c r="G126" i="33"/>
  <c r="H126" i="33" s="1"/>
  <c r="G125" i="33"/>
  <c r="H125" i="33" s="1"/>
  <c r="G124" i="33"/>
  <c r="H124" i="33" s="1"/>
  <c r="G123" i="33"/>
  <c r="H123" i="33" s="1"/>
  <c r="G122" i="33"/>
  <c r="H122" i="33" s="1"/>
  <c r="AF109" i="33" s="1"/>
  <c r="G113" i="33"/>
  <c r="G112" i="33"/>
  <c r="H112" i="33" s="1"/>
  <c r="G111" i="33"/>
  <c r="H111" i="33" s="1"/>
  <c r="G110" i="33"/>
  <c r="H110" i="33" s="1"/>
  <c r="G109" i="33"/>
  <c r="H109" i="33" s="1"/>
  <c r="I113" i="33"/>
  <c r="I112" i="33"/>
  <c r="I111" i="33"/>
  <c r="I110" i="33"/>
  <c r="I109" i="33"/>
  <c r="I108" i="33"/>
  <c r="H113" i="33"/>
  <c r="H108" i="33"/>
  <c r="H100" i="33"/>
  <c r="G108" i="33"/>
  <c r="G107" i="33"/>
  <c r="G106" i="33"/>
  <c r="G105" i="33"/>
  <c r="G104" i="33"/>
  <c r="G103" i="33"/>
  <c r="G102" i="33"/>
  <c r="G99" i="33"/>
  <c r="G98" i="33"/>
  <c r="G97" i="33"/>
  <c r="G96" i="33"/>
  <c r="G95" i="33"/>
  <c r="G94" i="33"/>
  <c r="G93" i="33"/>
  <c r="G91" i="33"/>
  <c r="I91" i="33"/>
  <c r="C91" i="38" s="1"/>
  <c r="H91" i="33"/>
  <c r="H83" i="33"/>
  <c r="H73" i="33"/>
  <c r="H72" i="33"/>
  <c r="H63" i="33"/>
  <c r="H64" i="33"/>
  <c r="H65" i="33"/>
  <c r="H66" i="33"/>
  <c r="H67" i="33"/>
  <c r="H71" i="33"/>
  <c r="H70" i="33"/>
  <c r="H69" i="33"/>
  <c r="H68" i="33"/>
  <c r="H75" i="33"/>
  <c r="H81" i="33"/>
  <c r="H80" i="33"/>
  <c r="H79" i="33"/>
  <c r="H78" i="33"/>
  <c r="H77" i="33"/>
  <c r="H82" i="33"/>
  <c r="G73" i="33"/>
  <c r="G72" i="33"/>
  <c r="G71" i="33"/>
  <c r="G70" i="33"/>
  <c r="G69" i="33"/>
  <c r="G68" i="33"/>
  <c r="G83" i="33"/>
  <c r="G82" i="33"/>
  <c r="G81" i="33"/>
  <c r="G80" i="33"/>
  <c r="G79" i="33"/>
  <c r="G78" i="33"/>
  <c r="G77" i="33"/>
  <c r="G75" i="33"/>
  <c r="G74" i="33"/>
  <c r="H51" i="33"/>
  <c r="H50" i="33"/>
  <c r="H49" i="33"/>
  <c r="H48" i="33"/>
  <c r="H47" i="33"/>
  <c r="H46" i="33"/>
  <c r="H45" i="33"/>
  <c r="H44" i="33"/>
  <c r="H43" i="33"/>
  <c r="H42" i="33"/>
  <c r="H41" i="33"/>
  <c r="H40" i="33"/>
  <c r="H39" i="33"/>
  <c r="H38" i="33"/>
  <c r="H37" i="33"/>
  <c r="H36" i="33"/>
  <c r="H35" i="33"/>
  <c r="H34" i="33"/>
  <c r="H33" i="33"/>
  <c r="H32" i="33"/>
  <c r="H31" i="33"/>
  <c r="H30" i="33"/>
  <c r="H29" i="33"/>
  <c r="H28" i="33"/>
  <c r="H27" i="33"/>
  <c r="H26" i="33"/>
  <c r="H25" i="33"/>
  <c r="H24" i="33"/>
  <c r="H23" i="33"/>
  <c r="H22" i="33"/>
  <c r="H2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51" i="33"/>
  <c r="I51" i="33"/>
  <c r="I50" i="33"/>
  <c r="I49" i="33"/>
  <c r="I48" i="33"/>
  <c r="I47" i="33"/>
  <c r="I46" i="33"/>
  <c r="I45" i="33"/>
  <c r="I44" i="33"/>
  <c r="I43" i="33"/>
  <c r="I42" i="33"/>
  <c r="I41" i="33"/>
  <c r="I40" i="33"/>
  <c r="I39" i="33"/>
  <c r="I38" i="33"/>
  <c r="I37" i="33"/>
  <c r="I36" i="33"/>
  <c r="I35" i="33"/>
  <c r="I34" i="33"/>
  <c r="I33" i="33"/>
  <c r="I32" i="33"/>
  <c r="I31" i="33"/>
  <c r="I30" i="33"/>
  <c r="I29" i="33"/>
  <c r="I28" i="33"/>
  <c r="I27" i="33"/>
  <c r="I26" i="33"/>
  <c r="I25" i="33"/>
  <c r="I24" i="33"/>
  <c r="I23" i="33"/>
  <c r="I22" i="33"/>
  <c r="H61" i="33"/>
  <c r="H60" i="33"/>
  <c r="H59" i="33"/>
  <c r="H58" i="33"/>
  <c r="H57" i="33"/>
  <c r="H56" i="33"/>
  <c r="H55" i="33"/>
  <c r="H54" i="33"/>
  <c r="H53" i="33"/>
  <c r="H52" i="33"/>
  <c r="H62" i="33"/>
  <c r="G19" i="33"/>
  <c r="G18" i="33"/>
  <c r="G15" i="33"/>
  <c r="G14" i="33"/>
  <c r="G9" i="33"/>
  <c r="G8" i="33"/>
  <c r="C38" i="40" l="1"/>
  <c r="B95" i="49"/>
  <c r="F95" i="49" s="1"/>
  <c r="C40" i="40"/>
  <c r="K96" i="33"/>
  <c r="K58" i="33"/>
  <c r="K57" i="33"/>
  <c r="B138" i="49" s="1"/>
  <c r="F138" i="49" s="1"/>
  <c r="K60" i="33"/>
  <c r="I87" i="33"/>
  <c r="K70" i="33" s="1"/>
  <c r="B137" i="49" s="1"/>
  <c r="F137" i="49" s="1"/>
  <c r="H90" i="33"/>
  <c r="H89" i="33"/>
  <c r="H88" i="33"/>
  <c r="H87" i="33"/>
  <c r="H85" i="33"/>
  <c r="H84" i="33"/>
  <c r="F12" i="42"/>
  <c r="D24" i="42"/>
  <c r="D25" i="42"/>
  <c r="K81" i="33" l="1"/>
  <c r="L81" i="33" s="1"/>
  <c r="AR88" i="33" s="1"/>
  <c r="K83" i="33"/>
  <c r="C115" i="38"/>
  <c r="C114" i="38"/>
  <c r="O65" i="42"/>
  <c r="O32" i="42"/>
  <c r="O25" i="42"/>
  <c r="O24" i="42"/>
  <c r="G90" i="33"/>
  <c r="G89" i="33"/>
  <c r="G88" i="33"/>
  <c r="G87" i="33"/>
  <c r="G85" i="33"/>
  <c r="G84" i="33"/>
  <c r="B142" i="49" l="1"/>
  <c r="F142" i="49" s="1"/>
  <c r="L83" i="33"/>
  <c r="AQ87" i="33" s="1"/>
  <c r="B136" i="49"/>
  <c r="F136" i="49" s="1"/>
  <c r="AF87" i="33"/>
  <c r="P24" i="42"/>
  <c r="P65" i="42"/>
  <c r="P32" i="42"/>
  <c r="P25" i="42"/>
  <c r="B104" i="28"/>
  <c r="B145" i="28"/>
  <c r="B144" i="28"/>
  <c r="B110" i="28"/>
  <c r="B109" i="28"/>
  <c r="B108" i="28"/>
  <c r="B107" i="28"/>
  <c r="B106" i="28"/>
  <c r="B143" i="28"/>
  <c r="B135" i="28"/>
  <c r="B142" i="28"/>
  <c r="B141" i="28"/>
  <c r="B140" i="28"/>
  <c r="B139" i="28"/>
  <c r="B138" i="28"/>
  <c r="B137" i="28"/>
  <c r="B136" i="28"/>
  <c r="B134" i="28"/>
  <c r="B133" i="28"/>
  <c r="B132" i="28"/>
  <c r="B131" i="28"/>
  <c r="B130" i="28"/>
  <c r="B129" i="28"/>
  <c r="B128" i="28"/>
  <c r="B127" i="28"/>
  <c r="B126" i="28"/>
  <c r="B125" i="28"/>
  <c r="B124" i="28"/>
  <c r="B123" i="28"/>
  <c r="B122" i="28"/>
  <c r="B121" i="28"/>
  <c r="B120" i="28"/>
  <c r="B119" i="28"/>
  <c r="B118" i="28"/>
  <c r="B116" i="28"/>
  <c r="B114" i="28"/>
  <c r="B113" i="28"/>
  <c r="B117" i="28"/>
  <c r="B15" i="38"/>
  <c r="C67" i="38"/>
  <c r="BF67" i="38" s="1"/>
  <c r="BF207" i="38" s="1"/>
  <c r="C66" i="38"/>
  <c r="BH66" i="38" s="1"/>
  <c r="BH207" i="38" s="1"/>
  <c r="BH208" i="38" s="1"/>
  <c r="BE207" i="38"/>
  <c r="B67" i="38"/>
  <c r="B66" i="38"/>
  <c r="B192" i="38"/>
  <c r="B191" i="38"/>
  <c r="B190" i="38"/>
  <c r="B189" i="38"/>
  <c r="B188" i="38"/>
  <c r="C188" i="38"/>
  <c r="C190" i="38"/>
  <c r="BJ190" i="38" s="1"/>
  <c r="BJ207" i="38" s="1"/>
  <c r="BJ208" i="38" s="1"/>
  <c r="C189" i="38"/>
  <c r="BI189" i="38" s="1"/>
  <c r="BI207" i="38" s="1"/>
  <c r="BI208" i="38" s="1"/>
  <c r="H147" i="33"/>
  <c r="C100" i="22"/>
  <c r="F115" i="22"/>
  <c r="F118" i="22" s="1"/>
  <c r="F117" i="22"/>
  <c r="F116" i="22"/>
  <c r="B178" i="38"/>
  <c r="C178" i="38"/>
  <c r="G219" i="33"/>
  <c r="G218" i="33"/>
  <c r="D23" i="42"/>
  <c r="O23" i="42" s="1"/>
  <c r="P23" i="42" s="1"/>
  <c r="F23" i="42"/>
  <c r="G23" i="42" s="1"/>
  <c r="F38" i="42"/>
  <c r="F35" i="42"/>
  <c r="F22" i="42"/>
  <c r="F20" i="42"/>
  <c r="F32" i="42"/>
  <c r="F31" i="42"/>
  <c r="F30" i="42"/>
  <c r="F29" i="42"/>
  <c r="F28" i="42"/>
  <c r="F27" i="42"/>
  <c r="F26" i="42"/>
  <c r="F25" i="42"/>
  <c r="C25" i="40"/>
  <c r="C26" i="40"/>
  <c r="BO186" i="33"/>
  <c r="C192" i="38"/>
  <c r="BM192" i="38" s="1"/>
  <c r="BM207" i="38" s="1"/>
  <c r="C191" i="38"/>
  <c r="BK191" i="38" s="1"/>
  <c r="BK207" i="38" s="1"/>
  <c r="BK208" i="38" s="1"/>
  <c r="D2" i="22"/>
  <c r="F65" i="42"/>
  <c r="F64" i="42"/>
  <c r="F33" i="42"/>
  <c r="B112" i="28"/>
  <c r="B99" i="28"/>
  <c r="B111" i="28"/>
  <c r="B105" i="28"/>
  <c r="I120" i="33"/>
  <c r="C120" i="38" s="1"/>
  <c r="I119" i="33"/>
  <c r="C119" i="38" s="1"/>
  <c r="I118" i="33"/>
  <c r="C118" i="38" s="1"/>
  <c r="I117" i="33"/>
  <c r="C117" i="38" s="1"/>
  <c r="I116" i="33"/>
  <c r="C116" i="38" s="1"/>
  <c r="C121" i="38"/>
  <c r="C113" i="38"/>
  <c r="C112" i="38"/>
  <c r="C111" i="38"/>
  <c r="C110" i="38"/>
  <c r="C109" i="38"/>
  <c r="AC46" i="33"/>
  <c r="C131" i="38"/>
  <c r="C130" i="38"/>
  <c r="C129" i="38"/>
  <c r="Z129" i="38" s="1"/>
  <c r="C128" i="38"/>
  <c r="C127" i="38"/>
  <c r="C126" i="38"/>
  <c r="C125" i="38"/>
  <c r="C124" i="38"/>
  <c r="C123" i="38"/>
  <c r="C122" i="38"/>
  <c r="F24" i="42"/>
  <c r="C99" i="22"/>
  <c r="C98" i="22"/>
  <c r="AP87" i="33" l="1"/>
  <c r="AG87" i="33"/>
  <c r="M23" i="42"/>
  <c r="N23" i="42" s="1"/>
  <c r="E23" i="45"/>
  <c r="B14" i="39"/>
  <c r="D98" i="22"/>
  <c r="BF186" i="33"/>
  <c r="C100" i="38"/>
  <c r="BM100" i="33"/>
  <c r="CD23" i="38"/>
  <c r="BE186" i="33"/>
  <c r="BG186" i="33"/>
  <c r="BH186" i="33"/>
  <c r="BI186" i="33"/>
  <c r="AZ186" i="33"/>
  <c r="BJ186" i="33"/>
  <c r="BC186" i="33"/>
  <c r="BL186" i="33"/>
  <c r="BD186" i="33"/>
  <c r="D33" i="42"/>
  <c r="I178" i="38"/>
  <c r="F178" i="38"/>
  <c r="H23" i="42"/>
  <c r="I23" i="42" s="1"/>
  <c r="J23" i="42" s="1"/>
  <c r="BK186" i="33"/>
  <c r="BA186" i="33"/>
  <c r="BM186" i="33"/>
  <c r="BB186" i="33"/>
  <c r="H246" i="33"/>
  <c r="H243" i="33"/>
  <c r="H242" i="33"/>
  <c r="H248" i="33"/>
  <c r="H247" i="33"/>
  <c r="H245" i="33"/>
  <c r="H244" i="33"/>
  <c r="H249" i="33"/>
  <c r="F247" i="21"/>
  <c r="D7" i="42"/>
  <c r="D31" i="42"/>
  <c r="D30" i="42"/>
  <c r="D29" i="42"/>
  <c r="D28" i="42"/>
  <c r="D27" i="42"/>
  <c r="D26" i="42"/>
  <c r="G25" i="42"/>
  <c r="G24" i="42"/>
  <c r="E24" i="45" s="1"/>
  <c r="D32" i="42"/>
  <c r="G32" i="42" s="1"/>
  <c r="E32" i="45" s="1"/>
  <c r="D38" i="42"/>
  <c r="D36" i="42"/>
  <c r="D65" i="42"/>
  <c r="G65" i="42" s="1"/>
  <c r="D64" i="42"/>
  <c r="D22" i="42"/>
  <c r="F57" i="42"/>
  <c r="F56" i="42"/>
  <c r="AC185" i="33"/>
  <c r="C18" i="42" s="1"/>
  <c r="O18" i="42" s="1"/>
  <c r="F6" i="21"/>
  <c r="J30" i="2"/>
  <c r="F232" i="21"/>
  <c r="F229" i="21"/>
  <c r="F224" i="21"/>
  <c r="F219" i="21"/>
  <c r="F214" i="21"/>
  <c r="F209" i="21"/>
  <c r="F135" i="21"/>
  <c r="F130" i="21"/>
  <c r="F81" i="21"/>
  <c r="F80" i="21"/>
  <c r="F79" i="21"/>
  <c r="F78" i="21"/>
  <c r="F77" i="21"/>
  <c r="C71" i="38"/>
  <c r="K71" i="38" s="1"/>
  <c r="AX91" i="38"/>
  <c r="B91" i="38"/>
  <c r="D35" i="42"/>
  <c r="BL26" i="33"/>
  <c r="BJ22" i="33"/>
  <c r="N48" i="33"/>
  <c r="AH39" i="33"/>
  <c r="S38" i="33"/>
  <c r="B102" i="28"/>
  <c r="B101" i="28"/>
  <c r="M65" i="42" l="1"/>
  <c r="N65" i="42" s="1"/>
  <c r="E65" i="45"/>
  <c r="M25" i="42"/>
  <c r="N25" i="42" s="1"/>
  <c r="E25" i="45"/>
  <c r="B147" i="28"/>
  <c r="C27" i="40"/>
  <c r="K62" i="33"/>
  <c r="I54" i="33" s="1"/>
  <c r="K63" i="33"/>
  <c r="I55" i="33" s="1"/>
  <c r="G215" i="33"/>
  <c r="C73" i="38"/>
  <c r="C72" i="38"/>
  <c r="G31" i="42"/>
  <c r="O31" i="42"/>
  <c r="P31" i="42" s="1"/>
  <c r="G26" i="42"/>
  <c r="E26" i="45" s="1"/>
  <c r="O26" i="42"/>
  <c r="P26" i="42" s="1"/>
  <c r="G27" i="42"/>
  <c r="O27" i="42"/>
  <c r="P27" i="42" s="1"/>
  <c r="G30" i="42"/>
  <c r="O30" i="42"/>
  <c r="P30" i="42" s="1"/>
  <c r="G28" i="42"/>
  <c r="O28" i="42"/>
  <c r="P28" i="42" s="1"/>
  <c r="G29" i="42"/>
  <c r="O29" i="42"/>
  <c r="P29" i="42" s="1"/>
  <c r="H215" i="33"/>
  <c r="M24" i="42"/>
  <c r="N24" i="42" s="1"/>
  <c r="CE24" i="38"/>
  <c r="G18" i="42"/>
  <c r="P18" i="42"/>
  <c r="H32" i="42"/>
  <c r="I32" i="42" s="1"/>
  <c r="J32" i="42" s="1"/>
  <c r="M32" i="42"/>
  <c r="N32" i="42" s="1"/>
  <c r="F2" i="42"/>
  <c r="D2" i="42"/>
  <c r="G216" i="33"/>
  <c r="B29" i="49" s="1"/>
  <c r="K3" i="38"/>
  <c r="H216" i="33"/>
  <c r="L3" i="38"/>
  <c r="BS3" i="38"/>
  <c r="AP3" i="38"/>
  <c r="R184" i="33"/>
  <c r="N3" i="38"/>
  <c r="C71" i="22"/>
  <c r="C16" i="40"/>
  <c r="T184" i="33"/>
  <c r="J242" i="33"/>
  <c r="H24" i="42"/>
  <c r="I24" i="42" s="1"/>
  <c r="H25" i="42"/>
  <c r="I25" i="42" s="1"/>
  <c r="H219" i="33"/>
  <c r="D6" i="42" s="1"/>
  <c r="BE184" i="33"/>
  <c r="AZ184" i="33"/>
  <c r="BM184" i="33"/>
  <c r="BF184" i="33"/>
  <c r="BG184" i="33"/>
  <c r="U184" i="33"/>
  <c r="O184" i="33"/>
  <c r="H65" i="42"/>
  <c r="I65" i="42" s="1"/>
  <c r="J65" i="42" s="1"/>
  <c r="J31" i="2"/>
  <c r="J29" i="2"/>
  <c r="J44" i="2"/>
  <c r="J43" i="2"/>
  <c r="J23" i="2"/>
  <c r="J24" i="2"/>
  <c r="J25" i="2"/>
  <c r="C9" i="40"/>
  <c r="C15" i="40" s="1"/>
  <c r="B46" i="38"/>
  <c r="B45" i="38"/>
  <c r="B131" i="38"/>
  <c r="B130" i="38"/>
  <c r="B129" i="38"/>
  <c r="B128" i="38"/>
  <c r="B127" i="38"/>
  <c r="B126" i="38"/>
  <c r="B125" i="38"/>
  <c r="B124" i="38"/>
  <c r="B123" i="38"/>
  <c r="B122" i="38"/>
  <c r="B121" i="38"/>
  <c r="B120" i="38"/>
  <c r="B119" i="38"/>
  <c r="B118" i="38"/>
  <c r="B117" i="38"/>
  <c r="B116" i="38"/>
  <c r="B115" i="38"/>
  <c r="B114" i="38"/>
  <c r="B113" i="38"/>
  <c r="B112" i="38"/>
  <c r="B111" i="38"/>
  <c r="B110" i="38"/>
  <c r="B109" i="38"/>
  <c r="B108" i="38"/>
  <c r="B106" i="38"/>
  <c r="B105" i="38"/>
  <c r="B104" i="38"/>
  <c r="B103" i="38"/>
  <c r="B102" i="38"/>
  <c r="B101" i="38"/>
  <c r="B100" i="38"/>
  <c r="B99" i="38"/>
  <c r="B98" i="38"/>
  <c r="B97" i="38"/>
  <c r="B96" i="38"/>
  <c r="B95" i="38"/>
  <c r="B94" i="38"/>
  <c r="B93" i="38"/>
  <c r="B90" i="38"/>
  <c r="B89" i="38"/>
  <c r="B88" i="38"/>
  <c r="B87" i="38"/>
  <c r="B86" i="38"/>
  <c r="B85" i="38"/>
  <c r="B84" i="38"/>
  <c r="B83" i="38"/>
  <c r="B82" i="38"/>
  <c r="B81" i="38"/>
  <c r="B80" i="38"/>
  <c r="B79" i="38"/>
  <c r="B78" i="38"/>
  <c r="B77" i="38"/>
  <c r="B76" i="38"/>
  <c r="B75" i="38"/>
  <c r="B74" i="38"/>
  <c r="B73" i="38"/>
  <c r="B72" i="38"/>
  <c r="B71" i="38"/>
  <c r="B70" i="38"/>
  <c r="B69" i="38"/>
  <c r="B68" i="38"/>
  <c r="B65" i="38"/>
  <c r="B64" i="38"/>
  <c r="B63" i="38"/>
  <c r="B62" i="38"/>
  <c r="B61" i="38"/>
  <c r="B60" i="38"/>
  <c r="B59" i="38"/>
  <c r="B58" i="38"/>
  <c r="B57" i="38"/>
  <c r="B56" i="38"/>
  <c r="B55" i="38"/>
  <c r="B54" i="38"/>
  <c r="B53" i="38"/>
  <c r="B52" i="38"/>
  <c r="B49" i="38"/>
  <c r="B48" i="38"/>
  <c r="B47" i="38"/>
  <c r="B44" i="38"/>
  <c r="B43" i="38"/>
  <c r="B42" i="38"/>
  <c r="B41" i="38"/>
  <c r="B40" i="38"/>
  <c r="B39" i="38"/>
  <c r="B38" i="38"/>
  <c r="B37" i="38"/>
  <c r="B36" i="38"/>
  <c r="B35" i="38"/>
  <c r="B34" i="38"/>
  <c r="B33" i="38"/>
  <c r="B32" i="38"/>
  <c r="B31" i="38"/>
  <c r="B30" i="38"/>
  <c r="B29" i="38"/>
  <c r="B28" i="38"/>
  <c r="B27" i="38"/>
  <c r="B26" i="38"/>
  <c r="B25" i="38"/>
  <c r="B24" i="38"/>
  <c r="B23" i="38"/>
  <c r="B22" i="38"/>
  <c r="B21" i="38"/>
  <c r="B18" i="38"/>
  <c r="B17" i="38"/>
  <c r="B16" i="38"/>
  <c r="B14" i="38"/>
  <c r="B13" i="38"/>
  <c r="B12" i="38"/>
  <c r="B11" i="38"/>
  <c r="B10" i="38"/>
  <c r="B9" i="38"/>
  <c r="B8" i="38"/>
  <c r="B7" i="38"/>
  <c r="B6" i="38"/>
  <c r="B5" i="38"/>
  <c r="B4" i="38"/>
  <c r="B3" i="38"/>
  <c r="B2" i="38"/>
  <c r="B19" i="38"/>
  <c r="C77" i="38"/>
  <c r="C76" i="38"/>
  <c r="C75" i="38"/>
  <c r="C74" i="38"/>
  <c r="C70" i="38"/>
  <c r="C69" i="38"/>
  <c r="B28" i="49" l="1"/>
  <c r="CE26" i="38"/>
  <c r="M29" i="42"/>
  <c r="N29" i="42" s="1"/>
  <c r="E29" i="45"/>
  <c r="M26" i="42"/>
  <c r="N26" i="42" s="1"/>
  <c r="M28" i="42"/>
  <c r="N28" i="42" s="1"/>
  <c r="E28" i="45"/>
  <c r="M31" i="42"/>
  <c r="N31" i="42" s="1"/>
  <c r="E31" i="45"/>
  <c r="M18" i="42"/>
  <c r="N18" i="42" s="1"/>
  <c r="E18" i="45"/>
  <c r="H26" i="42"/>
  <c r="I26" i="42" s="1"/>
  <c r="M30" i="42"/>
  <c r="N30" i="42" s="1"/>
  <c r="E30" i="45"/>
  <c r="M27" i="42"/>
  <c r="N27" i="42" s="1"/>
  <c r="E27" i="45"/>
  <c r="K79" i="33"/>
  <c r="K68" i="33"/>
  <c r="B143" i="49" s="1"/>
  <c r="F143" i="49" s="1"/>
  <c r="B10" i="39"/>
  <c r="B42" i="39" s="1"/>
  <c r="B15" i="39"/>
  <c r="B45" i="39" s="1"/>
  <c r="C83" i="38"/>
  <c r="H31" i="42"/>
  <c r="I31" i="42" s="1"/>
  <c r="J31" i="42" s="1"/>
  <c r="H29" i="42"/>
  <c r="I29" i="42" s="1"/>
  <c r="J29" i="42" s="1"/>
  <c r="H30" i="42"/>
  <c r="I30" i="42" s="1"/>
  <c r="J30" i="42" s="1"/>
  <c r="H28" i="42"/>
  <c r="I28" i="42" s="1"/>
  <c r="J28" i="42" s="1"/>
  <c r="H27" i="42"/>
  <c r="I27" i="42" s="1"/>
  <c r="J27" i="42" s="1"/>
  <c r="H18" i="42"/>
  <c r="I18" i="42" s="1"/>
  <c r="J18" i="42" s="1"/>
  <c r="C78" i="38"/>
  <c r="C23" i="40"/>
  <c r="C24" i="40"/>
  <c r="J26" i="42"/>
  <c r="J25" i="42"/>
  <c r="J24" i="42"/>
  <c r="C68" i="38"/>
  <c r="C45" i="38"/>
  <c r="AN45" i="38" s="1"/>
  <c r="C46" i="38"/>
  <c r="AU46" i="38" s="1"/>
  <c r="B98" i="28"/>
  <c r="B97" i="28"/>
  <c r="B96" i="28"/>
  <c r="B95" i="28"/>
  <c r="B94" i="28"/>
  <c r="B92" i="28"/>
  <c r="B93" i="28"/>
  <c r="B90" i="28"/>
  <c r="E89" i="22"/>
  <c r="C33" i="42"/>
  <c r="O33" i="42" s="1"/>
  <c r="H6" i="33"/>
  <c r="C64" i="38"/>
  <c r="BC64" i="38" s="1"/>
  <c r="C63" i="38"/>
  <c r="BB63" i="38" s="1"/>
  <c r="C62" i="38"/>
  <c r="BD62" i="38" s="1"/>
  <c r="C60" i="38"/>
  <c r="AG85" i="33"/>
  <c r="BA84" i="33"/>
  <c r="N77" i="33"/>
  <c r="BL69" i="33"/>
  <c r="H120" i="33"/>
  <c r="H119" i="33"/>
  <c r="H118" i="33"/>
  <c r="H117" i="33"/>
  <c r="BS117" i="38" s="1"/>
  <c r="H116" i="33"/>
  <c r="AG6" i="33" l="1"/>
  <c r="AG181" i="33" s="1"/>
  <c r="B9" i="49"/>
  <c r="AT6" i="33"/>
  <c r="B48" i="39"/>
  <c r="L79" i="33"/>
  <c r="BJ80" i="33" s="1"/>
  <c r="M79" i="33"/>
  <c r="B12" i="39"/>
  <c r="B44" i="39" s="1"/>
  <c r="L139" i="33"/>
  <c r="P33" i="42"/>
  <c r="G33" i="42"/>
  <c r="E33" i="45" s="1"/>
  <c r="BI71" i="33"/>
  <c r="BI68" i="33"/>
  <c r="BH68" i="33"/>
  <c r="AF68" i="33"/>
  <c r="BL68" i="33"/>
  <c r="AE68" i="33"/>
  <c r="J220" i="33"/>
  <c r="V6" i="33"/>
  <c r="S6" i="33"/>
  <c r="AS6" i="33"/>
  <c r="C7" i="38"/>
  <c r="E7" i="38" s="1"/>
  <c r="L7" i="38" s="1"/>
  <c r="BM6" i="33"/>
  <c r="AK6" i="33"/>
  <c r="Y6" i="33"/>
  <c r="U6" i="33"/>
  <c r="R6" i="33"/>
  <c r="BK6" i="33"/>
  <c r="AJ6" i="33"/>
  <c r="BA6" i="33"/>
  <c r="AF6" i="33"/>
  <c r="BD6" i="33"/>
  <c r="AU6" i="33"/>
  <c r="X6" i="33"/>
  <c r="T6" i="33"/>
  <c r="AR6" i="33"/>
  <c r="AQ6" i="33"/>
  <c r="BE6" i="33"/>
  <c r="AE6" i="33"/>
  <c r="AA6" i="33"/>
  <c r="AL6" i="33"/>
  <c r="AP6" i="33"/>
  <c r="BO6" i="33"/>
  <c r="F45" i="38"/>
  <c r="F46" i="38"/>
  <c r="Z45" i="38"/>
  <c r="C65" i="38"/>
  <c r="AP65" i="38" s="1"/>
  <c r="C54" i="38"/>
  <c r="C170" i="38"/>
  <c r="M170" i="38" s="1"/>
  <c r="AT118" i="38"/>
  <c r="C55" i="38"/>
  <c r="BG55" i="38" s="1"/>
  <c r="C171" i="38"/>
  <c r="Q171" i="38" s="1"/>
  <c r="N78" i="33"/>
  <c r="N181" i="33" s="1"/>
  <c r="N185" i="33" s="1"/>
  <c r="BG77" i="33"/>
  <c r="C56" i="38"/>
  <c r="C172" i="38"/>
  <c r="I172" i="38" s="1"/>
  <c r="C173" i="38"/>
  <c r="AM173" i="38" s="1"/>
  <c r="C168" i="38"/>
  <c r="F168" i="38" s="1"/>
  <c r="C174" i="38"/>
  <c r="AH174" i="38" s="1"/>
  <c r="R87" i="33"/>
  <c r="C169" i="38"/>
  <c r="AU169" i="38" s="1"/>
  <c r="AX70" i="33"/>
  <c r="AW70" i="33"/>
  <c r="V71" i="33"/>
  <c r="Y71" i="33"/>
  <c r="W71" i="33"/>
  <c r="W181" i="33" s="1"/>
  <c r="W185" i="33" s="1"/>
  <c r="C13" i="42" s="1"/>
  <c r="AT72" i="33"/>
  <c r="AS72" i="33"/>
  <c r="BA72" i="33"/>
  <c r="AZ72" i="33"/>
  <c r="BE72" i="33"/>
  <c r="BK72" i="33"/>
  <c r="BB35" i="33"/>
  <c r="C106" i="38"/>
  <c r="BO106" i="33"/>
  <c r="BE73" i="33"/>
  <c r="BA73" i="33"/>
  <c r="AZ73" i="33"/>
  <c r="E90" i="38"/>
  <c r="C61" i="38"/>
  <c r="C52" i="38"/>
  <c r="C53" i="38"/>
  <c r="N117" i="38"/>
  <c r="C57" i="38"/>
  <c r="C58" i="38"/>
  <c r="C59" i="38"/>
  <c r="AK59" i="38" s="1"/>
  <c r="BN117" i="38"/>
  <c r="B91" i="28"/>
  <c r="BC207" i="38"/>
  <c r="BC208" i="38" s="1"/>
  <c r="BD207" i="38"/>
  <c r="BD208" i="38" s="1"/>
  <c r="AJ104" i="33"/>
  <c r="AI102" i="33"/>
  <c r="K73" i="33"/>
  <c r="L74" i="33" s="1"/>
  <c r="AV109" i="33"/>
  <c r="BK109" i="33"/>
  <c r="C5" i="38"/>
  <c r="C35" i="38"/>
  <c r="H114" i="33"/>
  <c r="AJ75" i="38"/>
  <c r="AH47" i="33"/>
  <c r="C105" i="38"/>
  <c r="C103" i="38"/>
  <c r="H98" i="33"/>
  <c r="G167" i="33"/>
  <c r="G166" i="33"/>
  <c r="K149" i="33" s="1"/>
  <c r="B2" i="39" s="1"/>
  <c r="B31" i="39" s="1"/>
  <c r="B18" i="45" s="1"/>
  <c r="G134" i="33"/>
  <c r="G146" i="33"/>
  <c r="G145" i="33"/>
  <c r="G144" i="33"/>
  <c r="I144" i="33" s="1"/>
  <c r="G143" i="33"/>
  <c r="I143" i="33" s="1"/>
  <c r="C88" i="35"/>
  <c r="C85" i="35"/>
  <c r="C83" i="35"/>
  <c r="C82" i="35"/>
  <c r="C81" i="35"/>
  <c r="C80" i="35"/>
  <c r="C79" i="35"/>
  <c r="C78" i="35"/>
  <c r="C77" i="35"/>
  <c r="C72" i="35"/>
  <c r="C70" i="35"/>
  <c r="C69" i="35"/>
  <c r="D68" i="35"/>
  <c r="C68" i="35"/>
  <c r="C67" i="35"/>
  <c r="C66" i="35"/>
  <c r="C64" i="35"/>
  <c r="C63" i="35"/>
  <c r="C62" i="35"/>
  <c r="C61" i="35"/>
  <c r="C60" i="35"/>
  <c r="C58" i="35"/>
  <c r="E57" i="35" s="1"/>
  <c r="E70" i="35" s="1"/>
  <c r="C57" i="35"/>
  <c r="B65" i="35" s="1"/>
  <c r="C65" i="35" s="1"/>
  <c r="L51" i="35"/>
  <c r="L50" i="35"/>
  <c r="D48" i="35"/>
  <c r="H47" i="35"/>
  <c r="D47" i="35"/>
  <c r="D44" i="35"/>
  <c r="L43" i="35"/>
  <c r="J42" i="35"/>
  <c r="D42" i="35"/>
  <c r="J39" i="35"/>
  <c r="F37" i="35"/>
  <c r="D36" i="35"/>
  <c r="D33" i="35"/>
  <c r="K32" i="35"/>
  <c r="D32" i="35"/>
  <c r="L29" i="35"/>
  <c r="H29" i="35"/>
  <c r="H28" i="35"/>
  <c r="H27" i="35"/>
  <c r="H26" i="35"/>
  <c r="H25" i="35"/>
  <c r="H24" i="35"/>
  <c r="H22" i="35"/>
  <c r="M21" i="35"/>
  <c r="L21" i="35"/>
  <c r="H21" i="35"/>
  <c r="M20" i="35"/>
  <c r="L20" i="35"/>
  <c r="J40" i="35" s="1"/>
  <c r="H20" i="35"/>
  <c r="H19" i="35"/>
  <c r="M18" i="35"/>
  <c r="L18" i="35"/>
  <c r="H18" i="35"/>
  <c r="M17" i="35"/>
  <c r="L17" i="35"/>
  <c r="H17" i="35"/>
  <c r="H16" i="35"/>
  <c r="H15" i="35"/>
  <c r="H14" i="35"/>
  <c r="H13" i="35"/>
  <c r="H12" i="35"/>
  <c r="H10" i="35"/>
  <c r="H9" i="35"/>
  <c r="H34" i="35" s="1"/>
  <c r="D9" i="35"/>
  <c r="D8" i="35"/>
  <c r="H7" i="35"/>
  <c r="D6" i="35"/>
  <c r="H11" i="35" s="1"/>
  <c r="O5" i="35"/>
  <c r="H5" i="35"/>
  <c r="H35" i="35" s="1"/>
  <c r="D5" i="35"/>
  <c r="O4" i="35"/>
  <c r="J4" i="35"/>
  <c r="H4" i="35"/>
  <c r="D4" i="35"/>
  <c r="H8" i="35" s="1"/>
  <c r="O7" i="35" s="1"/>
  <c r="J3" i="35"/>
  <c r="H3" i="35"/>
  <c r="D3" i="35"/>
  <c r="H6" i="35" s="1"/>
  <c r="G24" i="34"/>
  <c r="G23" i="34"/>
  <c r="G22" i="34"/>
  <c r="G2" i="34"/>
  <c r="H1" i="34"/>
  <c r="H151" i="33"/>
  <c r="AI109" i="33"/>
  <c r="X109" i="33"/>
  <c r="H150" i="33"/>
  <c r="F2" i="33"/>
  <c r="J21" i="21"/>
  <c r="J22" i="21"/>
  <c r="H3" i="22"/>
  <c r="B5" i="49" l="1"/>
  <c r="AE90" i="38"/>
  <c r="V90" i="38"/>
  <c r="K159" i="33"/>
  <c r="K137" i="33"/>
  <c r="K93" i="33"/>
  <c r="B9" i="39"/>
  <c r="B17" i="45"/>
  <c r="K134" i="33"/>
  <c r="B3" i="39" s="1"/>
  <c r="H145" i="33"/>
  <c r="I145" i="33"/>
  <c r="AK109" i="33"/>
  <c r="AQ94" i="33"/>
  <c r="K184" i="33"/>
  <c r="H134" i="33"/>
  <c r="I134" i="33"/>
  <c r="U109" i="33"/>
  <c r="N31" i="2" s="1"/>
  <c r="T109" i="33"/>
  <c r="AW109" i="33"/>
  <c r="AY109" i="33"/>
  <c r="AY181" i="33" s="1"/>
  <c r="AY185" i="33" s="1"/>
  <c r="C48" i="42" s="1"/>
  <c r="O48" i="42" s="1"/>
  <c r="H146" i="33"/>
  <c r="I146" i="33"/>
  <c r="BO181" i="33"/>
  <c r="BO185" i="33" s="1"/>
  <c r="C22" i="42" s="1"/>
  <c r="M33" i="42"/>
  <c r="N33" i="42" s="1"/>
  <c r="H33" i="42"/>
  <c r="I33" i="42" s="1"/>
  <c r="J33" i="42" s="1"/>
  <c r="AM135" i="33"/>
  <c r="G13" i="42"/>
  <c r="AN172" i="33"/>
  <c r="AN181" i="33" s="1"/>
  <c r="AN185" i="33" s="1"/>
  <c r="C43" i="42"/>
  <c r="O43" i="42" s="1"/>
  <c r="K108" i="33"/>
  <c r="K110" i="33" s="1"/>
  <c r="BL109" i="33"/>
  <c r="BA109" i="33"/>
  <c r="BB109" i="33"/>
  <c r="BE109" i="33"/>
  <c r="BF109" i="33"/>
  <c r="V181" i="33"/>
  <c r="V185" i="33" s="1"/>
  <c r="C12" i="42" s="1"/>
  <c r="F7" i="38"/>
  <c r="I7" i="38"/>
  <c r="J7" i="38"/>
  <c r="AT91" i="33"/>
  <c r="AS91" i="33"/>
  <c r="C64" i="42"/>
  <c r="O64" i="42" s="1"/>
  <c r="AK207" i="38"/>
  <c r="AK208" i="38" s="1"/>
  <c r="S7" i="38"/>
  <c r="H144" i="33"/>
  <c r="H143" i="33"/>
  <c r="K183" i="33"/>
  <c r="K7" i="38"/>
  <c r="Q7" i="38"/>
  <c r="AE7" i="38"/>
  <c r="G7" i="38"/>
  <c r="H7" i="38"/>
  <c r="AQ7" i="38"/>
  <c r="AQ207" i="38" s="1"/>
  <c r="AQ208" i="38" s="1"/>
  <c r="V7" i="38"/>
  <c r="AG185" i="33"/>
  <c r="C6" i="42" s="1"/>
  <c r="O6" i="42" s="1"/>
  <c r="M171" i="38"/>
  <c r="C99" i="38"/>
  <c r="H99" i="33"/>
  <c r="AH99" i="33" s="1"/>
  <c r="V86" i="38"/>
  <c r="C86" i="38"/>
  <c r="AF98" i="33"/>
  <c r="C96" i="38"/>
  <c r="H96" i="33"/>
  <c r="AH96" i="33" s="1"/>
  <c r="N47" i="2"/>
  <c r="J29" i="35"/>
  <c r="C86" i="35"/>
  <c r="C59" i="35"/>
  <c r="AV157" i="33"/>
  <c r="AZ109" i="33"/>
  <c r="H149" i="33"/>
  <c r="U159" i="33"/>
  <c r="Q166" i="33"/>
  <c r="Q181" i="33" s="1"/>
  <c r="Q185" i="33" s="1"/>
  <c r="C60" i="42" s="1"/>
  <c r="O60" i="42" s="1"/>
  <c r="H115" i="33"/>
  <c r="AH171" i="38"/>
  <c r="M173" i="38"/>
  <c r="K171" i="38"/>
  <c r="S173" i="38"/>
  <c r="I171" i="38"/>
  <c r="L170" i="38"/>
  <c r="T168" i="38"/>
  <c r="T207" i="38" s="1"/>
  <c r="T208" i="38" s="1"/>
  <c r="Q173" i="38"/>
  <c r="L171" i="38"/>
  <c r="AX151" i="33"/>
  <c r="BH151" i="33"/>
  <c r="C22" i="38"/>
  <c r="P22" i="38" s="1"/>
  <c r="AE83" i="38"/>
  <c r="AM174" i="33"/>
  <c r="AJ174" i="33"/>
  <c r="C145" i="38"/>
  <c r="E145" i="38" s="1"/>
  <c r="L145" i="38" s="1"/>
  <c r="C41" i="38"/>
  <c r="I41" i="38" s="1"/>
  <c r="C23" i="38"/>
  <c r="AM170" i="33"/>
  <c r="AJ170" i="33"/>
  <c r="C154" i="38"/>
  <c r="K154" i="38" s="1"/>
  <c r="C98" i="38"/>
  <c r="C24" i="38"/>
  <c r="BS112" i="38"/>
  <c r="C25" i="38"/>
  <c r="C156" i="38"/>
  <c r="P156" i="33"/>
  <c r="C26" i="38"/>
  <c r="BI26" i="33"/>
  <c r="N38" i="2"/>
  <c r="C160" i="38"/>
  <c r="Y160" i="38" s="1"/>
  <c r="C161" i="38"/>
  <c r="Y161" i="38" s="1"/>
  <c r="AF173" i="33"/>
  <c r="AE173" i="33"/>
  <c r="AE181" i="33" s="1"/>
  <c r="AE185" i="33" s="1"/>
  <c r="C4" i="42" s="1"/>
  <c r="O4" i="42" s="1"/>
  <c r="AD173" i="33"/>
  <c r="AD181" i="33" s="1"/>
  <c r="AD185" i="33" s="1"/>
  <c r="C3" i="42" s="1"/>
  <c r="O3" i="42" s="1"/>
  <c r="C162" i="38"/>
  <c r="AH162" i="38" s="1"/>
  <c r="P162" i="33"/>
  <c r="C33" i="38"/>
  <c r="C32" i="38"/>
  <c r="C36" i="38"/>
  <c r="C29" i="38"/>
  <c r="BA29" i="33"/>
  <c r="Q172" i="38"/>
  <c r="L174" i="38"/>
  <c r="AM171" i="33"/>
  <c r="AJ171" i="33"/>
  <c r="C165" i="38"/>
  <c r="C38" i="38"/>
  <c r="C44" i="38"/>
  <c r="C95" i="38"/>
  <c r="AC95" i="38" s="1"/>
  <c r="AR95" i="33"/>
  <c r="C39" i="38"/>
  <c r="C21" i="38"/>
  <c r="V21" i="38" s="1"/>
  <c r="AW150" i="33"/>
  <c r="AF150" i="33"/>
  <c r="AX150" i="33"/>
  <c r="BA144" i="33"/>
  <c r="AB144" i="33"/>
  <c r="C40" i="38"/>
  <c r="O40" i="38" s="1"/>
  <c r="C153" i="38"/>
  <c r="C158" i="38"/>
  <c r="AM158" i="38" s="1"/>
  <c r="AF158" i="33"/>
  <c r="C146" i="38"/>
  <c r="E146" i="38" s="1"/>
  <c r="AH146" i="38" s="1"/>
  <c r="C42" i="38"/>
  <c r="L42" i="38" s="1"/>
  <c r="AT42" i="33"/>
  <c r="C155" i="38"/>
  <c r="AS155" i="38" s="1"/>
  <c r="C43" i="38"/>
  <c r="AN43" i="38" s="1"/>
  <c r="C48" i="38"/>
  <c r="F48" i="38" s="1"/>
  <c r="B11" i="39"/>
  <c r="B43" i="39" s="1"/>
  <c r="BO110" i="38"/>
  <c r="N51" i="2"/>
  <c r="Q170" i="38"/>
  <c r="N33" i="2"/>
  <c r="K170" i="38"/>
  <c r="C49" i="38"/>
  <c r="C28" i="38"/>
  <c r="AZ28" i="33"/>
  <c r="L23" i="2"/>
  <c r="C167" i="38"/>
  <c r="AO167" i="38" s="1"/>
  <c r="O167" i="33"/>
  <c r="O181" i="33" s="1"/>
  <c r="C31" i="38"/>
  <c r="C27" i="38"/>
  <c r="AZ27" i="33"/>
  <c r="Q174" i="38"/>
  <c r="C163" i="38"/>
  <c r="C136" i="38"/>
  <c r="C30" i="38"/>
  <c r="M172" i="38"/>
  <c r="S172" i="38"/>
  <c r="K174" i="38"/>
  <c r="C164" i="38"/>
  <c r="AO164" i="33"/>
  <c r="C37" i="38"/>
  <c r="Q37" i="38" s="1"/>
  <c r="C143" i="38"/>
  <c r="E143" i="38" s="1"/>
  <c r="L143" i="38" s="1"/>
  <c r="R143" i="33"/>
  <c r="R181" i="33" s="1"/>
  <c r="R185" i="33" s="1"/>
  <c r="C61" i="42" s="1"/>
  <c r="O61" i="42" s="1"/>
  <c r="C47" i="38"/>
  <c r="C97" i="38"/>
  <c r="BG207" i="38"/>
  <c r="BG208" i="38" s="1"/>
  <c r="C34" i="38"/>
  <c r="C150" i="38"/>
  <c r="C93" i="38"/>
  <c r="C151" i="38"/>
  <c r="AN151" i="38" s="1"/>
  <c r="C152" i="38"/>
  <c r="AV152" i="38" s="1"/>
  <c r="C144" i="38"/>
  <c r="E144" i="38" s="1"/>
  <c r="AU144" i="38" s="1"/>
  <c r="C157" i="38"/>
  <c r="AR157" i="38" s="1"/>
  <c r="C159" i="38"/>
  <c r="L159" i="38" s="1"/>
  <c r="C166" i="38"/>
  <c r="AO166" i="38" s="1"/>
  <c r="L100" i="38"/>
  <c r="BQ68" i="38"/>
  <c r="C134" i="38"/>
  <c r="U134" i="38" s="1"/>
  <c r="N116" i="38"/>
  <c r="BP116" i="38"/>
  <c r="BR35" i="38"/>
  <c r="C135" i="38"/>
  <c r="L68" i="38"/>
  <c r="AJ68" i="38"/>
  <c r="AG74" i="38"/>
  <c r="AG207" i="38" s="1"/>
  <c r="AG208" i="38" s="1"/>
  <c r="AJ74" i="38"/>
  <c r="L71" i="38"/>
  <c r="AF71" i="38"/>
  <c r="AF207" i="38" s="1"/>
  <c r="AF208" i="38" s="1"/>
  <c r="AB69" i="38"/>
  <c r="K109" i="33"/>
  <c r="I100" i="38"/>
  <c r="H100" i="38"/>
  <c r="G100" i="38"/>
  <c r="F100" i="38"/>
  <c r="Q100" i="38"/>
  <c r="K100" i="38"/>
  <c r="J100" i="38"/>
  <c r="H71" i="38"/>
  <c r="AB71" i="38"/>
  <c r="X77" i="38"/>
  <c r="U77" i="38"/>
  <c r="AB74" i="38"/>
  <c r="U78" i="38"/>
  <c r="X78" i="38"/>
  <c r="I78" i="38"/>
  <c r="F78" i="38"/>
  <c r="I90" i="38"/>
  <c r="S90" i="38"/>
  <c r="J90" i="38"/>
  <c r="G90" i="38"/>
  <c r="H90" i="38"/>
  <c r="F90" i="38"/>
  <c r="C149" i="38"/>
  <c r="Y149" i="38" s="1"/>
  <c r="AB68" i="38"/>
  <c r="W68" i="38"/>
  <c r="U68" i="38"/>
  <c r="H68" i="38"/>
  <c r="Q71" i="38"/>
  <c r="C94" i="38"/>
  <c r="L96" i="33"/>
  <c r="L73" i="33"/>
  <c r="F35" i="38"/>
  <c r="F74" i="38"/>
  <c r="I74" i="38"/>
  <c r="S103" i="38"/>
  <c r="F68" i="38"/>
  <c r="S68" i="38"/>
  <c r="Q68" i="38"/>
  <c r="AA68" i="38"/>
  <c r="AA71" i="38"/>
  <c r="M71" i="38"/>
  <c r="I71" i="38"/>
  <c r="J71" i="38"/>
  <c r="F71" i="38"/>
  <c r="F70" i="38"/>
  <c r="I70" i="38"/>
  <c r="AH109" i="33"/>
  <c r="K68" i="38"/>
  <c r="AQ109" i="33"/>
  <c r="AR109" i="33"/>
  <c r="P68" i="38"/>
  <c r="I69" i="38"/>
  <c r="F69" i="38"/>
  <c r="AA69" i="38"/>
  <c r="Q69" i="38"/>
  <c r="I103" i="38"/>
  <c r="Q103" i="38"/>
  <c r="I77" i="38"/>
  <c r="M68" i="38"/>
  <c r="I68" i="38"/>
  <c r="S109" i="33"/>
  <c r="AA74" i="38"/>
  <c r="BJ109" i="33"/>
  <c r="F77" i="38"/>
  <c r="F103" i="38"/>
  <c r="L52" i="35"/>
  <c r="M19" i="35"/>
  <c r="L19" i="35"/>
  <c r="H33" i="35"/>
  <c r="J41" i="35" s="1"/>
  <c r="O6" i="35"/>
  <c r="E73" i="35"/>
  <c r="G264" i="21"/>
  <c r="B31" i="27" s="1"/>
  <c r="G261" i="21"/>
  <c r="B30" i="27" s="1"/>
  <c r="G273" i="21"/>
  <c r="G270" i="21"/>
  <c r="B28" i="27" s="1"/>
  <c r="G267" i="21"/>
  <c r="B25" i="27" s="1"/>
  <c r="G258" i="21"/>
  <c r="G143" i="21"/>
  <c r="B96" i="49" l="1"/>
  <c r="F96" i="49" s="1"/>
  <c r="B146" i="49"/>
  <c r="F146" i="49" s="1"/>
  <c r="B8" i="39"/>
  <c r="B40" i="39" s="1"/>
  <c r="B141" i="49"/>
  <c r="F141" i="49" s="1"/>
  <c r="B13" i="39"/>
  <c r="B41" i="39" s="1"/>
  <c r="B144" i="49"/>
  <c r="F144" i="49" s="1"/>
  <c r="H13" i="42"/>
  <c r="I13" i="42" s="1"/>
  <c r="J13" i="42" s="1"/>
  <c r="E13" i="45"/>
  <c r="C39" i="40"/>
  <c r="AM137" i="33"/>
  <c r="AJ137" i="33"/>
  <c r="AL207" i="38"/>
  <c r="AL208" i="38" s="1"/>
  <c r="AJ135" i="33"/>
  <c r="G22" i="42"/>
  <c r="O22" i="42"/>
  <c r="P22" i="42" s="1"/>
  <c r="AL139" i="33"/>
  <c r="AL181" i="33" s="1"/>
  <c r="AL185" i="33" s="1"/>
  <c r="C41" i="42" s="1"/>
  <c r="O41" i="42" s="1"/>
  <c r="AK139" i="33"/>
  <c r="AF139" i="33"/>
  <c r="K185" i="33"/>
  <c r="K186" i="33" s="1"/>
  <c r="K187" i="33" s="1"/>
  <c r="AM109" i="33"/>
  <c r="AJ109" i="33"/>
  <c r="O185" i="33"/>
  <c r="C57" i="42" s="1"/>
  <c r="O57" i="42" s="1"/>
  <c r="AO155" i="33"/>
  <c r="AO181" i="33" s="1"/>
  <c r="AO185" i="33" s="1"/>
  <c r="K164" i="33"/>
  <c r="G61" i="42"/>
  <c r="P61" i="42"/>
  <c r="G48" i="42"/>
  <c r="P48" i="42"/>
  <c r="G60" i="42"/>
  <c r="P60" i="42"/>
  <c r="G43" i="42"/>
  <c r="P43" i="42"/>
  <c r="G3" i="42"/>
  <c r="P3" i="42"/>
  <c r="G64" i="42"/>
  <c r="P64" i="42"/>
  <c r="G4" i="42"/>
  <c r="P4" i="42"/>
  <c r="G6" i="42"/>
  <c r="P6" i="42"/>
  <c r="M13" i="42"/>
  <c r="N13" i="42" s="1"/>
  <c r="CE13" i="38"/>
  <c r="BE110" i="33"/>
  <c r="BB110" i="33"/>
  <c r="AZ110" i="33"/>
  <c r="BD110" i="33"/>
  <c r="BA110" i="33"/>
  <c r="BM110" i="33"/>
  <c r="BL110" i="33"/>
  <c r="BK110" i="33"/>
  <c r="BH110" i="33"/>
  <c r="BF110" i="33"/>
  <c r="AS181" i="33"/>
  <c r="AS185" i="33" s="1"/>
  <c r="C35" i="42" s="1"/>
  <c r="O35" i="42" s="1"/>
  <c r="AT181" i="33"/>
  <c r="AT185" i="33" s="1"/>
  <c r="C36" i="42" s="1"/>
  <c r="O36" i="42" s="1"/>
  <c r="P21" i="38"/>
  <c r="U181" i="33"/>
  <c r="U185" i="33" s="1"/>
  <c r="C63" i="42" s="1"/>
  <c r="O63" i="42" s="1"/>
  <c r="K21" i="38"/>
  <c r="Q96" i="38"/>
  <c r="T159" i="33"/>
  <c r="T181" i="33" s="1"/>
  <c r="T185" i="33" s="1"/>
  <c r="C62" i="42" s="1"/>
  <c r="O62" i="42" s="1"/>
  <c r="I96" i="38"/>
  <c r="AR181" i="33"/>
  <c r="AR185" i="33" s="1"/>
  <c r="C19" i="42" s="1"/>
  <c r="S96" i="38"/>
  <c r="L99" i="38"/>
  <c r="F96" i="38"/>
  <c r="AW181" i="33"/>
  <c r="AW185" i="33" s="1"/>
  <c r="C46" i="42" s="1"/>
  <c r="O46" i="42" s="1"/>
  <c r="F162" i="38"/>
  <c r="I160" i="38"/>
  <c r="AI181" i="33"/>
  <c r="AI185" i="33" s="1"/>
  <c r="C7" i="42" s="1"/>
  <c r="O7" i="42" s="1"/>
  <c r="S163" i="38"/>
  <c r="BN181" i="33"/>
  <c r="BN185" i="33" s="1"/>
  <c r="C49" i="42" s="1"/>
  <c r="O49" i="42" s="1"/>
  <c r="P181" i="33"/>
  <c r="P185" i="33" s="1"/>
  <c r="C58" i="42" s="1"/>
  <c r="G99" i="38"/>
  <c r="H99" i="38"/>
  <c r="AX181" i="33"/>
  <c r="AX185" i="33" s="1"/>
  <c r="C47" i="42" s="1"/>
  <c r="O47" i="42" s="1"/>
  <c r="I99" i="38"/>
  <c r="G162" i="38"/>
  <c r="P162" i="38"/>
  <c r="J99" i="38"/>
  <c r="V162" i="38"/>
  <c r="F165" i="38"/>
  <c r="J165" i="38"/>
  <c r="H21" i="38"/>
  <c r="Q99" i="38"/>
  <c r="I165" i="38"/>
  <c r="K99" i="38"/>
  <c r="N167" i="38"/>
  <c r="AU157" i="33"/>
  <c r="L162" i="38"/>
  <c r="F99" i="38"/>
  <c r="M162" i="38"/>
  <c r="S21" i="38"/>
  <c r="Q162" i="38"/>
  <c r="AU165" i="38"/>
  <c r="P163" i="38"/>
  <c r="U167" i="38"/>
  <c r="G167" i="38"/>
  <c r="AH207" i="38"/>
  <c r="AH208" i="38" s="1"/>
  <c r="Q167" i="38"/>
  <c r="AN207" i="38"/>
  <c r="AN208" i="38" s="1"/>
  <c r="F43" i="38"/>
  <c r="I162" i="38"/>
  <c r="J162" i="38"/>
  <c r="I167" i="38"/>
  <c r="BM109" i="33"/>
  <c r="S167" i="38"/>
  <c r="S162" i="38"/>
  <c r="K162" i="38"/>
  <c r="X167" i="38"/>
  <c r="Z43" i="38"/>
  <c r="N30" i="2"/>
  <c r="Q163" i="38"/>
  <c r="N23" i="2"/>
  <c r="F41" i="38"/>
  <c r="AB22" i="38"/>
  <c r="O83" i="38"/>
  <c r="Q83" i="38"/>
  <c r="F36" i="38"/>
  <c r="I48" i="38"/>
  <c r="S22" i="38"/>
  <c r="I43" i="38"/>
  <c r="H143" i="38"/>
  <c r="I143" i="38"/>
  <c r="P164" i="38"/>
  <c r="J22" i="38"/>
  <c r="I22" i="38"/>
  <c r="M21" i="38"/>
  <c r="Q164" i="38"/>
  <c r="L21" i="38"/>
  <c r="F158" i="38"/>
  <c r="I21" i="38"/>
  <c r="N23" i="38"/>
  <c r="G21" i="38"/>
  <c r="Q21" i="38"/>
  <c r="I163" i="38"/>
  <c r="K23" i="38"/>
  <c r="R158" i="38"/>
  <c r="S161" i="38"/>
  <c r="S158" i="38"/>
  <c r="F22" i="38"/>
  <c r="F160" i="38"/>
  <c r="M83" i="38"/>
  <c r="I95" i="38"/>
  <c r="L155" i="38"/>
  <c r="I154" i="38"/>
  <c r="L154" i="38"/>
  <c r="F164" i="38"/>
  <c r="M23" i="38"/>
  <c r="AA22" i="38"/>
  <c r="K37" i="38"/>
  <c r="Q22" i="38"/>
  <c r="S143" i="38"/>
  <c r="P95" i="38"/>
  <c r="M145" i="38"/>
  <c r="V156" i="38"/>
  <c r="I145" i="38"/>
  <c r="Q160" i="38"/>
  <c r="K42" i="38"/>
  <c r="AM156" i="38"/>
  <c r="X48" i="38"/>
  <c r="BA95" i="38"/>
  <c r="BA207" i="38" s="1"/>
  <c r="BA208" i="38" s="1"/>
  <c r="F21" i="38"/>
  <c r="I158" i="38"/>
  <c r="I164" i="38"/>
  <c r="J163" i="38"/>
  <c r="Q155" i="38"/>
  <c r="G98" i="38"/>
  <c r="G143" i="38"/>
  <c r="L95" i="38"/>
  <c r="AH181" i="33"/>
  <c r="AH185" i="33" s="1"/>
  <c r="C2" i="42" s="1"/>
  <c r="O2" i="42" s="1"/>
  <c r="AV145" i="33"/>
  <c r="AV181" i="33" s="1"/>
  <c r="AV185" i="33" s="1"/>
  <c r="C38" i="42" s="1"/>
  <c r="O38" i="42" s="1"/>
  <c r="AU145" i="33"/>
  <c r="M155" i="38"/>
  <c r="R156" i="38"/>
  <c r="H98" i="38"/>
  <c r="H95" i="38"/>
  <c r="AW153" i="38"/>
  <c r="AW207" i="38" s="1"/>
  <c r="AW208" i="38" s="1"/>
  <c r="I161" i="38"/>
  <c r="P145" i="38"/>
  <c r="AM146" i="33"/>
  <c r="AJ146" i="33"/>
  <c r="AK33" i="33"/>
  <c r="AF33" i="33"/>
  <c r="G156" i="38"/>
  <c r="L72" i="33"/>
  <c r="N143" i="38"/>
  <c r="K95" i="38"/>
  <c r="S155" i="38"/>
  <c r="I156" i="38"/>
  <c r="Q95" i="38"/>
  <c r="X37" i="38"/>
  <c r="AM136" i="33"/>
  <c r="AJ136" i="33"/>
  <c r="Q156" i="38"/>
  <c r="P160" i="38"/>
  <c r="F39" i="38"/>
  <c r="Q146" i="38"/>
  <c r="M40" i="38"/>
  <c r="AS164" i="38"/>
  <c r="AS207" i="38" s="1"/>
  <c r="AS208" i="38" s="1"/>
  <c r="G126" i="38"/>
  <c r="K155" i="38"/>
  <c r="Y113" i="38"/>
  <c r="J21" i="38"/>
  <c r="F163" i="38"/>
  <c r="F40" i="38"/>
  <c r="O22" i="38"/>
  <c r="V40" i="38"/>
  <c r="AY83" i="38"/>
  <c r="AY207" i="38" s="1"/>
  <c r="AY208" i="38" s="1"/>
  <c r="L146" i="38"/>
  <c r="AU160" i="38"/>
  <c r="BB165" i="33"/>
  <c r="AA165" i="33"/>
  <c r="AA181" i="33" s="1"/>
  <c r="AA185" i="33" s="1"/>
  <c r="C16" i="42" s="1"/>
  <c r="O16" i="42" s="1"/>
  <c r="Z165" i="33"/>
  <c r="Z181" i="33" s="1"/>
  <c r="Z185" i="33" s="1"/>
  <c r="C15" i="42" s="1"/>
  <c r="O15" i="42" s="1"/>
  <c r="G155" i="38"/>
  <c r="BA40" i="33"/>
  <c r="S40" i="33"/>
  <c r="Y161" i="33"/>
  <c r="Y181" i="33" s="1"/>
  <c r="Y185" i="33" s="1"/>
  <c r="X161" i="33"/>
  <c r="X181" i="33" s="1"/>
  <c r="X185" i="33" s="1"/>
  <c r="C14" i="42" s="1"/>
  <c r="O14" i="42" s="1"/>
  <c r="AB161" i="33"/>
  <c r="BA161" i="33"/>
  <c r="F156" i="38"/>
  <c r="F161" i="38"/>
  <c r="I98" i="38"/>
  <c r="K143" i="38"/>
  <c r="J95" i="38"/>
  <c r="AB160" i="33"/>
  <c r="BA160" i="33"/>
  <c r="Q145" i="38"/>
  <c r="AZ22" i="33"/>
  <c r="BA22" i="33"/>
  <c r="BL22" i="33"/>
  <c r="BK22" i="33"/>
  <c r="BH22" i="33"/>
  <c r="BG22" i="33"/>
  <c r="BG181" i="33" s="1"/>
  <c r="BF22" i="33"/>
  <c r="BE22" i="33"/>
  <c r="BD22" i="33"/>
  <c r="BC22" i="33"/>
  <c r="BC181" i="33" s="1"/>
  <c r="BB22" i="33"/>
  <c r="BI22" i="33"/>
  <c r="BI181" i="33" s="1"/>
  <c r="I155" i="38"/>
  <c r="J156" i="38"/>
  <c r="K146" i="38"/>
  <c r="I44" i="38"/>
  <c r="AR145" i="38"/>
  <c r="AR207" i="38" s="1"/>
  <c r="AR208" i="38" s="1"/>
  <c r="AU161" i="38"/>
  <c r="L37" i="38"/>
  <c r="F155" i="38"/>
  <c r="S160" i="38"/>
  <c r="Q161" i="38"/>
  <c r="Q98" i="38"/>
  <c r="M22" i="38"/>
  <c r="G95" i="38"/>
  <c r="AI142" i="38"/>
  <c r="M146" i="38"/>
  <c r="Y22" i="38"/>
  <c r="I40" i="38"/>
  <c r="S95" i="38"/>
  <c r="V42" i="38"/>
  <c r="AX83" i="38"/>
  <c r="AX207" i="38" s="1"/>
  <c r="AX208" i="38" s="1"/>
  <c r="G158" i="38"/>
  <c r="S156" i="38"/>
  <c r="J161" i="38"/>
  <c r="F44" i="38"/>
  <c r="F83" i="38"/>
  <c r="Q143" i="38"/>
  <c r="M42" i="38"/>
  <c r="AZ83" i="38"/>
  <c r="AZ207" i="38" s="1"/>
  <c r="AZ208" i="38" s="1"/>
  <c r="I97" i="38"/>
  <c r="Q97" i="38"/>
  <c r="S97" i="38"/>
  <c r="AV207" i="38"/>
  <c r="AV208" i="38" s="1"/>
  <c r="AM150" i="38"/>
  <c r="Q150" i="38"/>
  <c r="J34" i="38"/>
  <c r="P150" i="38"/>
  <c r="S150" i="38"/>
  <c r="I150" i="38"/>
  <c r="J150" i="38"/>
  <c r="R150" i="38"/>
  <c r="F150" i="38"/>
  <c r="F157" i="38"/>
  <c r="I157" i="38"/>
  <c r="S166" i="38"/>
  <c r="M157" i="38"/>
  <c r="Q166" i="38"/>
  <c r="S159" i="38"/>
  <c r="F151" i="38"/>
  <c r="AO159" i="38"/>
  <c r="AO207" i="38" s="1"/>
  <c r="AO208" i="38" s="1"/>
  <c r="I151" i="38"/>
  <c r="F159" i="38"/>
  <c r="F144" i="38"/>
  <c r="AP159" i="38"/>
  <c r="I159" i="38"/>
  <c r="H127" i="38"/>
  <c r="I144" i="38"/>
  <c r="P157" i="38"/>
  <c r="Z151" i="38"/>
  <c r="Y144" i="38"/>
  <c r="U166" i="38"/>
  <c r="Q157" i="38"/>
  <c r="I166" i="38"/>
  <c r="S157" i="38"/>
  <c r="G150" i="38"/>
  <c r="I149" i="38"/>
  <c r="AE149" i="38"/>
  <c r="AE207" i="38" s="1"/>
  <c r="AE208" i="38" s="1"/>
  <c r="Y120" i="38"/>
  <c r="BO120" i="38"/>
  <c r="N109" i="38"/>
  <c r="BP109" i="38"/>
  <c r="N112" i="38"/>
  <c r="BN112" i="38"/>
  <c r="AI207" i="38"/>
  <c r="AI208" i="38" s="1"/>
  <c r="B4" i="39"/>
  <c r="B36" i="39" s="1"/>
  <c r="AJ207" i="38"/>
  <c r="AJ208" i="38" s="1"/>
  <c r="AC122" i="38"/>
  <c r="AC207" i="38" s="1"/>
  <c r="AC208" i="38" s="1"/>
  <c r="Q149" i="38"/>
  <c r="G149" i="38"/>
  <c r="P149" i="38"/>
  <c r="S149" i="38"/>
  <c r="F149" i="38"/>
  <c r="J149" i="38"/>
  <c r="J94" i="38"/>
  <c r="Q94" i="38"/>
  <c r="G94" i="38"/>
  <c r="S94" i="38"/>
  <c r="H94" i="38"/>
  <c r="I94" i="38"/>
  <c r="B5" i="39"/>
  <c r="B37" i="39" s="1"/>
  <c r="AT111" i="38"/>
  <c r="AT207" i="38" s="1"/>
  <c r="AT208" i="38" s="1"/>
  <c r="Y110" i="38"/>
  <c r="B7" i="39"/>
  <c r="B39" i="39" s="1"/>
  <c r="B6" i="39"/>
  <c r="B38" i="39" s="1"/>
  <c r="H184" i="21"/>
  <c r="H176" i="21"/>
  <c r="H172" i="21"/>
  <c r="Z20" i="21"/>
  <c r="Z19" i="21"/>
  <c r="Y19" i="21"/>
  <c r="AO4" i="2" s="1"/>
  <c r="J254" i="21"/>
  <c r="B84" i="28" s="1"/>
  <c r="H252" i="21"/>
  <c r="H251" i="21"/>
  <c r="H250" i="21"/>
  <c r="B82" i="28"/>
  <c r="C4" i="40" l="1"/>
  <c r="B32" i="49"/>
  <c r="B26" i="49"/>
  <c r="C2" i="40"/>
  <c r="B146" i="28"/>
  <c r="J76" i="49"/>
  <c r="I76" i="49"/>
  <c r="M48" i="42"/>
  <c r="N48" i="42" s="1"/>
  <c r="E48" i="45"/>
  <c r="H64" i="42"/>
  <c r="I64" i="42" s="1"/>
  <c r="J64" i="42" s="1"/>
  <c r="E64" i="45"/>
  <c r="H22" i="42"/>
  <c r="I22" i="42" s="1"/>
  <c r="J22" i="42" s="1"/>
  <c r="E22" i="45"/>
  <c r="H60" i="42"/>
  <c r="I60" i="42" s="1"/>
  <c r="J60" i="42" s="1"/>
  <c r="E60" i="45"/>
  <c r="H3" i="42"/>
  <c r="I3" i="42" s="1"/>
  <c r="J3" i="42" s="1"/>
  <c r="E3" i="45"/>
  <c r="M43" i="42"/>
  <c r="N43" i="42" s="1"/>
  <c r="E43" i="45"/>
  <c r="H4" i="42"/>
  <c r="I4" i="42" s="1"/>
  <c r="J4" i="42" s="1"/>
  <c r="E4" i="45"/>
  <c r="AQ88" i="33"/>
  <c r="AQ181" i="33" s="1"/>
  <c r="AQ185" i="33" s="1"/>
  <c r="C20" i="42" s="1"/>
  <c r="AF89" i="33"/>
  <c r="AF181" i="33" s="1"/>
  <c r="AF185" i="33" s="1"/>
  <c r="C5" i="42" s="1"/>
  <c r="AP88" i="33"/>
  <c r="AP181" i="33" s="1"/>
  <c r="AP185" i="33" s="1"/>
  <c r="C21" i="42" s="1"/>
  <c r="G21" i="42" s="1"/>
  <c r="CH21" i="38" s="1"/>
  <c r="H61" i="42"/>
  <c r="I61" i="42" s="1"/>
  <c r="J61" i="42" s="1"/>
  <c r="E61" i="45"/>
  <c r="CH6" i="38"/>
  <c r="E6" i="45"/>
  <c r="CL22" i="38"/>
  <c r="CL207" i="38" s="1"/>
  <c r="M22" i="42"/>
  <c r="N22" i="42" s="1"/>
  <c r="H43" i="42"/>
  <c r="I43" i="42" s="1"/>
  <c r="J43" i="42" s="1"/>
  <c r="BE181" i="33"/>
  <c r="BE185" i="33" s="1"/>
  <c r="C50" i="42" s="1"/>
  <c r="O50" i="42" s="1"/>
  <c r="BK181" i="33"/>
  <c r="BK185" i="33" s="1"/>
  <c r="C54" i="42" s="1"/>
  <c r="O54" i="42" s="1"/>
  <c r="BH181" i="33"/>
  <c r="BH185" i="33" s="1"/>
  <c r="C44" i="42" s="1"/>
  <c r="O44" i="42" s="1"/>
  <c r="AZ181" i="33"/>
  <c r="AZ185" i="33" s="1"/>
  <c r="C56" i="42" s="1"/>
  <c r="M6" i="42"/>
  <c r="N6" i="42" s="1"/>
  <c r="H48" i="42"/>
  <c r="I48" i="42" s="1"/>
  <c r="J48" i="42" s="1"/>
  <c r="H6" i="42"/>
  <c r="I6" i="42" s="1"/>
  <c r="J6" i="42" s="1"/>
  <c r="P57" i="42"/>
  <c r="G57" i="42"/>
  <c r="E57" i="45" s="1"/>
  <c r="BD181" i="33"/>
  <c r="BD185" i="33" s="1"/>
  <c r="C11" i="42" s="1"/>
  <c r="O11" i="42" s="1"/>
  <c r="G15" i="42"/>
  <c r="P15" i="42"/>
  <c r="G36" i="42"/>
  <c r="P36" i="42"/>
  <c r="G2" i="42"/>
  <c r="P2" i="42"/>
  <c r="G16" i="42"/>
  <c r="P16" i="42"/>
  <c r="G47" i="42"/>
  <c r="P47" i="42"/>
  <c r="G35" i="42"/>
  <c r="E35" i="45" s="1"/>
  <c r="P35" i="42"/>
  <c r="M64" i="42"/>
  <c r="N64" i="42" s="1"/>
  <c r="G7" i="42"/>
  <c r="P7" i="42"/>
  <c r="G14" i="42"/>
  <c r="P14" i="42"/>
  <c r="G46" i="42"/>
  <c r="P46" i="42"/>
  <c r="M4" i="42"/>
  <c r="N4" i="42" s="1"/>
  <c r="CH4" i="38"/>
  <c r="M3" i="42"/>
  <c r="N3" i="42" s="1"/>
  <c r="CH3" i="38"/>
  <c r="M61" i="42"/>
  <c r="N61" i="42" s="1"/>
  <c r="CK63" i="38"/>
  <c r="CH61" i="38"/>
  <c r="G38" i="42"/>
  <c r="P38" i="42"/>
  <c r="G49" i="42"/>
  <c r="P49" i="42"/>
  <c r="M60" i="42"/>
  <c r="N60" i="42" s="1"/>
  <c r="CD60" i="38"/>
  <c r="G41" i="42"/>
  <c r="P41" i="42"/>
  <c r="G62" i="42"/>
  <c r="P62" i="42"/>
  <c r="G58" i="42"/>
  <c r="G63" i="42"/>
  <c r="E63" i="45" s="1"/>
  <c r="P63" i="42"/>
  <c r="BF181" i="33"/>
  <c r="BF185" i="33" s="1"/>
  <c r="C51" i="42" s="1"/>
  <c r="O51" i="42" s="1"/>
  <c r="AP207" i="38"/>
  <c r="AP208" i="38" s="1"/>
  <c r="BG185" i="33"/>
  <c r="C53" i="42" s="1"/>
  <c r="O53" i="42" s="1"/>
  <c r="BI185" i="33"/>
  <c r="C45" i="42" s="1"/>
  <c r="O45" i="42" s="1"/>
  <c r="BC185" i="33"/>
  <c r="C10" i="42" s="1"/>
  <c r="O10" i="42" s="1"/>
  <c r="BJ181" i="33"/>
  <c r="AK181" i="33"/>
  <c r="AK185" i="33" s="1"/>
  <c r="C39" i="42" s="1"/>
  <c r="AB181" i="33"/>
  <c r="AB185" i="33" s="1"/>
  <c r="C17" i="42" s="1"/>
  <c r="O17" i="42" s="1"/>
  <c r="BL181" i="33"/>
  <c r="N41" i="2"/>
  <c r="AM181" i="33"/>
  <c r="AM185" i="33" s="1"/>
  <c r="C42" i="42" s="1"/>
  <c r="O42" i="42" s="1"/>
  <c r="BA181" i="33"/>
  <c r="N39" i="2"/>
  <c r="AJ181" i="33"/>
  <c r="AJ185" i="33" s="1"/>
  <c r="C40" i="42" s="1"/>
  <c r="O40" i="42" s="1"/>
  <c r="S181" i="33"/>
  <c r="S185" i="33" s="1"/>
  <c r="C59" i="42" s="1"/>
  <c r="N24" i="2"/>
  <c r="BM181" i="33"/>
  <c r="BM185" i="33" s="1"/>
  <c r="BB181" i="33"/>
  <c r="AU181" i="33"/>
  <c r="AU185" i="33" s="1"/>
  <c r="C37" i="42" s="1"/>
  <c r="O37" i="42" s="1"/>
  <c r="AU207" i="38"/>
  <c r="AU208" i="38" s="1"/>
  <c r="S142" i="38"/>
  <c r="G142" i="38"/>
  <c r="I142" i="38"/>
  <c r="J142" i="38"/>
  <c r="H142" i="38"/>
  <c r="Q142" i="38"/>
  <c r="J252" i="21"/>
  <c r="B83" i="28" s="1"/>
  <c r="B81" i="28"/>
  <c r="B80" i="28"/>
  <c r="B78" i="28"/>
  <c r="B77" i="28"/>
  <c r="B222" i="49" l="1"/>
  <c r="B220" i="49"/>
  <c r="G222" i="49"/>
  <c r="G220" i="49"/>
  <c r="G221" i="49"/>
  <c r="B223" i="49"/>
  <c r="B221" i="49"/>
  <c r="M46" i="42"/>
  <c r="N46" i="42" s="1"/>
  <c r="E46" i="45"/>
  <c r="M7" i="42"/>
  <c r="N7" i="42" s="1"/>
  <c r="E7" i="45"/>
  <c r="M49" i="42"/>
  <c r="N49" i="42" s="1"/>
  <c r="E49" i="45"/>
  <c r="M2" i="42"/>
  <c r="N2" i="42" s="1"/>
  <c r="E2" i="45"/>
  <c r="M16" i="42"/>
  <c r="N16" i="42" s="1"/>
  <c r="E16" i="45"/>
  <c r="H14" i="42"/>
  <c r="I14" i="42" s="1"/>
  <c r="E14" i="45"/>
  <c r="H58" i="42"/>
  <c r="I58" i="42" s="1"/>
  <c r="J58" i="42" s="1"/>
  <c r="E58" i="45"/>
  <c r="M15" i="42"/>
  <c r="N15" i="42" s="1"/>
  <c r="E15" i="45"/>
  <c r="M38" i="42"/>
  <c r="N38" i="42" s="1"/>
  <c r="E38" i="45"/>
  <c r="H62" i="42"/>
  <c r="I62" i="42" s="1"/>
  <c r="E62" i="45"/>
  <c r="H47" i="42"/>
  <c r="I47" i="42" s="1"/>
  <c r="J47" i="42" s="1"/>
  <c r="E47" i="45"/>
  <c r="H21" i="42"/>
  <c r="I21" i="42" s="1"/>
  <c r="J21" i="42" s="1"/>
  <c r="E21" i="45"/>
  <c r="M21" i="42"/>
  <c r="N21" i="42" s="1"/>
  <c r="H36" i="42"/>
  <c r="I36" i="42" s="1"/>
  <c r="J36" i="42" s="1"/>
  <c r="E36" i="45"/>
  <c r="M41" i="42"/>
  <c r="N41" i="42" s="1"/>
  <c r="E41" i="45"/>
  <c r="H35" i="42"/>
  <c r="I35" i="42" s="1"/>
  <c r="J35" i="42" s="1"/>
  <c r="H57" i="42"/>
  <c r="I57" i="42" s="1"/>
  <c r="J57" i="42" s="1"/>
  <c r="M63" i="42"/>
  <c r="N63" i="42" s="1"/>
  <c r="B72" i="42"/>
  <c r="C72" i="42" s="1"/>
  <c r="H63" i="42"/>
  <c r="I63" i="42" s="1"/>
  <c r="J63" i="42" s="1"/>
  <c r="M57" i="42"/>
  <c r="N57" i="42" s="1"/>
  <c r="BW57" i="38"/>
  <c r="BW207" i="38" s="1"/>
  <c r="H16" i="42"/>
  <c r="I16" i="42" s="1"/>
  <c r="J16" i="42" s="1"/>
  <c r="BU57" i="38"/>
  <c r="BU207" i="38" s="1"/>
  <c r="H15" i="42"/>
  <c r="I15" i="42" s="1"/>
  <c r="J15" i="42" s="1"/>
  <c r="H46" i="42"/>
  <c r="I46" i="42" s="1"/>
  <c r="J46" i="42" s="1"/>
  <c r="BV57" i="38"/>
  <c r="BV207" i="38" s="1"/>
  <c r="H38" i="42"/>
  <c r="I38" i="42" s="1"/>
  <c r="J38" i="42" s="1"/>
  <c r="H2" i="42"/>
  <c r="I2" i="42" s="1"/>
  <c r="J2" i="42" s="1"/>
  <c r="H49" i="42"/>
  <c r="I49" i="42" s="1"/>
  <c r="J49" i="42" s="1"/>
  <c r="M36" i="42"/>
  <c r="N36" i="42" s="1"/>
  <c r="H41" i="42"/>
  <c r="I41" i="42" s="1"/>
  <c r="J41" i="42" s="1"/>
  <c r="H7" i="42"/>
  <c r="I7" i="42" s="1"/>
  <c r="J7" i="42" s="1"/>
  <c r="G56" i="42"/>
  <c r="G17" i="42"/>
  <c r="P17" i="42"/>
  <c r="G10" i="42"/>
  <c r="E10" i="45" s="1"/>
  <c r="P10" i="42"/>
  <c r="G40" i="42"/>
  <c r="P40" i="42"/>
  <c r="G54" i="42"/>
  <c r="P54" i="42"/>
  <c r="M58" i="42"/>
  <c r="N58" i="42" s="1"/>
  <c r="CD58" i="38"/>
  <c r="G44" i="42"/>
  <c r="E44" i="45" s="1"/>
  <c r="P44" i="42"/>
  <c r="G37" i="42"/>
  <c r="P37" i="42"/>
  <c r="G51" i="42"/>
  <c r="P51" i="42"/>
  <c r="G53" i="42"/>
  <c r="P53" i="42"/>
  <c r="M62" i="42"/>
  <c r="N62" i="42" s="1"/>
  <c r="CK62" i="38"/>
  <c r="M35" i="42"/>
  <c r="N35" i="42" s="1"/>
  <c r="CA35" i="38"/>
  <c r="BZ35" i="38"/>
  <c r="BX35" i="38"/>
  <c r="BY35" i="38"/>
  <c r="CB35" i="38"/>
  <c r="CA36" i="38"/>
  <c r="BZ36" i="38"/>
  <c r="CB36" i="38"/>
  <c r="BY36" i="38"/>
  <c r="BX36" i="38"/>
  <c r="M14" i="42"/>
  <c r="N14" i="42" s="1"/>
  <c r="CE14" i="38"/>
  <c r="G39" i="42"/>
  <c r="E39" i="45" s="1"/>
  <c r="G45" i="42"/>
  <c r="E45" i="45" s="1"/>
  <c r="P45" i="42"/>
  <c r="G50" i="42"/>
  <c r="E50" i="45" s="1"/>
  <c r="P50" i="42"/>
  <c r="G42" i="42"/>
  <c r="P42" i="42"/>
  <c r="G11" i="42"/>
  <c r="P11" i="42"/>
  <c r="M47" i="42"/>
  <c r="N47" i="42" s="1"/>
  <c r="CC47" i="38"/>
  <c r="C52" i="42"/>
  <c r="O52" i="42" s="1"/>
  <c r="J62" i="42"/>
  <c r="BJ185" i="33"/>
  <c r="C34" i="42" s="1"/>
  <c r="O34" i="42" s="1"/>
  <c r="BA185" i="33"/>
  <c r="C8" i="42" s="1"/>
  <c r="O8" i="42" s="1"/>
  <c r="BB185" i="33"/>
  <c r="C9" i="42" s="1"/>
  <c r="O9" i="42" s="1"/>
  <c r="BL185" i="33"/>
  <c r="C55" i="42" s="1"/>
  <c r="J14" i="42"/>
  <c r="L51" i="22"/>
  <c r="L50" i="22"/>
  <c r="B22" i="39" l="1"/>
  <c r="B9" i="45" s="1"/>
  <c r="B72" i="49"/>
  <c r="F72" i="49" s="1"/>
  <c r="F44" i="45" a="1"/>
  <c r="F44" i="45" s="1"/>
  <c r="M37" i="42"/>
  <c r="N37" i="42" s="1"/>
  <c r="E37" i="45"/>
  <c r="H17" i="42"/>
  <c r="I17" i="42" s="1"/>
  <c r="J17" i="42" s="1"/>
  <c r="E17" i="45"/>
  <c r="M40" i="42"/>
  <c r="N40" i="42" s="1"/>
  <c r="E40" i="45"/>
  <c r="M42" i="42"/>
  <c r="N42" i="42" s="1"/>
  <c r="E42" i="45"/>
  <c r="H11" i="42"/>
  <c r="I11" i="42" s="1"/>
  <c r="J11" i="42" s="1"/>
  <c r="E11" i="45"/>
  <c r="M53" i="42"/>
  <c r="N53" i="42" s="1"/>
  <c r="E53" i="45"/>
  <c r="H51" i="42"/>
  <c r="I51" i="42" s="1"/>
  <c r="J51" i="42" s="1"/>
  <c r="E51" i="45"/>
  <c r="CD54" i="38"/>
  <c r="E54" i="45"/>
  <c r="H56" i="42"/>
  <c r="I56" i="42" s="1"/>
  <c r="J56" i="42" s="1"/>
  <c r="E56" i="45"/>
  <c r="B78" i="42"/>
  <c r="C78" i="42" s="1"/>
  <c r="H10" i="42"/>
  <c r="I10" i="42" s="1"/>
  <c r="J10" i="42" s="1"/>
  <c r="M45" i="42"/>
  <c r="N45" i="42" s="1"/>
  <c r="B75" i="42"/>
  <c r="C75" i="42" s="1"/>
  <c r="H39" i="42"/>
  <c r="I39" i="42" s="1"/>
  <c r="J39" i="42" s="1"/>
  <c r="B73" i="42"/>
  <c r="C73" i="42" s="1"/>
  <c r="CJ50" i="38"/>
  <c r="CJ207" i="38" s="1"/>
  <c r="M54" i="42"/>
  <c r="N54" i="42" s="1"/>
  <c r="H54" i="42"/>
  <c r="I54" i="42" s="1"/>
  <c r="J54" i="42" s="1"/>
  <c r="M17" i="42"/>
  <c r="N17" i="42" s="1"/>
  <c r="BX207" i="38"/>
  <c r="H53" i="42"/>
  <c r="I53" i="42" s="1"/>
  <c r="J53" i="42" s="1"/>
  <c r="M50" i="42"/>
  <c r="N50" i="42" s="1"/>
  <c r="H50" i="42"/>
  <c r="I50" i="42" s="1"/>
  <c r="J50" i="42" s="1"/>
  <c r="CB207" i="38"/>
  <c r="H40" i="42"/>
  <c r="I40" i="42" s="1"/>
  <c r="J40" i="42" s="1"/>
  <c r="H37" i="42"/>
  <c r="I37" i="42" s="1"/>
  <c r="J37" i="42" s="1"/>
  <c r="BY207" i="38"/>
  <c r="M11" i="42"/>
  <c r="N11" i="42" s="1"/>
  <c r="CF11" i="38"/>
  <c r="M39" i="42"/>
  <c r="N39" i="42" s="1"/>
  <c r="CH39" i="38"/>
  <c r="G9" i="42"/>
  <c r="P9" i="42"/>
  <c r="M44" i="42"/>
  <c r="N44" i="42" s="1"/>
  <c r="CC44" i="38"/>
  <c r="CC207" i="38" s="1"/>
  <c r="G55" i="42"/>
  <c r="M10" i="42"/>
  <c r="N10" i="42" s="1"/>
  <c r="CE10" i="38"/>
  <c r="G8" i="42"/>
  <c r="E8" i="45" s="1"/>
  <c r="P8" i="42"/>
  <c r="H44" i="42"/>
  <c r="I44" i="42" s="1"/>
  <c r="J44" i="42" s="1"/>
  <c r="BZ207" i="38"/>
  <c r="M51" i="42"/>
  <c r="N51" i="42" s="1"/>
  <c r="CK51" i="38"/>
  <c r="CK207" i="38" s="1"/>
  <c r="G34" i="42"/>
  <c r="P34" i="42"/>
  <c r="H42" i="42"/>
  <c r="I42" i="42" s="1"/>
  <c r="J42" i="42" s="1"/>
  <c r="G52" i="42"/>
  <c r="P52" i="42"/>
  <c r="CA207" i="38"/>
  <c r="M56" i="42"/>
  <c r="N56" i="42" s="1"/>
  <c r="CI56" i="38"/>
  <c r="CI207" i="38" s="1"/>
  <c r="H45" i="42"/>
  <c r="I45" i="42" s="1"/>
  <c r="J45" i="42" s="1"/>
  <c r="H232" i="21"/>
  <c r="F39" i="45" l="1" a="1"/>
  <c r="F39" i="45" s="1"/>
  <c r="B28" i="39"/>
  <c r="B15" i="45" s="1"/>
  <c r="B73" i="49"/>
  <c r="F73" i="49" s="1"/>
  <c r="B23" i="39"/>
  <c r="B10" i="45" s="1"/>
  <c r="B74" i="49"/>
  <c r="F74" i="49" s="1"/>
  <c r="B25" i="39"/>
  <c r="B12" i="45" s="1"/>
  <c r="B75" i="49"/>
  <c r="F75" i="49" s="1"/>
  <c r="M52" i="42"/>
  <c r="N52" i="42" s="1"/>
  <c r="E52" i="45"/>
  <c r="M9" i="42"/>
  <c r="N9" i="42" s="1"/>
  <c r="E9" i="45"/>
  <c r="CF55" i="38"/>
  <c r="CF207" i="38" s="1"/>
  <c r="E55" i="45"/>
  <c r="M34" i="42"/>
  <c r="N34" i="42" s="1"/>
  <c r="E34" i="45"/>
  <c r="F34" i="45" s="1" a="1"/>
  <c r="F34" i="45" s="1"/>
  <c r="M8" i="42"/>
  <c r="N8" i="42" s="1"/>
  <c r="B76" i="42"/>
  <c r="C76" i="42" s="1"/>
  <c r="B70" i="42"/>
  <c r="C70" i="42" s="1"/>
  <c r="M55" i="42"/>
  <c r="N55" i="42" s="1"/>
  <c r="H55" i="42"/>
  <c r="I55" i="42" s="1"/>
  <c r="J55" i="42" s="1"/>
  <c r="H34" i="42"/>
  <c r="I34" i="42" s="1"/>
  <c r="J34" i="42" s="1"/>
  <c r="H52" i="42"/>
  <c r="I52" i="42" s="1"/>
  <c r="J52" i="42" s="1"/>
  <c r="H8" i="42"/>
  <c r="I8" i="42" s="1"/>
  <c r="J8" i="42" s="1"/>
  <c r="H9" i="42"/>
  <c r="I9" i="42" s="1"/>
  <c r="J9" i="42" s="1"/>
  <c r="H7" i="24"/>
  <c r="AU9" i="2"/>
  <c r="AU8" i="2"/>
  <c r="AU7" i="2"/>
  <c r="AU6" i="2"/>
  <c r="AU5" i="2"/>
  <c r="AU3" i="2"/>
  <c r="AE19" i="21"/>
  <c r="AU4" i="2" s="1"/>
  <c r="E22" i="2"/>
  <c r="D22" i="2"/>
  <c r="B26" i="39" l="1"/>
  <c r="B13" i="45" s="1"/>
  <c r="B70" i="49"/>
  <c r="F70" i="49" s="1"/>
  <c r="B20" i="39"/>
  <c r="B7" i="45" s="1"/>
  <c r="B78" i="49"/>
  <c r="F78" i="49" s="1"/>
  <c r="AU10" i="2"/>
  <c r="H47" i="22"/>
  <c r="AE25" i="21"/>
  <c r="O22" i="2" s="1"/>
  <c r="L19" i="21"/>
  <c r="H231" i="21"/>
  <c r="P22" i="2" l="1"/>
  <c r="D55" i="42"/>
  <c r="O55" i="42" s="1"/>
  <c r="P55" i="42" s="1"/>
  <c r="D48" i="22"/>
  <c r="D47" i="22"/>
  <c r="H27" i="22"/>
  <c r="C72" i="22"/>
  <c r="D42" i="22"/>
  <c r="B62" i="28"/>
  <c r="C63" i="22" l="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H5" i="22"/>
  <c r="D8" i="22"/>
  <c r="H180" i="21"/>
  <c r="G118" i="21"/>
  <c r="G120" i="21"/>
  <c r="F2" i="21"/>
  <c r="H28" i="22"/>
  <c r="P9" i="2" s="1"/>
  <c r="F37" i="22"/>
  <c r="P4" i="2" s="1"/>
  <c r="H10" i="22"/>
  <c r="H34" i="22" s="1"/>
  <c r="D20" i="42" s="1"/>
  <c r="H7" i="22"/>
  <c r="B28" i="28"/>
  <c r="D9" i="22"/>
  <c r="G20" i="42" l="1"/>
  <c r="O20" i="42"/>
  <c r="P20" i="42" s="1"/>
  <c r="B71" i="28"/>
  <c r="C66" i="22"/>
  <c r="C67" i="22"/>
  <c r="B46" i="28"/>
  <c r="B44" i="28"/>
  <c r="B27" i="27"/>
  <c r="B26" i="27"/>
  <c r="CH20" i="38" l="1"/>
  <c r="E20" i="45"/>
  <c r="H20" i="42"/>
  <c r="I20" i="42" s="1"/>
  <c r="J20" i="42" s="1"/>
  <c r="M20" i="42"/>
  <c r="N20" i="42" s="1"/>
  <c r="J4" i="22"/>
  <c r="J3" i="22"/>
  <c r="E57" i="22"/>
  <c r="B65" i="22"/>
  <c r="C65" i="22" s="1"/>
  <c r="K32" i="22"/>
  <c r="O4" i="22"/>
  <c r="B25" i="28"/>
  <c r="H26" i="22"/>
  <c r="B26" i="28" s="1"/>
  <c r="B19" i="28"/>
  <c r="C10" i="40" l="1"/>
  <c r="E70" i="22"/>
  <c r="B68" i="28" s="1"/>
  <c r="E73" i="22"/>
  <c r="B20" i="28"/>
  <c r="G122" i="21"/>
  <c r="H4" i="21"/>
  <c r="H3" i="21"/>
  <c r="B40" i="28"/>
  <c r="B39" i="28"/>
  <c r="B38" i="28"/>
  <c r="B37" i="28"/>
  <c r="B36" i="28"/>
  <c r="B35" i="28"/>
  <c r="B34" i="28"/>
  <c r="B33" i="28"/>
  <c r="B32" i="28"/>
  <c r="B31" i="28"/>
  <c r="B30" i="28"/>
  <c r="B29" i="28"/>
  <c r="B27" i="28"/>
  <c r="B24" i="28"/>
  <c r="B23" i="28"/>
  <c r="B22" i="28"/>
  <c r="B21" i="28"/>
  <c r="B14" i="28"/>
  <c r="B13" i="28"/>
  <c r="O5" i="22"/>
  <c r="L49" i="22" l="1"/>
  <c r="O8" i="35"/>
  <c r="L49" i="35"/>
  <c r="B33" i="27"/>
  <c r="B32" i="27"/>
  <c r="O8" i="22"/>
  <c r="B42" i="28"/>
  <c r="I1" i="21"/>
  <c r="G119" i="21"/>
  <c r="J42" i="22"/>
  <c r="H10" i="24"/>
  <c r="H9" i="24"/>
  <c r="H53" i="21" l="1"/>
  <c r="P13" i="2" s="1"/>
  <c r="D44" i="22"/>
  <c r="D32" i="22"/>
  <c r="H14" i="22"/>
  <c r="P6" i="2" s="1"/>
  <c r="C87" i="22"/>
  <c r="B72" i="28" s="1"/>
  <c r="D36" i="22"/>
  <c r="H16" i="22" s="1"/>
  <c r="H13" i="22"/>
  <c r="D6" i="22"/>
  <c r="H11" i="22" s="1"/>
  <c r="D5" i="22"/>
  <c r="D4" i="22"/>
  <c r="H8" i="22" s="1"/>
  <c r="O7" i="22" s="1"/>
  <c r="D3" i="22"/>
  <c r="H6" i="22" s="1"/>
  <c r="H25" i="22"/>
  <c r="H24" i="22"/>
  <c r="H22" i="22"/>
  <c r="H21" i="22"/>
  <c r="H20" i="22"/>
  <c r="H19" i="22"/>
  <c r="H18" i="22"/>
  <c r="H17" i="22"/>
  <c r="H12" i="22"/>
  <c r="H9" i="22"/>
  <c r="H4" i="22"/>
  <c r="H35" i="22" s="1"/>
  <c r="F59" i="4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T7" i="2"/>
  <c r="AR7" i="2"/>
  <c r="AQ7" i="2"/>
  <c r="AP7" i="2"/>
  <c r="AO7" i="2"/>
  <c r="AL7" i="2"/>
  <c r="AK7" i="2"/>
  <c r="AH7" i="2"/>
  <c r="AG7" i="2"/>
  <c r="AD7" i="2"/>
  <c r="AC7" i="2"/>
  <c r="AB7" i="2"/>
  <c r="AT6" i="2"/>
  <c r="AR6" i="2"/>
  <c r="AQ6" i="2"/>
  <c r="AP6" i="2"/>
  <c r="AO6" i="2"/>
  <c r="AH6" i="2"/>
  <c r="AG6" i="2"/>
  <c r="AC6" i="2"/>
  <c r="AB6" i="2"/>
  <c r="AS5" i="2"/>
  <c r="AR5" i="2"/>
  <c r="AQ5" i="2"/>
  <c r="AO5" i="2"/>
  <c r="AN5" i="2"/>
  <c r="AM5" i="2"/>
  <c r="AL5" i="2"/>
  <c r="AK5" i="2"/>
  <c r="AJ5" i="2"/>
  <c r="AI5" i="2"/>
  <c r="AH5" i="2"/>
  <c r="AG5" i="2"/>
  <c r="AD5" i="2"/>
  <c r="AC5" i="2"/>
  <c r="AB5" i="2"/>
  <c r="AA5" i="2"/>
  <c r="Z5" i="2"/>
  <c r="AS4" i="2"/>
  <c r="AR4" i="2"/>
  <c r="AJ4" i="2"/>
  <c r="AI4" i="2"/>
  <c r="AH4" i="2"/>
  <c r="AG4" i="2"/>
  <c r="AF4" i="2"/>
  <c r="AE4" i="2"/>
  <c r="AC4" i="2"/>
  <c r="AB4" i="2"/>
  <c r="AA4" i="2"/>
  <c r="Z4" i="2"/>
  <c r="AT9" i="2"/>
  <c r="AS9" i="2"/>
  <c r="AR9" i="2"/>
  <c r="AQ9" i="2"/>
  <c r="AT8" i="2"/>
  <c r="AS8" i="2"/>
  <c r="AQ8" i="2"/>
  <c r="Y3" i="2"/>
  <c r="Y4" i="2"/>
  <c r="Y5" i="2"/>
  <c r="Y6" i="2"/>
  <c r="Y7" i="2"/>
  <c r="Y8" i="2"/>
  <c r="Z8" i="2"/>
  <c r="AA8" i="2"/>
  <c r="AB8" i="2"/>
  <c r="AC8" i="2"/>
  <c r="AD8" i="2"/>
  <c r="AE8" i="2"/>
  <c r="AF8" i="2"/>
  <c r="AG8" i="2"/>
  <c r="AH8" i="2"/>
  <c r="AI8" i="2"/>
  <c r="AJ8" i="2"/>
  <c r="AK8" i="2"/>
  <c r="AL8" i="2"/>
  <c r="AM8" i="2"/>
  <c r="AN8" i="2"/>
  <c r="AO8" i="2"/>
  <c r="AP8" i="2"/>
  <c r="Y9" i="2"/>
  <c r="Z9" i="2"/>
  <c r="AA9" i="2"/>
  <c r="AB9" i="2"/>
  <c r="AC9" i="2"/>
  <c r="AE9" i="2"/>
  <c r="AF9" i="2"/>
  <c r="AG9" i="2"/>
  <c r="AH9" i="2"/>
  <c r="AI9" i="2"/>
  <c r="AJ9" i="2"/>
  <c r="AL9" i="2"/>
  <c r="AO9" i="2"/>
  <c r="AP9" i="2"/>
  <c r="Y10" i="2"/>
  <c r="P5" i="2" l="1"/>
  <c r="D59" i="42"/>
  <c r="L52" i="22"/>
  <c r="H11" i="24"/>
  <c r="H33" i="22"/>
  <c r="J29" i="22"/>
  <c r="B49" i="28" s="1"/>
  <c r="O6" i="22"/>
  <c r="C86" i="22"/>
  <c r="AG10" i="2"/>
  <c r="AO10" i="2"/>
  <c r="Q25" i="21"/>
  <c r="H8" i="24"/>
  <c r="M19" i="22"/>
  <c r="L19" i="22"/>
  <c r="L43" i="22"/>
  <c r="J39" i="22"/>
  <c r="P11" i="2"/>
  <c r="L29" i="22"/>
  <c r="G59" i="42" l="1"/>
  <c r="O59" i="42"/>
  <c r="P59" i="42" s="1"/>
  <c r="D19" i="42"/>
  <c r="O19" i="42" s="1"/>
  <c r="P19" i="42" s="1"/>
  <c r="F19" i="42"/>
  <c r="J21" i="2"/>
  <c r="U24" i="21"/>
  <c r="AK9" i="2" s="1"/>
  <c r="G146" i="21"/>
  <c r="G145" i="21"/>
  <c r="G144" i="21"/>
  <c r="G142" i="21"/>
  <c r="G141" i="21"/>
  <c r="N24" i="21"/>
  <c r="AD9" i="2" s="1"/>
  <c r="G117" i="21"/>
  <c r="AB23" i="21" s="1"/>
  <c r="AC22" i="21"/>
  <c r="AS7" i="2" s="1"/>
  <c r="X22" i="21"/>
  <c r="AN7" i="2" s="1"/>
  <c r="W22" i="21"/>
  <c r="AM7" i="2" s="1"/>
  <c r="T22" i="21"/>
  <c r="AJ7" i="2" s="1"/>
  <c r="S22" i="21"/>
  <c r="AI7" i="2" s="1"/>
  <c r="P22" i="21"/>
  <c r="AF7" i="2" s="1"/>
  <c r="O22" i="21"/>
  <c r="AE7" i="2" s="1"/>
  <c r="K22" i="21"/>
  <c r="AA7" i="2" s="1"/>
  <c r="Z7" i="2"/>
  <c r="V21" i="21"/>
  <c r="AL6" i="2" s="1"/>
  <c r="P21" i="21"/>
  <c r="AF6" i="2" s="1"/>
  <c r="AC21" i="21"/>
  <c r="AS6" i="2" s="1"/>
  <c r="X21" i="21"/>
  <c r="AN6" i="2" s="1"/>
  <c r="W21" i="21"/>
  <c r="AM6" i="2" s="1"/>
  <c r="U21" i="21"/>
  <c r="AK6" i="2" s="1"/>
  <c r="T21" i="21"/>
  <c r="AJ6" i="2" s="1"/>
  <c r="S21" i="21"/>
  <c r="AI6" i="2" s="1"/>
  <c r="O21" i="21"/>
  <c r="AE6" i="2" s="1"/>
  <c r="N21" i="21"/>
  <c r="AD6" i="2" s="1"/>
  <c r="K21" i="21"/>
  <c r="AA6" i="2" s="1"/>
  <c r="Z6" i="2"/>
  <c r="AD20" i="21"/>
  <c r="AT5" i="2" s="1"/>
  <c r="AP5" i="2"/>
  <c r="P20" i="21"/>
  <c r="AF5" i="2" s="1"/>
  <c r="O20" i="21"/>
  <c r="AE5" i="2" s="1"/>
  <c r="AD19" i="21"/>
  <c r="AT4" i="2" s="1"/>
  <c r="AA19" i="21"/>
  <c r="AP4" i="2"/>
  <c r="X19" i="21"/>
  <c r="AN4" i="2" s="1"/>
  <c r="W19" i="21"/>
  <c r="AM4" i="2" s="1"/>
  <c r="V19" i="21"/>
  <c r="AL4" i="2" s="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B71" i="42" l="1"/>
  <c r="C71" i="42" s="1"/>
  <c r="E59" i="45"/>
  <c r="F50" i="45" s="1" a="1"/>
  <c r="F50" i="45" s="1"/>
  <c r="CD59" i="38"/>
  <c r="CD207" i="38" s="1"/>
  <c r="M59" i="42"/>
  <c r="N59" i="42" s="1"/>
  <c r="H59" i="42"/>
  <c r="I59" i="42" s="1"/>
  <c r="J59" i="42" s="1"/>
  <c r="G19" i="42"/>
  <c r="U150" i="21"/>
  <c r="H163" i="21"/>
  <c r="V150" i="21" s="1"/>
  <c r="S150" i="21"/>
  <c r="R150" i="21"/>
  <c r="Q150" i="21"/>
  <c r="M150" i="21"/>
  <c r="W150" i="21" s="1"/>
  <c r="AT10" i="2"/>
  <c r="AA25" i="21"/>
  <c r="O19" i="2" s="1"/>
  <c r="AQ4" i="2"/>
  <c r="AQ10" i="2" s="1"/>
  <c r="AP10" i="2"/>
  <c r="H147" i="21"/>
  <c r="AK10" i="2"/>
  <c r="AD25" i="21"/>
  <c r="Z25" i="21"/>
  <c r="O18" i="2" s="1"/>
  <c r="U25" i="21"/>
  <c r="O13" i="2" s="1"/>
  <c r="H140" i="21"/>
  <c r="J41" i="22"/>
  <c r="P10" i="2"/>
  <c r="M21" i="22"/>
  <c r="M20" i="22"/>
  <c r="M18" i="22"/>
  <c r="M17" i="22"/>
  <c r="L17" i="22"/>
  <c r="L21" i="22"/>
  <c r="L20" i="22"/>
  <c r="J40" i="22" s="1"/>
  <c r="L18" i="22"/>
  <c r="B21" i="39" l="1"/>
  <c r="B8" i="45" s="1"/>
  <c r="B77" i="49"/>
  <c r="F77" i="49" s="1"/>
  <c r="B79" i="42"/>
  <c r="C79" i="42" s="1"/>
  <c r="E19" i="45"/>
  <c r="F19" i="45" s="1" a="1"/>
  <c r="F19" i="45" s="1"/>
  <c r="X24" i="21"/>
  <c r="W24" i="21" s="1"/>
  <c r="AM9" i="2" s="1"/>
  <c r="CH19" i="38"/>
  <c r="CH207" i="38" s="1"/>
  <c r="CE19" i="38"/>
  <c r="H19" i="42"/>
  <c r="I19" i="42" s="1"/>
  <c r="J19" i="42" s="1"/>
  <c r="M19" i="42"/>
  <c r="N19" i="42" s="1"/>
  <c r="K150" i="21"/>
  <c r="B17" i="28"/>
  <c r="B29" i="27"/>
  <c r="AB25" i="21"/>
  <c r="O20" i="2" s="1"/>
  <c r="AR8" i="2"/>
  <c r="AR10" i="2" s="1"/>
  <c r="B29" i="39" l="1"/>
  <c r="B16" i="45" s="1"/>
  <c r="B69" i="49"/>
  <c r="F69" i="49" s="1"/>
  <c r="AN9" i="2"/>
  <c r="L10" i="2" l="1"/>
  <c r="L11" i="2"/>
  <c r="H50" i="21"/>
  <c r="L19" i="2" s="1"/>
  <c r="H47" i="21"/>
  <c r="L13" i="2" s="1"/>
  <c r="H44" i="21"/>
  <c r="L5" i="2" s="1"/>
  <c r="H41" i="21"/>
  <c r="L16" i="2" s="1"/>
  <c r="H38" i="21"/>
  <c r="H35" i="21"/>
  <c r="L14" i="2" s="1"/>
  <c r="H29" i="21"/>
  <c r="L18" i="2" s="1"/>
  <c r="J3" i="2"/>
  <c r="H26" i="21"/>
  <c r="L21" i="2" s="1"/>
  <c r="H23" i="21"/>
  <c r="L17" i="2" s="1"/>
  <c r="H20" i="21"/>
  <c r="L20" i="2" s="1"/>
  <c r="H17" i="21"/>
  <c r="L7" i="2" s="1"/>
  <c r="H14" i="21"/>
  <c r="L15" i="2" l="1"/>
  <c r="L2" i="2"/>
  <c r="H125" i="21" l="1"/>
  <c r="B24" i="27" l="1"/>
  <c r="P3" i="2"/>
  <c r="H77" i="21"/>
  <c r="J18" i="21" s="1"/>
  <c r="J38" i="35" l="1"/>
  <c r="H38" i="35" s="1"/>
  <c r="H6" i="24"/>
  <c r="G40" i="35"/>
  <c r="H32" i="35" s="1"/>
  <c r="J38" i="22"/>
  <c r="H38" i="22" s="1"/>
  <c r="D21" i="42" s="1"/>
  <c r="O21" i="42" s="1"/>
  <c r="P21" i="42" s="1"/>
  <c r="G40" i="22"/>
  <c r="S18" i="21"/>
  <c r="AI3" i="2" s="1"/>
  <c r="N18" i="21"/>
  <c r="R18" i="21"/>
  <c r="AH3" i="2" s="1"/>
  <c r="AC18" i="21"/>
  <c r="P18" i="21"/>
  <c r="AF3" i="2" s="1"/>
  <c r="O18" i="21"/>
  <c r="X18" i="21"/>
  <c r="AN3" i="2" s="1"/>
  <c r="M18" i="21"/>
  <c r="W18" i="21"/>
  <c r="AM3" i="2" s="1"/>
  <c r="L18" i="21"/>
  <c r="V18" i="21"/>
  <c r="K18" i="21"/>
  <c r="T18" i="21"/>
  <c r="AJ3" i="2" s="1"/>
  <c r="N19" i="2"/>
  <c r="N10" i="2"/>
  <c r="N11" i="2"/>
  <c r="N13" i="2"/>
  <c r="N5" i="2"/>
  <c r="N16" i="2"/>
  <c r="H188" i="21"/>
  <c r="H160" i="21"/>
  <c r="J36" i="35" l="1"/>
  <c r="H36" i="35"/>
  <c r="AE3" i="2"/>
  <c r="AE10" i="2" s="1"/>
  <c r="S25" i="21"/>
  <c r="O11" i="2" s="1"/>
  <c r="AI10" i="2"/>
  <c r="W25" i="21"/>
  <c r="O15" i="2" s="1"/>
  <c r="AM10" i="2"/>
  <c r="R25" i="21"/>
  <c r="O10" i="2" s="1"/>
  <c r="AH10" i="2"/>
  <c r="V25" i="21"/>
  <c r="O14" i="2" s="1"/>
  <c r="AL3" i="2"/>
  <c r="AL10" i="2" s="1"/>
  <c r="L25" i="21"/>
  <c r="O4" i="2" s="1"/>
  <c r="AB3" i="2"/>
  <c r="AB10" i="2" s="1"/>
  <c r="N25" i="21"/>
  <c r="O6" i="2" s="1"/>
  <c r="AD3" i="2"/>
  <c r="AD10" i="2" s="1"/>
  <c r="M25" i="21"/>
  <c r="O5" i="2" s="1"/>
  <c r="AC3" i="2"/>
  <c r="AC10" i="2" s="1"/>
  <c r="J25" i="21"/>
  <c r="O2" i="2" s="1"/>
  <c r="Z3" i="2"/>
  <c r="Z10" i="2" s="1"/>
  <c r="X25" i="21"/>
  <c r="O16" i="2" s="1"/>
  <c r="AN10" i="2"/>
  <c r="T25" i="21"/>
  <c r="AJ10" i="2"/>
  <c r="P25" i="21"/>
  <c r="O8" i="2" s="1"/>
  <c r="AF10" i="2"/>
  <c r="K25" i="21"/>
  <c r="O3" i="2" s="1"/>
  <c r="AA3" i="2"/>
  <c r="AA10" i="2" s="1"/>
  <c r="AC25" i="21"/>
  <c r="O21" i="2" s="1"/>
  <c r="AS3" i="2"/>
  <c r="AS10" i="2" s="1"/>
  <c r="H32" i="22"/>
  <c r="P12" i="2"/>
  <c r="B16" i="28"/>
  <c r="O25" i="21"/>
  <c r="O7" i="2" s="1"/>
  <c r="N21" i="2"/>
  <c r="N20" i="2"/>
  <c r="N14" i="2"/>
  <c r="N15" i="2"/>
  <c r="N2" i="2"/>
  <c r="B50" i="28" l="1"/>
  <c r="D56" i="42"/>
  <c r="O56" i="42" s="1"/>
  <c r="P56" i="42" s="1"/>
  <c r="N7" i="2"/>
  <c r="N22" i="2"/>
  <c r="J36" i="22"/>
  <c r="H36" i="22"/>
  <c r="P2" i="2" s="1"/>
  <c r="S2" i="2" s="1"/>
  <c r="W2" i="2" l="1"/>
  <c r="J3" i="25" s="1"/>
  <c r="V2" i="2"/>
  <c r="B2" i="27" s="1"/>
  <c r="D21" i="2"/>
  <c r="E20" i="2"/>
  <c r="D20" i="2"/>
  <c r="E18" i="2"/>
  <c r="D18" i="2"/>
  <c r="E17" i="2"/>
  <c r="D17" i="2"/>
  <c r="E12" i="2"/>
  <c r="D12" i="2"/>
  <c r="E11" i="2"/>
  <c r="D11" i="2"/>
  <c r="D9" i="2"/>
  <c r="C9" i="2"/>
  <c r="D8" i="2"/>
  <c r="E7" i="2"/>
  <c r="D7" i="2"/>
  <c r="E6" i="2"/>
  <c r="D6" i="2"/>
  <c r="E5" i="2"/>
  <c r="D5" i="2"/>
  <c r="E4" i="2"/>
  <c r="D4" i="2"/>
  <c r="D3" i="2"/>
  <c r="E2" i="2"/>
  <c r="D2" i="2"/>
  <c r="I3" i="25" l="1"/>
  <c r="F3" i="25" s="1"/>
  <c r="E3" i="25" s="1"/>
  <c r="I3" i="20" l="1"/>
  <c r="J3" i="20" l="1"/>
  <c r="Y25" i="21" l="1"/>
  <c r="O17" i="2" s="1"/>
  <c r="A20" i="2"/>
  <c r="A4" i="2"/>
  <c r="A5" i="2"/>
  <c r="A21" i="2"/>
  <c r="A9" i="2"/>
  <c r="A2" i="2"/>
  <c r="A22" i="2"/>
  <c r="L25" i="22"/>
  <c r="L26" i="22" s="1"/>
  <c r="L27" i="22" s="1"/>
  <c r="A14" i="2"/>
  <c r="A13" i="2"/>
  <c r="A17" i="2"/>
  <c r="A18" i="2"/>
  <c r="A19" i="2"/>
  <c r="H37" i="35"/>
  <c r="K45" i="35" s="1"/>
  <c r="C56" i="22"/>
  <c r="H30" i="35"/>
  <c r="I30" i="35" s="1"/>
  <c r="H30" i="22"/>
  <c r="A6" i="2"/>
  <c r="L16" i="35"/>
  <c r="L22" i="35" s="1"/>
  <c r="L23" i="35" s="1"/>
  <c r="A3" i="2"/>
  <c r="C56" i="35"/>
  <c r="C74" i="35" s="1"/>
  <c r="C76" i="35" s="1"/>
  <c r="A7" i="2"/>
  <c r="A15" i="2"/>
  <c r="A11" i="2"/>
  <c r="A8" i="2"/>
  <c r="H37" i="22"/>
  <c r="L16" i="22"/>
  <c r="L13" i="22" s="1"/>
  <c r="M16" i="35"/>
  <c r="M22" i="35" s="1"/>
  <c r="M23" i="35" s="1"/>
  <c r="A16" i="2"/>
  <c r="A12" i="2"/>
  <c r="L25" i="35"/>
  <c r="L26" i="35" s="1"/>
  <c r="L27" i="35" s="1"/>
  <c r="A10" i="2"/>
  <c r="M25" i="22"/>
  <c r="M26" i="22" s="1"/>
  <c r="M27" i="22" s="1"/>
  <c r="M25" i="35"/>
  <c r="M26" i="35" s="1"/>
  <c r="M27" i="35" s="1"/>
  <c r="L10" i="35"/>
  <c r="L10" i="22"/>
  <c r="M16" i="22"/>
  <c r="M13" i="22" s="1"/>
  <c r="C18" i="40"/>
  <c r="C20" i="40" s="1"/>
  <c r="L13" i="35" l="1"/>
  <c r="L48" i="22"/>
  <c r="L59" i="22" s="1"/>
  <c r="N48" i="22" s="1"/>
  <c r="B104" i="22"/>
  <c r="C73" i="35"/>
  <c r="C75" i="35" s="1"/>
  <c r="P8" i="2"/>
  <c r="D12" i="42"/>
  <c r="D13" i="42"/>
  <c r="O13" i="42" s="1"/>
  <c r="P13" i="42" s="1"/>
  <c r="H58" i="22"/>
  <c r="H57" i="22"/>
  <c r="B10" i="28" s="1"/>
  <c r="B11" i="28" s="1"/>
  <c r="M22" i="22"/>
  <c r="M23" i="22" s="1"/>
  <c r="D58" i="42"/>
  <c r="O58" i="42" s="1"/>
  <c r="P58" i="42" s="1"/>
  <c r="L22" i="22"/>
  <c r="L23" i="22" s="1"/>
  <c r="L48" i="35"/>
  <c r="L59" i="35" s="1"/>
  <c r="N49" i="35" s="1"/>
  <c r="C73" i="22"/>
  <c r="C75" i="22" s="1"/>
  <c r="B65" i="28" s="1"/>
  <c r="O3" i="22"/>
  <c r="C74" i="22"/>
  <c r="C76" i="22" s="1"/>
  <c r="B64" i="28" s="1"/>
  <c r="H57" i="35"/>
  <c r="I30" i="22"/>
  <c r="J31" i="22"/>
  <c r="J31" i="35"/>
  <c r="M13" i="35"/>
  <c r="C4" i="38"/>
  <c r="BS4" i="38" s="1"/>
  <c r="BS207" i="38" s="1"/>
  <c r="BS208" i="38" s="1"/>
  <c r="C11" i="40"/>
  <c r="C19" i="40"/>
  <c r="C21" i="40" s="1"/>
  <c r="K45" i="22"/>
  <c r="O3" i="35"/>
  <c r="B43" i="28"/>
  <c r="H58" i="35"/>
  <c r="G12" i="42" l="1"/>
  <c r="E12" i="45" s="1"/>
  <c r="F8" i="45" s="1" a="1"/>
  <c r="F8" i="45" s="1"/>
  <c r="O12" i="42"/>
  <c r="P12" i="42" s="1"/>
  <c r="H31" i="35"/>
  <c r="B12" i="28"/>
  <c r="H31" i="22"/>
  <c r="N48" i="35"/>
  <c r="N50" i="35"/>
  <c r="N49" i="22"/>
  <c r="N50" i="22"/>
  <c r="C13" i="40"/>
  <c r="C12" i="40"/>
  <c r="E4" i="38"/>
  <c r="BN4" i="38"/>
  <c r="BO4" i="38"/>
  <c r="BB4" i="38"/>
  <c r="BB207" i="38" s="1"/>
  <c r="BB208" i="38" s="1"/>
  <c r="BP4" i="38"/>
  <c r="B24" i="49" l="1"/>
  <c r="B198" i="49"/>
  <c r="C198" i="49" s="1"/>
  <c r="C7" i="40"/>
  <c r="M12" i="42"/>
  <c r="N12" i="42" s="1"/>
  <c r="B77" i="42"/>
  <c r="C77" i="42" s="1"/>
  <c r="CE12" i="38"/>
  <c r="CE207" i="38" s="1"/>
  <c r="H12" i="42"/>
  <c r="I12" i="42" s="1"/>
  <c r="J12" i="42" s="1"/>
  <c r="BQ207" i="38"/>
  <c r="BQ208" i="38" s="1"/>
  <c r="AM3" i="38"/>
  <c r="AM207" i="38" s="1"/>
  <c r="AM208" i="38" s="1"/>
  <c r="BN207" i="38"/>
  <c r="BN208" i="38" s="1"/>
  <c r="BP207" i="38"/>
  <c r="BP208" i="38" s="1"/>
  <c r="BO207" i="38"/>
  <c r="BO208" i="38" s="1"/>
  <c r="P16" i="2"/>
  <c r="P15" i="2" s="1"/>
  <c r="F5" i="42"/>
  <c r="N52" i="35"/>
  <c r="N52" i="22"/>
  <c r="V207" i="38"/>
  <c r="V208" i="38" s="1"/>
  <c r="Q4" i="38"/>
  <c r="Q207" i="38" s="1"/>
  <c r="Q208" i="38" s="1"/>
  <c r="P207" i="38"/>
  <c r="P208" i="38" s="1"/>
  <c r="H4" i="38"/>
  <c r="H207" i="38" s="1"/>
  <c r="H208" i="38" s="1"/>
  <c r="BR207" i="38"/>
  <c r="BR208" i="38" s="1"/>
  <c r="AB207" i="38"/>
  <c r="AB208" i="38" s="1"/>
  <c r="W4" i="38"/>
  <c r="W207" i="38" s="1"/>
  <c r="W208" i="38" s="1"/>
  <c r="L4" i="38"/>
  <c r="J4" i="38"/>
  <c r="J207" i="38" s="1"/>
  <c r="J208" i="38" s="1"/>
  <c r="G4" i="38"/>
  <c r="G207" i="38" s="1"/>
  <c r="G208" i="38" s="1"/>
  <c r="U207" i="38"/>
  <c r="U208" i="38" s="1"/>
  <c r="Z207" i="38"/>
  <c r="Z208" i="38" s="1"/>
  <c r="N4" i="38"/>
  <c r="R207" i="38"/>
  <c r="R208" i="38" s="1"/>
  <c r="M207" i="38"/>
  <c r="M208" i="38" s="1"/>
  <c r="F4" i="38"/>
  <c r="S4" i="38"/>
  <c r="S207" i="38" s="1"/>
  <c r="S208" i="38" s="1"/>
  <c r="AA207" i="38"/>
  <c r="AA208" i="38" s="1"/>
  <c r="X207" i="38"/>
  <c r="X208" i="38" s="1"/>
  <c r="K4" i="38"/>
  <c r="O207" i="38"/>
  <c r="O208" i="38" s="1"/>
  <c r="I4" i="38"/>
  <c r="Y4" i="38"/>
  <c r="Y207" i="38" s="1"/>
  <c r="Y208" i="38" s="1"/>
  <c r="C204" i="49" l="1"/>
  <c r="C5" i="40"/>
  <c r="B22" i="49"/>
  <c r="B27" i="39"/>
  <c r="B14" i="45" s="1"/>
  <c r="B71" i="49"/>
  <c r="F71" i="49" s="1"/>
  <c r="C6" i="40"/>
  <c r="B73" i="28"/>
  <c r="D5" i="42"/>
  <c r="O5" i="42" s="1"/>
  <c r="P5" i="42" s="1"/>
  <c r="I207" i="38"/>
  <c r="I208" i="38" s="1"/>
  <c r="F207" i="38"/>
  <c r="F208" i="38" s="1"/>
  <c r="N207" i="38"/>
  <c r="N208" i="38" s="1"/>
  <c r="K207" i="38"/>
  <c r="K208" i="38" s="1"/>
  <c r="L207" i="38"/>
  <c r="L208" i="38" s="1"/>
  <c r="S16" i="2"/>
  <c r="V16" i="2" s="1"/>
  <c r="W15" i="2" s="1"/>
  <c r="J16" i="25" s="1"/>
  <c r="K20" i="2"/>
  <c r="B156" i="49" l="1"/>
  <c r="B211" i="49"/>
  <c r="C211" i="49" s="1"/>
  <c r="B205" i="49"/>
  <c r="C205" i="49" s="1"/>
  <c r="B21" i="49"/>
  <c r="G5" i="42"/>
  <c r="D39" i="42"/>
  <c r="O39" i="42" s="1"/>
  <c r="P39" i="42" s="1"/>
  <c r="C3" i="40"/>
  <c r="S15" i="2"/>
  <c r="I16" i="20" s="1"/>
  <c r="I17" i="25"/>
  <c r="B16" i="27"/>
  <c r="W16" i="2"/>
  <c r="J17" i="25" s="1"/>
  <c r="I17" i="20"/>
  <c r="J17" i="20"/>
  <c r="K22" i="2"/>
  <c r="T22" i="2" s="1"/>
  <c r="R22" i="2" s="1"/>
  <c r="K18" i="2"/>
  <c r="T18" i="2" s="1"/>
  <c r="R18" i="2" s="1"/>
  <c r="K16" i="2"/>
  <c r="T16" i="2" s="1"/>
  <c r="R16" i="2" s="1"/>
  <c r="H17" i="20" s="1"/>
  <c r="K11" i="2"/>
  <c r="T20" i="2"/>
  <c r="R20" i="2" s="1"/>
  <c r="X20" i="2"/>
  <c r="Q20" i="2"/>
  <c r="K19" i="2"/>
  <c r="K6" i="2"/>
  <c r="K10" i="2"/>
  <c r="K21" i="2"/>
  <c r="K7" i="2"/>
  <c r="K15" i="2"/>
  <c r="K14" i="2"/>
  <c r="K4" i="2"/>
  <c r="K9" i="2"/>
  <c r="K3" i="2"/>
  <c r="K13" i="2"/>
  <c r="K17" i="2"/>
  <c r="K2" i="2"/>
  <c r="K12" i="2"/>
  <c r="K8" i="2"/>
  <c r="K5" i="2"/>
  <c r="B120" i="49" l="1"/>
  <c r="B118" i="49"/>
  <c r="B122" i="49"/>
  <c r="B121" i="49"/>
  <c r="E5" i="45"/>
  <c r="G2" i="45" s="1" a="1"/>
  <c r="G2" i="45" s="1"/>
  <c r="I69" i="49" a="1"/>
  <c r="I69" i="49" s="1"/>
  <c r="CG5" i="38"/>
  <c r="CG207" i="38" s="1"/>
  <c r="B74" i="42"/>
  <c r="C74" i="42" s="1"/>
  <c r="B68" i="49" s="1"/>
  <c r="F68" i="49" s="1"/>
  <c r="M5" i="42"/>
  <c r="N5" i="42" s="1"/>
  <c r="H5" i="42"/>
  <c r="I5" i="42" s="1"/>
  <c r="J5" i="42" s="1"/>
  <c r="F17" i="25"/>
  <c r="E17" i="25" s="1"/>
  <c r="U20" i="2"/>
  <c r="H21" i="25" s="1"/>
  <c r="V15" i="2"/>
  <c r="I16" i="25" s="1"/>
  <c r="F16" i="25" s="1"/>
  <c r="E16" i="25" s="1"/>
  <c r="X16" i="2"/>
  <c r="Q11" i="2"/>
  <c r="T11" i="2"/>
  <c r="R11" i="2" s="1"/>
  <c r="X11" i="2"/>
  <c r="Q18" i="2"/>
  <c r="U18" i="2" s="1"/>
  <c r="W18" i="2" s="1"/>
  <c r="J19" i="25" s="1"/>
  <c r="X18" i="2"/>
  <c r="Q22" i="2"/>
  <c r="U22" i="2" s="1"/>
  <c r="W22" i="2" s="1"/>
  <c r="J23" i="25" s="1"/>
  <c r="X22" i="2"/>
  <c r="X13" i="2"/>
  <c r="T13" i="2"/>
  <c r="R13" i="2" s="1"/>
  <c r="Q13" i="2"/>
  <c r="Q19" i="2"/>
  <c r="X19" i="2"/>
  <c r="T19" i="2"/>
  <c r="R19" i="2" s="1"/>
  <c r="H19" i="20"/>
  <c r="S18" i="2"/>
  <c r="I19" i="20" s="1"/>
  <c r="Q9" i="2"/>
  <c r="X9" i="2"/>
  <c r="T9" i="2"/>
  <c r="R9" i="2" s="1"/>
  <c r="T4" i="2"/>
  <c r="R4" i="2" s="1"/>
  <c r="X4" i="2"/>
  <c r="Q4" i="2"/>
  <c r="T14" i="2"/>
  <c r="R14" i="2" s="1"/>
  <c r="Q14" i="2"/>
  <c r="X14" i="2"/>
  <c r="X5" i="2"/>
  <c r="Q5" i="2"/>
  <c r="T5" i="2"/>
  <c r="R5" i="2" s="1"/>
  <c r="X8" i="2"/>
  <c r="Q8" i="2"/>
  <c r="T8" i="2"/>
  <c r="R8" i="2" s="1"/>
  <c r="T7" i="2"/>
  <c r="R7" i="2" s="1"/>
  <c r="X7" i="2"/>
  <c r="Q7" i="2"/>
  <c r="K17" i="20"/>
  <c r="R17" i="20"/>
  <c r="Q12" i="2"/>
  <c r="T12" i="2"/>
  <c r="R12" i="2" s="1"/>
  <c r="X12" i="2"/>
  <c r="X21" i="2"/>
  <c r="Q21" i="2"/>
  <c r="T21" i="2"/>
  <c r="R21" i="2" s="1"/>
  <c r="Q17" i="2"/>
  <c r="T17" i="2"/>
  <c r="R17" i="2" s="1"/>
  <c r="X17" i="2"/>
  <c r="X3" i="2"/>
  <c r="Q3" i="2"/>
  <c r="T3" i="2"/>
  <c r="R3" i="2" s="1"/>
  <c r="S20" i="2"/>
  <c r="I21" i="20" s="1"/>
  <c r="H21" i="20"/>
  <c r="Q16" i="2"/>
  <c r="U16" i="2" s="1"/>
  <c r="H17" i="25" s="1"/>
  <c r="X10" i="2"/>
  <c r="Q10" i="2"/>
  <c r="T10" i="2"/>
  <c r="R10" i="2" s="1"/>
  <c r="Q15" i="2"/>
  <c r="X15" i="2"/>
  <c r="T15" i="2"/>
  <c r="R15" i="2" s="1"/>
  <c r="H16" i="20" s="1"/>
  <c r="Q2" i="2"/>
  <c r="X2" i="2"/>
  <c r="T2" i="2"/>
  <c r="R2" i="2" s="1"/>
  <c r="H3" i="20" s="1"/>
  <c r="S22" i="2"/>
  <c r="I23" i="20" s="1"/>
  <c r="H23" i="20"/>
  <c r="X6" i="2"/>
  <c r="Q6" i="2"/>
  <c r="T6" i="2"/>
  <c r="R6" i="2" s="1"/>
  <c r="H73" i="49" l="1" a="1"/>
  <c r="H73" i="49" s="1"/>
  <c r="F2" i="45" a="1"/>
  <c r="F2" i="45" s="1"/>
  <c r="H70" i="49" a="1"/>
  <c r="H70" i="49" s="1"/>
  <c r="H72" i="49" a="1"/>
  <c r="H72" i="49" s="1"/>
  <c r="I70" i="49" a="1"/>
  <c r="I70" i="49" s="1"/>
  <c r="H68" i="49" a="1"/>
  <c r="H68" i="49" s="1"/>
  <c r="I73" i="49" a="1"/>
  <c r="I73" i="49" s="1"/>
  <c r="I74" i="49" a="1"/>
  <c r="I74" i="49" s="1"/>
  <c r="I72" i="49" a="1"/>
  <c r="I72" i="49" s="1"/>
  <c r="I71" i="49" a="1"/>
  <c r="I71" i="49" s="1"/>
  <c r="H77" i="49" a="1"/>
  <c r="H77" i="49" s="1"/>
  <c r="J73" i="49" a="1"/>
  <c r="J73" i="49" s="1"/>
  <c r="J77" i="49" a="1"/>
  <c r="J77" i="49" s="1"/>
  <c r="J72" i="49" a="1"/>
  <c r="J72" i="49" s="1"/>
  <c r="H71" i="49" a="1"/>
  <c r="H71" i="49" s="1"/>
  <c r="I78" i="49" a="1"/>
  <c r="I78" i="49" s="1"/>
  <c r="H74" i="49" a="1"/>
  <c r="H74" i="49" s="1"/>
  <c r="J69" i="49" a="1"/>
  <c r="J69" i="49" s="1"/>
  <c r="J71" i="49" a="1"/>
  <c r="J71" i="49" s="1"/>
  <c r="J70" i="49" a="1"/>
  <c r="J70" i="49" s="1"/>
  <c r="J74" i="49" a="1"/>
  <c r="J74" i="49" s="1"/>
  <c r="H78" i="49" a="1"/>
  <c r="H78" i="49" s="1"/>
  <c r="J68" i="49" a="1"/>
  <c r="J68" i="49" s="1"/>
  <c r="H75" i="49" a="1"/>
  <c r="H75" i="49" s="1"/>
  <c r="I68" i="49" a="1"/>
  <c r="I68" i="49" s="1"/>
  <c r="B11" i="49" a="1"/>
  <c r="B11" i="49" s="1"/>
  <c r="I77" i="49" a="1"/>
  <c r="I77" i="49" s="1"/>
  <c r="J78" i="49" a="1"/>
  <c r="J78" i="49" s="1"/>
  <c r="J75" i="49" a="1"/>
  <c r="J75" i="49" s="1"/>
  <c r="H69" i="49" a="1"/>
  <c r="H69" i="49" s="1"/>
  <c r="I75" i="49" a="1"/>
  <c r="I75" i="49" s="1"/>
  <c r="B24" i="39"/>
  <c r="B11" i="45" s="1"/>
  <c r="F70" i="42"/>
  <c r="W20" i="2"/>
  <c r="J21" i="25" s="1"/>
  <c r="H23" i="25"/>
  <c r="U7" i="2"/>
  <c r="W7" i="2" s="1"/>
  <c r="J8" i="25" s="1"/>
  <c r="J16" i="20"/>
  <c r="K16" i="20" s="1"/>
  <c r="B15" i="27"/>
  <c r="U4" i="2"/>
  <c r="H5" i="25" s="1"/>
  <c r="U13" i="2"/>
  <c r="H14" i="25" s="1"/>
  <c r="U11" i="2"/>
  <c r="U8" i="2"/>
  <c r="H9" i="25" s="1"/>
  <c r="U9" i="2"/>
  <c r="W9" i="2" s="1"/>
  <c r="J10" i="25" s="1"/>
  <c r="U10" i="2"/>
  <c r="W10" i="2" s="1"/>
  <c r="J11" i="25" s="1"/>
  <c r="H12" i="20"/>
  <c r="S11" i="2"/>
  <c r="V22" i="2"/>
  <c r="B22" i="27" s="1"/>
  <c r="U14" i="2"/>
  <c r="H15" i="25" s="1"/>
  <c r="H20" i="20"/>
  <c r="S19" i="2"/>
  <c r="I20" i="20" s="1"/>
  <c r="U19" i="2"/>
  <c r="U5" i="2"/>
  <c r="U15" i="2"/>
  <c r="H16" i="25" s="1"/>
  <c r="S6" i="2"/>
  <c r="I7" i="20" s="1"/>
  <c r="H7" i="20"/>
  <c r="H13" i="20"/>
  <c r="S12" i="2"/>
  <c r="I13" i="20" s="1"/>
  <c r="U12" i="2"/>
  <c r="U3" i="2"/>
  <c r="H22" i="20"/>
  <c r="S21" i="2"/>
  <c r="I22" i="20" s="1"/>
  <c r="U6" i="2"/>
  <c r="H15" i="20"/>
  <c r="S14" i="2"/>
  <c r="I15" i="20" s="1"/>
  <c r="K3" i="20"/>
  <c r="R3" i="20"/>
  <c r="H18" i="20"/>
  <c r="S17" i="2"/>
  <c r="I18" i="20" s="1"/>
  <c r="V20" i="2"/>
  <c r="U17" i="2"/>
  <c r="S7" i="2"/>
  <c r="I8" i="20" s="1"/>
  <c r="H8" i="20"/>
  <c r="H5" i="20"/>
  <c r="S4" i="2"/>
  <c r="I5" i="20" s="1"/>
  <c r="S13" i="2"/>
  <c r="I14" i="20" s="1"/>
  <c r="H14" i="20"/>
  <c r="U21" i="2"/>
  <c r="H6" i="20"/>
  <c r="S5" i="2"/>
  <c r="I6" i="20" s="1"/>
  <c r="H4" i="20"/>
  <c r="S3" i="2"/>
  <c r="I4" i="20" s="1"/>
  <c r="T17" i="20"/>
  <c r="F20" i="24"/>
  <c r="U2" i="2"/>
  <c r="H3" i="25" s="1"/>
  <c r="H11" i="20"/>
  <c r="S10" i="2"/>
  <c r="I11" i="20" s="1"/>
  <c r="V18" i="2"/>
  <c r="H19" i="25"/>
  <c r="H9" i="20"/>
  <c r="S8" i="2"/>
  <c r="I9" i="20" s="1"/>
  <c r="H10" i="20"/>
  <c r="S9" i="2"/>
  <c r="I10" i="20" s="1"/>
  <c r="H8" i="25" l="1"/>
  <c r="R16" i="20"/>
  <c r="T16" i="20" s="1"/>
  <c r="H12" i="25"/>
  <c r="W11" i="2"/>
  <c r="J12" i="25" s="1"/>
  <c r="W4" i="2"/>
  <c r="J5" i="25" s="1"/>
  <c r="W13" i="2"/>
  <c r="J14" i="25" s="1"/>
  <c r="H11" i="25"/>
  <c r="H10" i="25"/>
  <c r="W14" i="2"/>
  <c r="J15" i="25" s="1"/>
  <c r="W8" i="2"/>
  <c r="J9" i="25" s="1"/>
  <c r="I12" i="20"/>
  <c r="V11" i="2"/>
  <c r="I23" i="25"/>
  <c r="F23" i="25" s="1"/>
  <c r="E23" i="25" s="1"/>
  <c r="V9" i="2"/>
  <c r="I10" i="25" s="1"/>
  <c r="F10" i="25" s="1"/>
  <c r="E10" i="25" s="1"/>
  <c r="J23" i="20"/>
  <c r="K23" i="20" s="1"/>
  <c r="W6" i="2"/>
  <c r="J7" i="25" s="1"/>
  <c r="V6" i="2"/>
  <c r="H7" i="25"/>
  <c r="J21" i="20"/>
  <c r="I21" i="25"/>
  <c r="F21" i="25" s="1"/>
  <c r="E21" i="25" s="1"/>
  <c r="B20" i="27"/>
  <c r="T3" i="20"/>
  <c r="F6" i="24"/>
  <c r="V7" i="2"/>
  <c r="W19" i="2"/>
  <c r="J20" i="25" s="1"/>
  <c r="H20" i="25"/>
  <c r="V19" i="2"/>
  <c r="H4" i="25"/>
  <c r="V3" i="2"/>
  <c r="W3" i="2"/>
  <c r="J4" i="25" s="1"/>
  <c r="V8" i="2"/>
  <c r="J19" i="20"/>
  <c r="B18" i="27"/>
  <c r="I19" i="25"/>
  <c r="F19" i="25" s="1"/>
  <c r="E19" i="25" s="1"/>
  <c r="W21" i="2"/>
  <c r="J22" i="25" s="1"/>
  <c r="H22" i="25"/>
  <c r="V21" i="2"/>
  <c r="H13" i="25"/>
  <c r="V12" i="2"/>
  <c r="W12" i="2" s="1"/>
  <c r="J13" i="25" s="1"/>
  <c r="H18" i="25"/>
  <c r="W17" i="2"/>
  <c r="J18" i="25" s="1"/>
  <c r="V17" i="2"/>
  <c r="V14" i="2"/>
  <c r="V13" i="2"/>
  <c r="V4" i="2"/>
  <c r="V5" i="2"/>
  <c r="W5" i="2"/>
  <c r="J6" i="25" s="1"/>
  <c r="H6" i="25"/>
  <c r="V10" i="2"/>
  <c r="F19" i="24" l="1"/>
  <c r="R23" i="20"/>
  <c r="F26" i="24" s="1"/>
  <c r="B9" i="27"/>
  <c r="J10" i="20"/>
  <c r="K10" i="20" s="1"/>
  <c r="B11" i="27"/>
  <c r="J12" i="20"/>
  <c r="I12" i="25"/>
  <c r="F12" i="25" s="1"/>
  <c r="E12" i="25" s="1"/>
  <c r="B10" i="27"/>
  <c r="J11" i="20"/>
  <c r="I11" i="25"/>
  <c r="F11" i="25" s="1"/>
  <c r="E11" i="25" s="1"/>
  <c r="I4" i="25"/>
  <c r="F4" i="25" s="1"/>
  <c r="E4" i="25" s="1"/>
  <c r="B3" i="27"/>
  <c r="J4" i="20"/>
  <c r="R19" i="20"/>
  <c r="K19" i="20"/>
  <c r="B14" i="27"/>
  <c r="J15" i="20"/>
  <c r="I15" i="25"/>
  <c r="F15" i="25" s="1"/>
  <c r="E15" i="25" s="1"/>
  <c r="J9" i="20"/>
  <c r="B8" i="27"/>
  <c r="I9" i="25"/>
  <c r="F9" i="25" s="1"/>
  <c r="E9" i="25" s="1"/>
  <c r="I14" i="25"/>
  <c r="F14" i="25" s="1"/>
  <c r="E14" i="25" s="1"/>
  <c r="B13" i="27"/>
  <c r="J14" i="20"/>
  <c r="B12" i="27"/>
  <c r="J13" i="20"/>
  <c r="I13" i="25"/>
  <c r="F13" i="25" s="1"/>
  <c r="E13" i="25" s="1"/>
  <c r="B19" i="27"/>
  <c r="I20" i="25"/>
  <c r="F20" i="25" s="1"/>
  <c r="E20" i="25" s="1"/>
  <c r="J20" i="20"/>
  <c r="J7" i="20"/>
  <c r="I7" i="25"/>
  <c r="F7" i="25" s="1"/>
  <c r="E7" i="25" s="1"/>
  <c r="B6" i="27"/>
  <c r="B4" i="27"/>
  <c r="I5" i="25"/>
  <c r="F5" i="25" s="1"/>
  <c r="E5" i="25" s="1"/>
  <c r="J5" i="20"/>
  <c r="J22" i="20"/>
  <c r="I22" i="25"/>
  <c r="F22" i="25" s="1"/>
  <c r="E22" i="25" s="1"/>
  <c r="B21" i="27"/>
  <c r="R21" i="20"/>
  <c r="K21" i="20"/>
  <c r="I6" i="25"/>
  <c r="F6" i="25" s="1"/>
  <c r="E6" i="25" s="1"/>
  <c r="B5" i="27"/>
  <c r="J6" i="20"/>
  <c r="J18" i="20"/>
  <c r="I18" i="25"/>
  <c r="F18" i="25" s="1"/>
  <c r="E18" i="25" s="1"/>
  <c r="B17" i="27"/>
  <c r="B7" i="27"/>
  <c r="J8" i="20"/>
  <c r="I8" i="25"/>
  <c r="F8" i="25" s="1"/>
  <c r="E8" i="25" s="1"/>
  <c r="T23" i="20" l="1"/>
  <c r="R10" i="20"/>
  <c r="T10" i="20" s="1"/>
  <c r="K12" i="20"/>
  <c r="R12" i="20"/>
  <c r="R5" i="20"/>
  <c r="K5" i="20"/>
  <c r="T19" i="20"/>
  <c r="F22" i="24"/>
  <c r="R13" i="20"/>
  <c r="K13" i="20"/>
  <c r="K14" i="20"/>
  <c r="R14" i="20"/>
  <c r="T21" i="20"/>
  <c r="F24" i="24"/>
  <c r="R7" i="20"/>
  <c r="K7" i="20"/>
  <c r="R8" i="20"/>
  <c r="K8" i="20"/>
  <c r="R20" i="20"/>
  <c r="K20" i="20"/>
  <c r="K9" i="20"/>
  <c r="R9" i="20"/>
  <c r="K11" i="20"/>
  <c r="R11" i="20"/>
  <c r="R18" i="20"/>
  <c r="K18" i="20"/>
  <c r="R4" i="20"/>
  <c r="K4" i="20"/>
  <c r="K6" i="20"/>
  <c r="R6" i="20"/>
  <c r="K22" i="20"/>
  <c r="R22" i="20"/>
  <c r="K15" i="20"/>
  <c r="R15" i="20"/>
  <c r="T22" i="20" l="1"/>
  <c r="F25" i="24"/>
  <c r="F13" i="24"/>
  <c r="T12" i="20"/>
  <c r="F15" i="24"/>
  <c r="T14" i="20"/>
  <c r="F17" i="24"/>
  <c r="F7" i="24"/>
  <c r="T4" i="20"/>
  <c r="T9" i="20"/>
  <c r="F12" i="24"/>
  <c r="F18" i="24"/>
  <c r="T15" i="20"/>
  <c r="F16" i="24"/>
  <c r="T13" i="20"/>
  <c r="T20" i="20"/>
  <c r="F23" i="24"/>
  <c r="F10" i="24"/>
  <c r="T7" i="20"/>
  <c r="F21" i="24"/>
  <c r="T18" i="20"/>
  <c r="F14" i="24"/>
  <c r="T11" i="20"/>
  <c r="T6" i="20"/>
  <c r="F9" i="24"/>
  <c r="T8" i="20"/>
  <c r="F11" i="24"/>
  <c r="F8" i="24"/>
  <c r="T5" i="20"/>
  <c r="BU208" i="38"/>
  <c r="CE208" i="38"/>
  <c r="CF208" i="38"/>
  <c r="BW208" i="38"/>
  <c r="CK208" i="38"/>
  <c r="CC208" i="38"/>
  <c r="BX208" i="38"/>
  <c r="BV208" i="38"/>
  <c r="BY208" i="38"/>
  <c r="CA208" i="38"/>
  <c r="CJ208" i="38"/>
  <c r="CD208" i="38"/>
  <c r="CI208" i="38"/>
  <c r="CB208" i="38"/>
  <c r="CL208" i="38"/>
  <c r="BZ208" i="38"/>
  <c r="CG208" i="38"/>
  <c r="CH208" i="38"/>
  <c r="B25" i="49" l="1"/>
  <c r="C8" i="40"/>
  <c r="F45" i="45"/>
  <c r="G5" i="45"/>
  <c r="G4" i="45"/>
  <c r="G3" i="45"/>
</calcChain>
</file>

<file path=xl/metadata.xml><?xml version="1.0" encoding="utf-8"?>
<metadata xmlns="http://schemas.openxmlformats.org/spreadsheetml/2006/main">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xmlns:xda="http://schemas.microsoft.com/office/spreadsheetml/2017/dynamicarray" uri="{bdbb8cdc-fa1e-496e-a857-3c3f30c029c3}">
          <xda:dynamicArrayProperties fDynamic="1" fCollapsed="0"/>
        </ext>
      </extLst>
    </bk>
  </futureMetadata>
  <futureMetadata name="XLRICHVALUE" count="1">
    <bk>
      <extLst>
        <ext xmlns:xlrd="http://schemas.microsoft.com/office/spreadsheetml/2017/richdata"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<sst xmlns="http://schemas.openxmlformats.org/spreadsheetml/2006/main" count="6678" uniqueCount="2961">
  <si>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</si>
  <si>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</si>
  <si>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</si>
  <si>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</si>
  <si>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</si>
  <si>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</si>
  <si>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</si>
  <si>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</si>
  <si>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</si>
  <si>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</si>
  <si>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</si>
  <si>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</si>
  <si>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</si>
  <si>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</si>
  <si>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</si>
  <si>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</si>
  <si>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</si>
  <si>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</si>
  <si>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</si>
  <si>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</si>
  <si>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</si>
  <si>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</si>
  <si>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</si>
  <si>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</si>
  <si>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</si>
  <si>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</si>
  <si>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</si>
  <si>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</si>
  <si>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</si>
  <si>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</si>
  <si>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</si>
  <si>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</si>
  <si>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</si>
  <si>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</si>
  <si>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</si>
  <si>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</si>
  <si>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</si>
  <si>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</si>
  <si>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</si>
  <si>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</si>
  <si>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</si>
  <si>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</si>
  <si>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</si>
  <si>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</si>
  <si>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</si>
  <si>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</si>
  <si>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</si>
  <si>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</si>
  <si>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</si>
  <si>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</si>
  <si>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</si>
  <si>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</si>
  <si>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</si>
  <si>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</si>
  <si>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</si>
  <si>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</si>
  <si>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</si>
  <si>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</si>
  <si>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</si>
  <si>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</si>
  <si>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</si>
  <si>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</si>
  <si>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</si>
  <si>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</si>
  <si>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</si>
  <si>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</si>
  <si>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</si>
  <si>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</si>
  <si>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</si>
  <si>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</si>
  <si>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</si>
  <si>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</si>
  <si>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</si>
  <si>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</si>
  <si>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</si>
  <si>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</si>
  <si>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</si>
  <si>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</si>
  <si>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</si>
  <si>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</si>
  <si>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</si>
  <si>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</si>
  <si>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</si>
  <si>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</si>
  <si>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</si>
  <si>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</si>
  <si>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</si>
  <si>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</si>
  <si>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</si>
  <si>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</si>
  <si>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</si>
  <si>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</si>
  <si>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</si>
  <si>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</si>
  <si>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</si>
  <si>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</si>
  <si>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</si>
  <si>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</si>
  <si>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</si>
  <si>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</si>
  <si>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</si>
  <si>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</si>
  <si>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</si>
  <si>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</si>
  <si>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</si>
  <si>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</si>
  <si>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</si>
  <si>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</si>
  <si>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</si>
  <si>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</si>
  <si>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</si>
  <si>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</si>
  <si>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</si>
  <si>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</si>
  <si>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</si>
  <si>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</si>
  <si>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</si>
  <si>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</si>
  <si>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</si>
  <si>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</si>
  <si>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</si>
  <si>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</si>
  <si>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</si>
  <si>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</si>
  <si>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</si>
  <si>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</si>
  <si>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</si>
  <si>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Avec action</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</si>
  <si>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</si>
  <si>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</si>
  <si>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</si>
  <si>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</si>
  <si>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</si>
  <si>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</si>
  <si>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</si>
  <si>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</si>
  <si>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</si>
  <si>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</si>
  <si>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</si>
  <si>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</si>
  <si>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</si>
  <si>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</si>
  <si>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</si>
  <si>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</si>
  <si>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</si>
  <si>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</si>
  <si>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</si>
  <si>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</si>
  <si>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</si>
  <si>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</si>
  <si>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</si>
  <si>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</si>
  <si>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</si>
  <si>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</si>
  <si>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</si>
  <si>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</si>
  <si>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</si>
  <si>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</si>
  <si>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</si>
  <si>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</si>
  <si>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</si>
  <si>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</si>
  <si>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</si>
  <si>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</si>
  <si>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</si>
  <si>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</si>
  <si>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</si>
  <si>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</si>
  <si>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</si>
  <si>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</si>
  <si>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</si>
  <si>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</si>
  <si>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</si>
  <si>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</si>
  <si>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</si>
  <si>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</si>
  <si>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</si>
  <si>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</si>
  <si>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</si>
  <si>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</si>
  <si>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</si>
  <si>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</si>
  <si>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</si>
  <si>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</si>
  <si>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</si>
  <si>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</si>
  <si>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</si>
  <si>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</si>
  <si>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</si>
  <si>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</si>
  <si>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</si>
  <si>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</si>
  <si>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</si>
  <si>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</si>
  <si>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</si>
  <si>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</si>
  <si>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</si>
  <si>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</si>
  <si>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</si>
  <si>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</si>
  <si>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</si>
  <si>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</si>
  <si>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</si>
  <si>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</si>
  <si>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</si>
  <si>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</si>
  <si>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</si>
  <si>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</si>
  <si>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</si>
  <si>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</si>
  <si>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</si>
  <si>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</si>
  <si>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</si>
  <si>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</si>
  <si>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</si>
  <si>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</si>
  <si>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</si>
  <si>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</si>
  <si>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</si>
  <si>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</si>
  <si>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</si>
  <si>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</si>
  <si>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</si>
  <si>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</si>
  <si>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</si>
  <si>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</si>
  <si>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</si>
  <si>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</si>
  <si>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</si>
  <si>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</si>
  <si>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</si>
  <si>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</si>
  <si>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</si>
  <si>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</si>
  <si>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</si>
  <si>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</si>
  <si>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</si>
  <si>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</si>
  <si>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</si>
  <si>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</si>
  <si>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</si>
  <si>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</si>
  <si>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</si>
  <si>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</si>
  <si>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</si>
  <si>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</si>
  <si>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</si>
  <si>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</si>
  <si>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</si>
  <si>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</si>
  <si>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</si>
  <si>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</si>
  <si>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</si>
  <si>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</si>
  <si>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</si>
  <si>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</si>
  <si>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</si>
  <si>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</si>
  <si>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</si>
  <si>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</si>
  <si>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</si>
  <si>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</si>
  <si>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</si>
  <si>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</si>
  <si>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</si>
  <si>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</si>
  <si>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</si>
  <si>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</si>
  <si>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</si>
  <si>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</si>
  <si>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</si>
  <si>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</si>
  <si>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</si>
  <si>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</si>
  <si>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</si>
  <si>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</si>
  <si>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</si>
  <si>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</si>
  <si>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</si>
  <si>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</si>
  <si>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</si>
  <si>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</si>
  <si>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</si>
  <si>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</si>
  <si>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</si>
  <si>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</si>
  <si>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</si>
  <si>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</si>
  <si>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</si>
  <si>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</si>
  <si>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</si>
  <si>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</si>
  <si>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</si>
  <si>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</si>
  <si>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</si>
  <si>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</si>
  <si>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</si>
  <si>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</si>
  <si>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</si>
  <si>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</si>
  <si>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</si>
  <si>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</si>
  <si>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</si>
  <si>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</si>
  <si>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</si>
  <si>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</si>
  <si>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</si>
  <si>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</si>
  <si>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</si>
  <si>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</si>
  <si>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</si>
  <si>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</si>
  <si>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</si>
  <si>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</si>
  <si>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</si>
  <si>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</si>
  <si>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</si>
  <si>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</si>
  <si>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</si>
  <si>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</si>
  <si>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</si>
  <si>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</si>
  <si>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</si>
  <si>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</si>
  <si>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</si>
  <si>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</si>
  <si>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</si>
  <si>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</si>
  <si>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</si>
  <si>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</si>
  <si>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</si>
  <si>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</si>
  <si>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</si>
  <si>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</si>
  <si>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</si>
  <si>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</si>
  <si>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</si>
  <si>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</si>
  <si>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</si>
  <si>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</si>
  <si>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</si>
  <si>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</si>
  <si>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</si>
  <si>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</si>
  <si>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</si>
  <si>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</si>
  <si>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</si>
  <si>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</si>
  <si>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</si>
  <si>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</si>
  <si>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</si>
  <si>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</si>
  <si>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</si>
  <si>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</si>
  <si>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</si>
  <si>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</si>
  <si>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</si>
  <si>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</si>
  <si>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</si>
  <si>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</si>
  <si>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</si>
  <si>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</si>
  <si>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</si>
  <si>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</si>
  <si>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</si>
  <si>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</si>
  <si>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</si>
  <si>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</si>
  <si>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</si>
  <si>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</si>
  <si>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</si>
  <si>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</si>
  <si>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</si>
  <si>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</si>
  <si>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</si>
  <si>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</si>
  <si>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</si>
  <si>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</si>
  <si>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</si>
  <si>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</si>
  <si>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</si>
  <si>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</si>
  <si>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</si>
  <si>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</si>
  <si>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</si>
  <si>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</si>
  <si>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</si>
  <si>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</si>
  <si>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</si>
  <si>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</si>
  <si>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</si>
  <si>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</si>
  <si>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</si>
  <si>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</si>
  <si>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</si>
  <si>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</si>
  <si>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</si>
  <si>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</si>
  <si>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</si>
  <si>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</si>
  <si>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</si>
  <si>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</si>
  <si>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</si>
  <si>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</si>
  <si>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</si>
  <si>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</si>
  <si>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</si>
  <si>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</si>
  <si>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</si>
  <si>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</si>
  <si>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</si>
  <si>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</si>
  <si>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</si>
  <si>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</si>
  <si>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</si>
  <si>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</si>
  <si>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</si>
  <si>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</si>
  <si>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</si>
  <si>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</si>
  <si>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</si>
  <si>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</si>
  <si>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</si>
  <si>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</si>
  <si>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</si>
  <si>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</si>
  <si>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</si>
  <si>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</si>
  <si>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</si>
  <si>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</si>
  <si>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</si>
  <si>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</si>
  <si>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</si>
  <si>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</si>
  <si>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</si>
  <si>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</si>
  <si>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</si>
  <si>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</si>
  <si>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</si>
  <si>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</si>
  <si>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</si>
  <si>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</si>
  <si>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</si>
  <si>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</si>
  <si>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</si>
  <si>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</si>
  <si>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</si>
  <si>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</si>
  <si>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</si>
  <si>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</si>
  <si>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</si>
  <si>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</si>
  <si>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</si>
  <si>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</si>
  <si>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</si>
  <si>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</si>
  <si>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</si>
  <si>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</si>
  <si>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</si>
  <si>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</si>
  <si>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</si>
  <si>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</si>
  <si>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</si>
  <si>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</si>
  <si>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</si>
  <si>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</si>
  <si>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</si>
  <si>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</si>
  <si>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</si>
  <si>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</si>
  <si>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</si>
  <si>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</si>
  <si>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</si>
  <si>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</si>
  <si>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</si>
  <si>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</si>
  <si>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</si>
  <si>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</si>
  <si>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</si>
  <si>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</si>
  <si>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</si>
  <si>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</si>
  <si>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</si>
  <si>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</si>
  <si>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</si>
  <si>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</si>
  <si>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</si>
  <si>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</si>
  <si>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</si>
  <si>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</si>
  <si>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</si>
  <si>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</si>
  <si>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</si>
  <si>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</si>
  <si>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</si>
  <si>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</si>
  <si>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</si>
  <si>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</si>
  <si>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</si>
  <si>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</si>
  <si>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</si>
  <si>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</si>
  <si>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</si>
  <si>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</si>
  <si>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</si>
  <si>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</si>
  <si>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</si>
  <si>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</si>
  <si>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</si>
  <si>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</si>
  <si>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</si>
  <si>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</si>
  <si>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</si>
  <si>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</si>
  <si>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</si>
  <si>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</si>
  <si>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</si>
  <si>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</si>
  <si>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</si>
  <si>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</si>
  <si>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</si>
  <si>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</si>
  <si>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</si>
  <si>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</si>
  <si>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</si>
  <si>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</si>
  <si>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</si>
  <si>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</si>
  <si>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</si>
  <si>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</si>
  <si>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</si>
  <si>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</si>
  <si>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</si>
  <si>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</si>
  <si>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</si>
  <si>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</si>
  <si>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</si>
  <si>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</si>
  <si>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</si>
  <si>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</si>
  <si>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</si>
  <si>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</si>
  <si>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</si>
  <si>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</si>
  <si>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</si>
  <si>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</si>
  <si>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</si>
  <si>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</si>
  <si>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</si>
  <si>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</si>
  <si>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</si>
  <si>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</si>
  <si>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</si>
  <si>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</si>
  <si>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</si>
  <si>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</si>
  <si>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</si>
  <si>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</si>
  <si>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</si>
  <si>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</si>
  <si>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</si>
  <si>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</si>
  <si>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</si>
  <si>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</si>
  <si>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</si>
  <si>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</si>
  <si>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</si>
  <si>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</si>
  <si>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</si>
  <si>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</si>
  <si>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</si>
  <si>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</si>
  <si>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</si>
  <si>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</si>
  <si>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</si>
  <si>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</si>
  <si>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</si>
  <si>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</si>
  <si>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</si>
  <si>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</si>
  <si>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</si>
  <si>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</si>
  <si>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</si>
  <si>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</si>
  <si>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</si>
  <si>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</si>
  <si>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</si>
  <si>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</si>
  <si>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</si>
  <si>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</si>
  <si>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</si>
  <si>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</si>
  <si>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</si>
  <si>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</si>
  <si>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</si>
  <si>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</si>
  <si>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</si>
  <si>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</si>
  <si>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</si>
  <si>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</si>
  <si>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</si>
  <si>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</si>
  <si>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</si>
  <si>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</si>
  <si>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</si>
  <si>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</si>
  <si>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</si>
  <si>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</si>
  <si>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</si>
  <si>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</si>
  <si>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</si>
  <si>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</si>
  <si>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</si>
  <si>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</si>
  <si>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</si>
  <si>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</si>
  <si>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</si>
  <si>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</si>
  <si>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</si>
  <si>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</si>
  <si>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</si>
  <si>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</si>
  <si>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</si>
  <si>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</si>
  <si>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</si>
  <si>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</si>
  <si>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</si>
  <si>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</si>
  <si>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</si>
  <si>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</si>
  <si>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</si>
  <si>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</si>
  <si>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</si>
  <si>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</si>
  <si>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</si>
  <si>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</si>
  <si>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</si>
  <si>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</si>
  <si>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</si>
  <si>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</si>
  <si>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</si>
  <si>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</si>
  <si>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</si>
  <si>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</si>
  <si>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</si>
  <si>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</si>
  <si>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</si>
  <si>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</si>
  <si>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</si>
  <si>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</si>
  <si>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</si>
  <si>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</si>
  <si>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</si>
  <si>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</si>
  <si>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</si>
  <si>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</si>
  <si>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</si>
  <si>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</si>
  <si>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</si>
  <si>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</si>
  <si>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</si>
  <si>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</si>
  <si>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</si>
  <si>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</si>
  <si>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</si>
  <si>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</si>
  <si>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</si>
  <si>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</si>
  <si>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</si>
  <si>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</si>
  <si>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</si>
  <si>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</si>
  <si>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</si>
  <si>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</si>
  <si>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</si>
  <si>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</si>
  <si>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</si>
  <si>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</si>
  <si>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</si>
  <si>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</si>
  <si>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</si>
  <si>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</si>
  <si>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</si>
  <si>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</si>
  <si>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</si>
  <si>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</si>
  <si>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</si>
  <si>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</si>
  <si>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</si>
  <si>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</si>
  <si>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</si>
  <si>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</si>
  <si>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</si>
  <si>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</si>
  <si>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</si>
  <si>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</si>
  <si>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</si>
  <si>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</si>
  <si>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</si>
  <si>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</si>
  <si>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</si>
  <si>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</si>
  <si>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</si>
  <si>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</si>
  <si>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</si>
  <si>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</si>
  <si>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</si>
  <si>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</si>
  <si>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</si>
  <si>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</si>
  <si>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</si>
  <si>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</si>
  <si>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</si>
  <si>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</si>
  <si>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</si>
  <si>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</si>
  <si>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</si>
  <si>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</si>
  <si>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</si>
  <si>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</si>
  <si>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</si>
  <si>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</si>
  <si>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</si>
  <si>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</si>
  <si>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</si>
  <si>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</si>
  <si>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</si>
  <si>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</si>
  <si>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</si>
  <si>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</si>
  <si>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</si>
  <si>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</si>
  <si>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</si>
  <si>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</si>
  <si>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</si>
  <si>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</si>
  <si>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</si>
  <si>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</si>
  <si>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</si>
  <si>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</si>
  <si>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</si>
  <si>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</si>
  <si>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</si>
  <si>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</si>
  <si>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</si>
  <si>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</si>
  <si>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</si>
  <si>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</si>
  <si>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</si>
  <si>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</si>
  <si>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</si>
  <si>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</si>
  <si>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</si>
  <si>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</si>
  <si>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</si>
  <si>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</si>
  <si>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</si>
  <si>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</si>
  <si>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</si>
  <si>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</si>
  <si>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</si>
  <si>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</si>
  <si>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</si>
  <si>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</si>
  <si>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</si>
  <si>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</si>
  <si>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</si>
  <si>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</si>
  <si>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</si>
  <si>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</si>
  <si>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</si>
  <si>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</si>
  <si>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</si>
  <si>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</si>
  <si>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</si>
  <si>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</si>
  <si>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</si>
  <si>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</si>
  <si>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</si>
  <si>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</si>
  <si>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</si>
  <si>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</si>
  <si>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</si>
  <si>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</si>
  <si>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</si>
  <si>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</si>
  <si>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</si>
  <si>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</si>
  <si>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</si>
  <si>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</si>
  <si>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</si>
  <si>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</si>
  <si>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</si>
  <si>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</si>
  <si>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Avec actionRatio</t>
  </si>
  <si>
    <t>Avec action colonne a utiliser</t>
  </si>
  <si>
    <t>Non fait</t>
  </si>
  <si>
    <t>ReferenceCurrentcalcul inteemediare</t>
  </si>
  <si>
    <t>RisquesRefa5ansIntermediare</t>
  </si>
  <si>
    <t>Endométriose</t>
  </si>
  <si>
    <t>Q2 - Avez-vous un ou plusieurs enfants à la maison ?</t>
  </si>
  <si>
    <t>Oui"Y"</t>
  </si>
  <si>
    <t>Non"N"</t>
  </si>
  <si>
    <t>Q3 - Si oui, les élevez-vous seul(e) ?</t>
  </si>
  <si>
    <t>Q4 - Assumez-vous un rôle d’aidant ? Aidez-vous une personne de manière régulière, et fréquente, en raison de son âge, de la maladie ou d’une situation de handicap ?</t>
  </si>
  <si>
    <t>Q5 - En cas de besoin, pouvez-vous compter sur une personne de votre entourage ?</t>
  </si>
  <si>
    <t>Q2 - Vous êtes :</t>
  </si>
  <si>
    <t>En études</t>
  </si>
  <si>
    <t xml:space="preserve"> En emploi</t>
  </si>
  <si>
    <t>A la recherche d’un emploi</t>
  </si>
  <si>
    <t>En cumul étude-emploi</t>
  </si>
  <si>
    <t>Autre</t>
  </si>
  <si>
    <t>Q3 - Vous habitez :</t>
  </si>
  <si>
    <t>Seul(e)</t>
  </si>
  <si>
    <t xml:space="preserve"> Chez vos parents (vous êtes hébergé par votre famille)</t>
  </si>
  <si>
    <t>En couple</t>
  </si>
  <si>
    <t>Avec d’autres personnes (amis, colocataires, …)</t>
  </si>
  <si>
    <t>Q6 - Envisagez-vous d’avoir un enfant dans les 5 prochaines années ?</t>
  </si>
  <si>
    <t>Ne sais pas</t>
  </si>
  <si>
    <t>Q24 - Vos conditions de vie et/ou de travail sont-elles difficiles/pénibles ?</t>
  </si>
  <si>
    <t>Q4 - Au cours des 6 derniers mois, avez-vous eu des contacts avec des proches (amis, membres de votre famille) ?</t>
  </si>
  <si>
    <t>Maladie congénitale</t>
  </si>
  <si>
    <t>Maladie inflammatoire chronique de l’intestin (maladie de Crohn, rectocolite hémorragique)</t>
  </si>
  <si>
    <t>Arthrose ou maladie rhumatismale</t>
  </si>
  <si>
    <t>Fractures d’une vertèbre ou du col du fémur et/ou ostéoporose</t>
  </si>
  <si>
    <t>Autre(s) maladie(s) :</t>
  </si>
  <si>
    <t>Q11 - Avez-vous déjà été hospitalisé(e) ?</t>
  </si>
  <si>
    <t>Q8 - À quand remonte votre dernière prise de sang et/ou une analyse d’urine ?</t>
  </si>
  <si>
    <t>Moins de 6 mois</t>
  </si>
  <si>
    <t>Plus de 6 mois</t>
  </si>
  <si>
    <t>Q29 - Êtes-vous allée chez le gynécologue dans les 12 derniers mois ?</t>
  </si>
  <si>
    <t>Non concerné(e)</t>
  </si>
  <si>
    <t xml:space="preserve">Q31 - Avez-vous des douleurs intenses au bas ventre au moment de la période des règles ? </t>
  </si>
  <si>
    <t xml:space="preserve">Q32 - Avez-vous déjà réalisé un dépistage des des infections sexuellement transmissibles ? </t>
  </si>
  <si>
    <t>Q18 - Diriez-vous que la nourriture occupe une place très importante dans votre vie ?</t>
  </si>
  <si>
    <t>Q13 - Avez-vous constaté une variation de votre poids lors des 6 derniers mois ?</t>
  </si>
  <si>
    <t>Oui, un amaigrissement</t>
  </si>
  <si>
    <t>Oui, une prise de poids</t>
  </si>
  <si>
    <t>Etes vous ménopausée</t>
  </si>
  <si>
    <t>Q10 - Suivez-vous actuellement un traitement ?</t>
  </si>
  <si>
    <t>Q30 - Utilisez-vous un moyen de contraception ?</t>
  </si>
  <si>
    <t>Q38 - Si vous avez arrêté de fumer, depuis combien de temps ?</t>
  </si>
  <si>
    <t>Moins d’un an</t>
  </si>
  <si>
    <t>Entre 1 an et 5 ans</t>
  </si>
  <si>
    <t>Plus de 5 ans</t>
  </si>
  <si>
    <t>Q39 - Avez-vous consommé d’autres substances au cours des 12 derniers mois ? Cannabis (haschisch, marijuana, herbe, joint ou shit) ou d’autres drogues (ecstasy, cocaïne, héroïne etc.) ?</t>
  </si>
  <si>
    <t>Oui, du cannabis</t>
  </si>
  <si>
    <t>Oui, d’autres drogues</t>
  </si>
  <si>
    <t>Q40 - Au cours des 12 derniers mois, avez-vous misé de l’argent pour un jeu (loterie, poker, ...), un pari (sportif, hippique, ...) ?</t>
  </si>
  <si>
    <t>Oui, souvent</t>
  </si>
  <si>
    <t>Oui, de temps en temps</t>
  </si>
  <si>
    <t>Oui, rarement</t>
  </si>
  <si>
    <t>Q39 - Concernant le sommeil, en moyenne vous dormez :</t>
  </si>
  <si>
    <t>Moins de 6h par nuit</t>
  </si>
  <si>
    <t>Entre 6h et 10h par nuit</t>
  </si>
  <si>
    <t>10h ou plus par nuit</t>
  </si>
  <si>
    <t>Plus d’un(e) partenaire sexuel(le) au cours des 12 derniers mois</t>
  </si>
  <si>
    <t>Mon(ma) partenaire sexuel(le) a eu un (ou plusieurs) diagnostic(s) d’infection sexuellement transmissible (VIH, chlamydia, gonocoque, syphilis…) dans les 12 derniers mois</t>
  </si>
  <si>
    <t>Rapports sexuels ces 12 derniers mois, mais non concerné(e) par une de ces trois situations ci-dessus</t>
  </si>
  <si>
    <t>Q41 - Votre regard sur le fait de passer ou d’être à la retraite est :</t>
  </si>
  <si>
    <t>Très positif</t>
  </si>
  <si>
    <t>Plutôt positif</t>
  </si>
  <si>
    <t>Plutôt négatif</t>
  </si>
  <si>
    <t>Très négatif</t>
  </si>
  <si>
    <t>Q42 - À l’approche de la retraite (ou depuis le passage à la retraite), envisagez-vous de nouveaux projets (passe-temps, sorties, associations, …) ?</t>
  </si>
  <si>
    <t>Oui, et j’ai déjà mis en place ces projets</t>
  </si>
  <si>
    <t>Oui, j’ai des projets prévus mais je ne les ai pas encore concrétisés</t>
  </si>
  <si>
    <t>Non, je ne sais pas encore quels seront mes projets</t>
  </si>
  <si>
    <t>Q40 - Au cours des 2 dernières semaines, combien de fois avez-vous eu un sentiment de nervosité, d’anxiété ou de tension ?</t>
  </si>
  <si>
    <t>Jamais</t>
  </si>
  <si>
    <t>Plusieurs jours</t>
  </si>
  <si>
    <t>Plus de sept jours</t>
  </si>
  <si>
    <t>Presque tous les jours</t>
  </si>
  <si>
    <t xml:space="preserve">Q41 - Au cours des 2 dernières semaines, combien de fois avez-vous été incapable d’arrêter de vous inquiéter ou de contrôler vos inquiétudes ?  </t>
  </si>
  <si>
    <t>Q42 - Au cours des 2 dernières semaines, combien de fois avez-vous éprouvé peu d’intérêt ou de plaisir à faire les choses ?</t>
  </si>
  <si>
    <t>Q43 - Au cours des 2 dernières semaines, combien de fois avez-vous éprouvé un sentiment de tristesse, de déprime ou de désespoir ?</t>
  </si>
  <si>
    <t>Q44 - Avez-vous déjà eu des idées noires/ des idées noires/suicidaires ?</t>
  </si>
  <si>
    <t>Oui, des idées noires/suicidaires</t>
  </si>
  <si>
    <t>Oui, une ou des tentative(s) de suicide</t>
  </si>
  <si>
    <t xml:space="preserve">Q45 - Avez-vous déjà été victime de violences physiques, sexuelles ou psychiques (menaces, chantage, humiliations, coups, mutilations…), harcèlements, discrimination, … </t>
  </si>
  <si>
    <t>Q31 - Avez-vous un logement facile d’accès en cas de mobilité réduite ? (logement de plainpied, logement avec ascenseur, présence d’une rampe d’accès à l’immeuble ou au perron de la maison, …)</t>
  </si>
  <si>
    <t>Q32 - Avez-vous un logement adapté à la prévention des chutes ? (douche plutôt qu’une baignoire, barre de douche, revêtement anti-chutes, WC surélevé, …)</t>
  </si>
  <si>
    <t>Q46 - Souhaitez-vous aborder un ou plusieurs sujets en priorité, avec le professionnel de santé au cours de votre Bilan Prévention ?</t>
  </si>
  <si>
    <t>Mieux dormir</t>
  </si>
  <si>
    <t>Améliorer mon alimentation et bouger plus</t>
  </si>
  <si>
    <t>Réduire ou arrêter ma consommation de tabac</t>
  </si>
  <si>
    <t>Réduire ou arrêter ma consommation d’alcool</t>
  </si>
  <si>
    <t>Améliorer mon bien-être mental, réduire mon stress ou mon anxiété</t>
  </si>
  <si>
    <t>Passer moins de temps devant un écran ou mon téléphone</t>
  </si>
  <si>
    <t>Mieux m’informer sur les dépistages concernant ma tranche d’âge</t>
  </si>
  <si>
    <t>Mieux connaitre / comprendre / prévenir les effets du vieillissement</t>
  </si>
  <si>
    <t>Q19 - Souhaitez-vous aborder lors de votre Bilan Prévention les symptômes de ménopause (bouffées de chaleur, problèmes de sommeil, sécheresse vaginale, troubles urinaires, fatigue, anxiété, irritabilité) ?</t>
  </si>
  <si>
    <t>Souhait d’arrêter le préservatif avec mon nouveau (ou ma nouvelle) partenaire</t>
  </si>
  <si>
    <t>Q46 bis - Souhaitez-vous aborder un ou plusieurs sujets en priorité, avec le professionnel de santé au cours de votre Bilan Prévention ?</t>
  </si>
  <si>
    <t>Mots clés liste déroulante</t>
  </si>
  <si>
    <t>Tumeur Voie excrétrice urinaire</t>
  </si>
  <si>
    <t>Cancer du poumon et des bronches</t>
  </si>
  <si>
    <t>Cancer de la langue et pharyngo-larynx</t>
  </si>
  <si>
    <t>Cancer du rein</t>
  </si>
  <si>
    <t>Cancer de l’ovaire</t>
  </si>
  <si>
    <t>Cancer de l’endomètre (utérus)</t>
  </si>
  <si>
    <t>Cancer du col de l’utérus</t>
  </si>
  <si>
    <t>Mélanome et cancers cutanés</t>
  </si>
  <si>
    <t>Cancer de l’estomac</t>
  </si>
  <si>
    <t>Cancer du foie</t>
  </si>
  <si>
    <t>Hypertrophie bénigne de la prostate (adénome de la prostate)</t>
  </si>
  <si>
    <t>Insuffisance rénale chronique</t>
  </si>
  <si>
    <t>Dysfonction de l’érection</t>
  </si>
  <si>
    <t>Stéatose hépatique et NASH</t>
  </si>
  <si>
    <t>Cirrhose hépatique</t>
  </si>
  <si>
    <t>Lithiase (calculs) biliaire</t>
  </si>
  <si>
    <t>Ulcéré gastroduodénal</t>
  </si>
  <si>
    <t>Reflux gastro-oesophagien</t>
  </si>
  <si>
    <t>Colopathie fonctionnelle</t>
  </si>
  <si>
    <t>Hypertension artérielle</t>
  </si>
  <si>
    <t>Arythmie cardiaque et fibrillation auriculaire</t>
  </si>
  <si>
    <t>Dépression</t>
  </si>
  <si>
    <t>Apnée du sommeil</t>
  </si>
  <si>
    <t>BurnOut</t>
  </si>
  <si>
    <t>Dysfonction thyroidienne</t>
  </si>
  <si>
    <t>Déficit oestrogénique lié à l’age (Femme)</t>
  </si>
  <si>
    <t>Déficit androgénique lié à l’âge (homme)</t>
  </si>
  <si>
    <t>Sarcopénie</t>
  </si>
  <si>
    <t>Arthrose dégénérative</t>
  </si>
  <si>
    <t>Rhumatisme inflammatoire et goutte</t>
  </si>
  <si>
    <t>Pollinose saisonniére</t>
  </si>
  <si>
    <t>Intolérances alimentaires ( gluten et lactose)</t>
  </si>
  <si>
    <t>Intolérance ou allergie médicamenteuse</t>
  </si>
  <si>
    <t>Anémie</t>
  </si>
  <si>
    <t>Polyglobulie</t>
  </si>
  <si>
    <t>Thrombocytose</t>
  </si>
  <si>
    <t>Thrombopénie</t>
  </si>
  <si>
    <t>Leucopénie – Lymphopénie</t>
  </si>
  <si>
    <t>Leucocytose</t>
  </si>
  <si>
    <t>Q32 - Êtes-vous à jour de vos vaccins et rappels de vaccins ?</t>
  </si>
  <si>
    <t>Plusieurs fois par jour</t>
  </si>
  <si>
    <t>Plusieurs fois par semaine</t>
  </si>
  <si>
    <t>Une fois par semaine</t>
  </si>
  <si>
    <t>Une fois par mois ou Jamais</t>
  </si>
  <si>
    <t xml:space="preserve">Q24 - Combien de fois par semaine faites-vous au moins 30 minutes d’activités physiques dynamiques au cours d’une journée (marche, ménage, jogging, vélo, activité physique liée à votre profession, autre activité sportive, …) ? </t>
  </si>
  <si>
    <t>1 à 2 fois par semaine</t>
  </si>
  <si>
    <t>3 à 4 fois par semaine</t>
  </si>
  <si>
    <t>5 à 7 fois par semaine</t>
  </si>
  <si>
    <t>Q71 - Si vous deviez passer le reste de votre vie avec votre état urinaire  tel qu'il est actuellement, que ressentiriez-vous à ce sujet ?</t>
  </si>
  <si>
    <t>Q38 - Diriez-vous que vous avez des problèmes de sommeil ?</t>
  </si>
  <si>
    <t>Oui, parfois</t>
  </si>
  <si>
    <t>Vous prenez des somnifères</t>
  </si>
  <si>
    <t>Q-128 Si vous deviez passer le reste de votre vie avec votre état sexuel tel qu'il est actuellement, que ressentiriez-vous à ce sujet ?</t>
  </si>
  <si>
    <t xml:space="preserve"> Q129-Si vous deviez passer le reste de votre vie avec votre état digestif tel qu'il est actuellement, que ressentiriez-vous à ce sujet ?</t>
  </si>
  <si>
    <t xml:space="preserve"> Q130-Si vous deviez passer le reste de votre vie avec votre état ostéo-articulaire tel qu'il est actuellement, que ressentiriez-vous à ce sujet ?</t>
  </si>
  <si>
    <t xml:space="preserve"> Q131-Si vous deviez passer le reste de votre vie avec votre état émotionnel ou nerveux tel qu'il est actuellement, que ressentiriez-vous à ce sujet ?</t>
  </si>
  <si>
    <t>Q21 - Avez-vous l’impression de voir moins bien (difficultés pour lire, pour voir de loin…) ?</t>
  </si>
  <si>
    <t>Q22 - Avez-vous l’impression d’entendre moins bien et/ou votre entourage a-t-i l’impression que votre audition a baissé ?</t>
  </si>
  <si>
    <r>
      <t>Q1 - Vous</t>
    </r>
    <r>
      <rPr>
        <b/>
        <sz val="11"/>
        <color rgb="FFFF0000"/>
        <rFont val="Aptos"/>
        <family val="2"/>
      </rPr>
      <t xml:space="preserve"> ê</t>
    </r>
    <r>
      <rPr>
        <b/>
        <sz val="11"/>
        <color theme="1"/>
        <rFont val="Aptos"/>
        <family val="2"/>
      </rPr>
      <t>tes (genre)</t>
    </r>
  </si>
  <si>
    <r>
      <rPr>
        <b/>
        <sz val="11"/>
        <color rgb="FFFF0000"/>
        <rFont val="Aptos"/>
        <family val="2"/>
      </rPr>
      <t>H</t>
    </r>
    <r>
      <rPr>
        <b/>
        <sz val="11"/>
        <color theme="1"/>
        <rFont val="Aptos"/>
        <family val="2"/>
      </rPr>
      <t>omme "H"</t>
    </r>
  </si>
  <si>
    <r>
      <rPr>
        <b/>
        <sz val="11"/>
        <color rgb="FFFF0000"/>
        <rFont val="Aptos"/>
        <family val="2"/>
      </rPr>
      <t>F</t>
    </r>
    <r>
      <rPr>
        <b/>
        <sz val="11"/>
        <color theme="1"/>
        <rFont val="Aptos"/>
        <family val="2"/>
      </rPr>
      <t>emme "F"</t>
    </r>
  </si>
  <si>
    <t>Situation personnelle, environnement social et familial</t>
  </si>
  <si>
    <r>
      <rPr>
        <b/>
        <sz val="11"/>
        <color rgb="FFFF0000"/>
        <rFont val="Aptos"/>
        <family val="2"/>
      </rPr>
      <t>O</t>
    </r>
    <r>
      <rPr>
        <b/>
        <sz val="11"/>
        <color theme="1"/>
        <rFont val="Aptos"/>
        <family val="2"/>
      </rPr>
      <t>ui"Y"</t>
    </r>
  </si>
  <si>
    <r>
      <rPr>
        <b/>
        <sz val="11"/>
        <color rgb="FFFF0000"/>
        <rFont val="Aptos"/>
        <family val="2"/>
      </rPr>
      <t>N</t>
    </r>
    <r>
      <rPr>
        <b/>
        <sz val="11"/>
        <color theme="1"/>
        <rFont val="Aptos"/>
        <family val="2"/>
      </rPr>
      <t>on"N"</t>
    </r>
  </si>
  <si>
    <r>
      <t xml:space="preserve"> Chez vos parents</t>
    </r>
    <r>
      <rPr>
        <b/>
        <sz val="11"/>
        <color rgb="FFFF0000"/>
        <rFont val="Aptos"/>
        <family val="2"/>
      </rPr>
      <t xml:space="preserve"> (vous êtes hébergé par votre famille)</t>
    </r>
  </si>
  <si>
    <t>Vos antécédents personnels et familiaux</t>
  </si>
  <si>
    <t>Q7 - Avez-vous ou avez-vous eu une de ces maladies ou facteurs de risques ?</t>
  </si>
  <si>
    <t>Hypertension artérielle, diabète, cholestérol sanguin élevé</t>
  </si>
  <si>
    <t>Allergie</t>
  </si>
  <si>
    <t>Maladies cardiovasculaires (infarctus, maladie coronaire, insuffisance cardiaque, AVC…)</t>
  </si>
  <si>
    <t>Dépression et/ou troubles anxieux et/ou troubles du comportement alimentaire (anorexie, boulimie…)</t>
  </si>
  <si>
    <t>Cancers</t>
  </si>
  <si>
    <t>Maladies respiratoires (asthme, bronchite chronique, BPCO)</t>
  </si>
  <si>
    <t>Q9 - Des personnes de votre famille proche (mère, père, soeur ou frère) sont ou ont été atteintes d'un cancer?</t>
  </si>
  <si>
    <r>
      <t>Q45 - Quelle est votre taille (cm)</t>
    </r>
    <r>
      <rPr>
        <b/>
        <sz val="11"/>
        <color rgb="FFFF0000"/>
        <rFont val="Aptos"/>
        <family val="2"/>
      </rPr>
      <t xml:space="preserve"> ?</t>
    </r>
  </si>
  <si>
    <r>
      <t xml:space="preserve">Q46 - Quel est votre poids (kg) </t>
    </r>
    <r>
      <rPr>
        <b/>
        <sz val="11"/>
        <color rgb="FFFF0000"/>
        <rFont val="Aptos"/>
        <family val="2"/>
      </rPr>
      <t>?</t>
    </r>
  </si>
  <si>
    <t>Q14 - Avez-vous observé des gonflements importants et/ou inhabituels de vos chevilles ou de vos jambes ?</t>
  </si>
  <si>
    <t>Q13 - Vous arrive-t-il d’avoir des douleurs dans la poitrine notamment lors d’un effort ?</t>
  </si>
  <si>
    <t>Q15 - Toussez-vous souvent (tous les jours) ?</t>
  </si>
  <si>
    <t>Q16 - Avez-vous souvent une toux grasse ou qui ramène des crachats ?</t>
  </si>
  <si>
    <t>Q17 - Êtes-vous plus facilement essoufflé(e) que les personnes de votre âge ?</t>
  </si>
  <si>
    <t>Q18 - Faites-vous des pauses respiratoires ou des ronflements importants lors de votre
sommeil, notamment constatés par votre entourage ?</t>
  </si>
  <si>
    <t>Je suis déjà ménopausée</t>
  </si>
  <si>
    <t>Pas  concerné(e)</t>
  </si>
  <si>
    <t>Q18 - Si vous êtes une femme, à quel âge avez-vous été ménopausée ?</t>
  </si>
  <si>
    <t>Q20 - Êtes-vous allé(e) chez le dentiste dans les 12 derniers mois</t>
  </si>
  <si>
    <t>Q22 - Êtes-vous sujet à des troubles urinaires ?</t>
  </si>
  <si>
    <t>Q23 - Avez-vous eu, durant les 12 derniers mois, des problèmes (courbatures, douleur, inconfort) au niveau du cou, du dos, des épaules ou des mains qui impactent votre vie quotidienne ?</t>
  </si>
  <si>
    <t>Q25 - Avez-vous la sensation d’oublier des choses ?</t>
  </si>
  <si>
    <t>Q26 - Avez-vous l’impression d’avoir plus de difficultés à réaliser vos activités quotidiennes ?</t>
  </si>
  <si>
    <t xml:space="preserve">Q25 - Avez-vous des difficultés à réaliser certains gestes de la vie quotidienne ? </t>
  </si>
  <si>
    <t>Quitter son lit et/ou se coucher seul(e)</t>
  </si>
  <si>
    <t>Aller seul(e) aux toilettes</t>
  </si>
  <si>
    <t>Faire sa toilette seul(e)</t>
  </si>
  <si>
    <t>Se vêtir et/ou se dévêtir seul(e)</t>
  </si>
  <si>
    <t>Manger et boire seul(e)</t>
  </si>
  <si>
    <t>Marcher seul(e) avec ou sans béquille, canne…</t>
  </si>
  <si>
    <t>Utiliser seul(e) un moyen de transport (transports en commun, voiture….)</t>
  </si>
  <si>
    <t>Activité physique, sédentarité et alimentation</t>
  </si>
  <si>
    <t xml:space="preserve">Q25 - Concernant votre consommation de fruits et légumes, vous en mangez : </t>
  </si>
  <si>
    <t>Au moins 5 portions par jour</t>
  </si>
  <si>
    <t>Entre 1 et 4 portions par jour</t>
  </si>
  <si>
    <t>De temps en temps</t>
  </si>
  <si>
    <t>Rarement ou Jamais</t>
  </si>
  <si>
    <t>Q26 - À quelle fréquence consommez-vous des aliments gras/sucrés/salés (exemple : charcuterie, soda, bonbons, pâtisseries, chips, fast-food, glaces) ?</t>
  </si>
  <si>
    <t>Q27 - Combien de temps par jour passezvous assis(e) ou allongé(e) hors période de sommeil ?</t>
  </si>
  <si>
    <t>Moins de 2 heures</t>
  </si>
  <si>
    <t>Entre 2 et 4 heures</t>
  </si>
  <si>
    <t>Entre 4 et 7 heures</t>
  </si>
  <si>
    <t>Plus de 7 heures</t>
  </si>
  <si>
    <t>Je ne sais pas</t>
  </si>
  <si>
    <t>Q28 - Combien de temps par jour passezvous devant un écran en dehors du travail (téléphone portable, télévision, ordinateur) ?</t>
  </si>
  <si>
    <t>Moins d’une heure</t>
  </si>
  <si>
    <t>Entre 1 heure et 2 heures</t>
  </si>
  <si>
    <t>Plus de 4 heures</t>
  </si>
  <si>
    <t>Conduites addictives, consommation de boissons alcoolisées, tabac et autres substances</t>
  </si>
  <si>
    <t>Q36 - Au cours de l’année écoulée, concernant votre consommation de boissons alcoolisées :</t>
  </si>
  <si>
    <t>Vous buvez plus de 2 verres standards par jour</t>
  </si>
  <si>
    <t>Vous buvez plus de 10 verres standards par semaine</t>
  </si>
  <si>
    <t>Vous ne buvez pas de boissons alcoolisées au moins 2 jours dans la semaine</t>
  </si>
  <si>
    <t>Q37 - Actuellement, fumez-vous (cigarette, tabac à rouler, cigare, pipe, chicha, narguilé…) ou vapotez-vous ?</t>
  </si>
  <si>
    <t xml:space="preserve">Oui, je fume </t>
  </si>
  <si>
    <t>Oui, je vapote</t>
  </si>
  <si>
    <t>Non J’ai arrêté</t>
  </si>
  <si>
    <t>Non Je n'ai jamais fumé</t>
  </si>
  <si>
    <t>Vaccins, dépistages et santé sexuelle</t>
  </si>
  <si>
    <t>Q33 - Avez-vous déjà réalisé un test de dépistage du cancer colorectal ?</t>
  </si>
  <si>
    <t>Oui, il y a moins de 2 ans</t>
  </si>
  <si>
    <t>Oui, il y a plus de 2 ans</t>
  </si>
  <si>
    <t>Non, jamais</t>
  </si>
  <si>
    <t>Q34 - Avez-vous déjà réalisé une mammographie de dépistage du cancer du sein ?</t>
  </si>
  <si>
    <t>Q27 - Êtes-vous vacciné(e) contre les papillomavirus humains (HPV) ?</t>
  </si>
  <si>
    <t>Q34 bis - Avez-vous déjà réalisé un frottis de dépistage du cancer du col de l’utérus ?</t>
  </si>
  <si>
    <t>Oui, il y a moins de 5 ans</t>
  </si>
  <si>
    <t>Oui, il y a plus de 5 ans</t>
  </si>
  <si>
    <t>Q35 - Êtes-vous dans l’une des situations suivantes (possibilité de cocher plusieurs réponses) ?</t>
  </si>
  <si>
    <t>Santé et bien-être mental, violences</t>
  </si>
  <si>
    <t>Santé-environnement</t>
  </si>
  <si>
    <t>Ajouter autre ou sexe naissance?</t>
  </si>
  <si>
    <t>Masquer Origine ethnique</t>
  </si>
  <si>
    <t>si Y ouvre Q57,58,59,60,61,62</t>
  </si>
  <si>
    <t>Q9 - Des personnes de votre famille proche (mère, père, soeur ou frère) sont ou ont été atteintes de maladies connues (sauf cancer)</t>
  </si>
  <si>
    <t>Si Y ouvre Q120,121,122,123,124,125,126,127</t>
  </si>
  <si>
    <t>Si Y ouvre Q89, Q97, Q111,Q114, Q115, Q115bis</t>
  </si>
  <si>
    <t>test de AMLER (DMLA)</t>
  </si>
  <si>
    <t>Général</t>
  </si>
  <si>
    <t>Antécédents personnels</t>
  </si>
  <si>
    <t>Facteurs de risque €</t>
  </si>
  <si>
    <t>Traitements</t>
  </si>
  <si>
    <t>Antécédents familiaux</t>
  </si>
  <si>
    <t>Symptomes</t>
  </si>
  <si>
    <t>Habitus</t>
  </si>
  <si>
    <t>Anomalies biologiques</t>
  </si>
  <si>
    <t>Bilan thyroidien</t>
  </si>
  <si>
    <t>Bilan hématologique</t>
  </si>
  <si>
    <t>Numération formule sanguine</t>
  </si>
  <si>
    <t>Bilan métabolique</t>
  </si>
  <si>
    <t>Uricémie</t>
  </si>
  <si>
    <t>insulinémie à jeun</t>
  </si>
  <si>
    <t>Bilan inflammatoire</t>
  </si>
  <si>
    <t>Electrophorése des protéines</t>
  </si>
  <si>
    <t>Ferritine</t>
  </si>
  <si>
    <t>fibrinogéne</t>
  </si>
  <si>
    <t>Bilan hépatique</t>
  </si>
  <si>
    <t>alanine aminotransférase (ALAT ou ALT) </t>
  </si>
  <si>
    <t>aspartate aminotransférase (ASAT, ou AST)</t>
  </si>
  <si>
    <t>gamma-glutamyl transférase (GGT)</t>
  </si>
  <si>
    <t>Bilan hormone steroides</t>
  </si>
  <si>
    <t>Testosteronemie*</t>
  </si>
  <si>
    <t>SHBG*</t>
  </si>
  <si>
    <t>Dehydroepiandrosterone Sulfate(DHEAS) sanguine*</t>
  </si>
  <si>
    <t>androstanolone, ou dihydrotestostérone (DHT) sanguine*</t>
  </si>
  <si>
    <t>Cortisol sanguin*</t>
  </si>
  <si>
    <t>FSH/LH*</t>
  </si>
  <si>
    <t>Oestrogénes*</t>
  </si>
  <si>
    <t>Bilan vitamines</t>
  </si>
  <si>
    <t>Vitamin D sanguine</t>
  </si>
  <si>
    <t>Vitamin B6 sanguine</t>
  </si>
  <si>
    <t>Acide folique</t>
  </si>
  <si>
    <t>Vitamine B12 sang</t>
  </si>
  <si>
    <t>Bilan prostatique</t>
  </si>
  <si>
    <t>PSA libre*</t>
  </si>
  <si>
    <t>index Phi*</t>
  </si>
  <si>
    <t>Bilan Martial</t>
  </si>
  <si>
    <t>Fer sérique</t>
  </si>
  <si>
    <t>Bilan musculaire</t>
  </si>
  <si>
    <t>thyréostimuline ou thyréotrophine (TSH)</t>
  </si>
  <si>
    <t>T4 libre*</t>
  </si>
  <si>
    <t>T3*</t>
  </si>
  <si>
    <t>anticorps anti-TPO *</t>
  </si>
  <si>
    <t>anti-récepteurs de la TSH *</t>
  </si>
  <si>
    <t>Bilan cardiaque</t>
  </si>
  <si>
    <t>Lipoproteine-a*</t>
  </si>
  <si>
    <t>BNP*</t>
  </si>
  <si>
    <t>Bilan rénal</t>
  </si>
  <si>
    <t>Creatininémie</t>
  </si>
  <si>
    <t>DFG</t>
  </si>
  <si>
    <t>β-2-microglobuline*</t>
  </si>
  <si>
    <t>Bilan urinaire</t>
  </si>
  <si>
    <t>CBU</t>
  </si>
  <si>
    <t>Diurese (24h)</t>
  </si>
  <si>
    <t>Urée urine</t>
  </si>
  <si>
    <t>Acide urique urine</t>
  </si>
  <si>
    <t>Densité Urine</t>
  </si>
  <si>
    <t>creatinine urinaire des 24 heures</t>
  </si>
  <si>
    <t>sodium urinaire</t>
  </si>
  <si>
    <t>Glycosurie</t>
  </si>
  <si>
    <t>Bilirubine urine</t>
  </si>
  <si>
    <t>Cytologie urinaire*</t>
  </si>
  <si>
    <t>Bilan Allergie</t>
  </si>
  <si>
    <t>IgE*</t>
  </si>
  <si>
    <t>Bilan génétique</t>
  </si>
  <si>
    <t>Score Polygénique *</t>
  </si>
  <si>
    <t>* optionnel</t>
  </si>
  <si>
    <t>Bilan stress oxydatif</t>
  </si>
  <si>
    <t>Cu/Zn</t>
  </si>
  <si>
    <t>Bilan Expostion (Tabac, Alcool)</t>
  </si>
  <si>
    <t>Déficit oestrogénique lié à l’âge (femme)</t>
  </si>
  <si>
    <t>Insuffissance rénale</t>
  </si>
  <si>
    <t>Vitesse de marche</t>
  </si>
  <si>
    <t>Dynamométrie</t>
  </si>
  <si>
    <t>Psoas en L3</t>
  </si>
  <si>
    <t>DXA</t>
  </si>
  <si>
    <t>Vous vous endormez fréquemment après le dîner.</t>
  </si>
  <si>
    <t>Vous avez des réveils répétés, ou un sommeil agité.</t>
  </si>
  <si>
    <t>Vous êtes sujet aux ronflements.</t>
  </si>
  <si>
    <t>Vous vous sentez fatigué(e) ou sans entrain au réveil.</t>
  </si>
  <si>
    <t>Vous avez tendance à somnoler la journée dans vos activités quotidiennes.</t>
  </si>
  <si>
    <t>Vous vous endormez facilement devant la télévision ou lors d'un spectacle.</t>
  </si>
  <si>
    <t>SOCIAL</t>
  </si>
  <si>
    <t>Votre poids a il varié (amaigrissement ou prise de poids au cours des 6 derniers mois</t>
  </si>
  <si>
    <t>Avez-vous eu, durant les 12 derniers mois, des problèmes (courbatures, douleur, inconfort) au niveau du cou, du dos, des épaules ou des mains qui impactent votre vie quotidienne ?</t>
  </si>
  <si>
    <t>Diriez-vous que vous avez des problèmes de sommeil ?</t>
  </si>
  <si>
    <t xml:space="preserve"> Devez-vous vous arrêter parce que vous êtes essoufflé(e) lorsque vous montez 3 étages ou moins ?</t>
  </si>
  <si>
    <t>Toussez-vous souvent (tous les jours) ?</t>
  </si>
  <si>
    <t>Avez-vous l’impression de voir moins bien (difficultés pour lire, pour voir de loin…) ?</t>
  </si>
  <si>
    <t>Avez-vous l’impression d’entendre moins bien et/ou votre entourage a-t-i l’impression que votre audition a baissé ?</t>
  </si>
  <si>
    <t>Avez-vous des bouffées de chaleur ou sueurs nocturnes</t>
  </si>
  <si>
    <t xml:space="preserve"> Avez-vous la sensation d’oublier des choses ?</t>
  </si>
  <si>
    <t xml:space="preserve"> Avez-vous observé des gonflements importants et/ou inhabituels de vos chevilles ou de vos jambes ?</t>
  </si>
  <si>
    <t>Vous arrive-t-il d’avoir des douleurs dans la poitrine notamment lors d’un effort ?</t>
  </si>
  <si>
    <t xml:space="preserve"> Avez-vous des douleurs intenses au bas ventre ou dans les parties génitales? </t>
  </si>
  <si>
    <t>Avez-vous des diarrhées ou selles liquides ou glaireuses plusieurs fois par semaine</t>
  </si>
  <si>
    <t>Etes vous fatigué tout au long de la journée de façon chronique (plus de 6 mois) et sans avoir fait d'effort particulier?</t>
  </si>
  <si>
    <t>Avez-vous réguliérement des problémes de constipation récurrents (plus de 6 mois)</t>
  </si>
  <si>
    <t>Vous sentez vous fébrile réguliérement, en particulier le soir de façon chronique (plus de 6 semaines consécutives)</t>
  </si>
  <si>
    <t>Avez-vous des tremblements des mains au repos ou lorsque vous réalisée des gestes précis?</t>
  </si>
  <si>
    <t>Avez-vous des douleurs dans le creux de l'estomac (épigastre) ou des brulures remontant vers le thorax?</t>
  </si>
  <si>
    <t>Prenez vous réguliérement (plusieurs fois par semaine) des somminiféres?</t>
  </si>
  <si>
    <t>Si vous deviez passer le reste de votre vie avec votre état sexuel tel qu'il est actuellement, que ressentiriez-vous à ce sujet ? (0=Très satisfaisant ; 1=Assez satisfaisant ; 2=Peu satisfaisant ; 3=Pas du tout satisfaisant)</t>
  </si>
  <si>
    <t>Si vous deviez passer le reste de votre vie avec votre état digestif tel qu'il est actuellement, que ressentiriez-vous à ce sujet ? (0=Très satisfaisant ; 1=Assez satisfaisant ; 2=Peu satisfaisant ; 3=Pas du tout satisfaisant)</t>
  </si>
  <si>
    <t>Si vous deviez passer le reste de votre vie avec votre état ostéo-articulaire tel qu'il est actuellement, que ressentiriez-vous à ce sujet ?(0=Très satisfaisant ; 1=Assez satisfaisant ; 2=Peu satisfaisant ; 3=Pas du tout satisfaisant)</t>
  </si>
  <si>
    <t>Si vous deviez passer le reste de votre vie avec votre état émotionnel ou nerveux tel qu'il est actuellement, que ressentiriez-vous à ce sujet ? (0=Très satisfaisant ; 1=Assez satisfaisant ; 2=Peu satisfaisant ; 3=Pas du tout satisfaisant)</t>
  </si>
  <si>
    <t xml:space="preserve"> Durant les 4 dernières semaines, avez-vous eu des fuites urinaires au cours d’efforts physiques ? (0=Jamais de fuite d’urine; 1=Moins d’une fuite d’urine par semaine;	2=Plusieurs fuites d’urine par semaine; 3=Plusieurs fuites d’urine par jour)</t>
  </si>
  <si>
    <t>Lorsque vous avez un besoin urgent d'uriner, combien de temps en moyenne pouvez-vous vous retenir ? (0=Plus de 15 minutes;  1=De 6 à 15 minutes; 2=De 1 à 5 minutes; 3=Moins de 1 minute)</t>
  </si>
  <si>
    <t>REFERENCE</t>
  </si>
  <si>
    <t>Si vous deviez passer le reste de votre vie avec votre état urinaire  tel qu'il est actuellement, que ressentiriez-vous à ce sujet ? (0=Très satisfaisant ; 1=Assez satisfaisant ; 2=Peu satisfaisant ; 3=Pas du tout satisfaisant)</t>
  </si>
  <si>
    <t>Genetique MMR, HRD</t>
  </si>
  <si>
    <t>Score Polygenic</t>
  </si>
  <si>
    <t>DNAm</t>
  </si>
  <si>
    <t>Dépistages et Vaccins</t>
  </si>
  <si>
    <r>
      <t>Taille (cm)</t>
    </r>
    <r>
      <rPr>
        <b/>
        <sz val="14"/>
        <color rgb="FFFF0000"/>
        <rFont val="Arial"/>
        <family val="2"/>
      </rPr>
      <t xml:space="preserve"> ?</t>
    </r>
  </si>
  <si>
    <r>
      <t xml:space="preserve">Poids (kg) </t>
    </r>
    <r>
      <rPr>
        <b/>
        <sz val="14"/>
        <color rgb="FFFF0000"/>
        <rFont val="Arial"/>
        <family val="2"/>
      </rPr>
      <t>?</t>
    </r>
  </si>
  <si>
    <t>Volets</t>
  </si>
  <si>
    <t>Questions</t>
  </si>
  <si>
    <t>Scores Intermédiaires</t>
  </si>
  <si>
    <t>Charge social score</t>
  </si>
  <si>
    <t>Score Cancer Peau</t>
  </si>
  <si>
    <t>Score NutritionEquilibré</t>
  </si>
  <si>
    <t>Score Sédentarité</t>
  </si>
  <si>
    <t>Score Pollution aerienne</t>
  </si>
  <si>
    <t>Score Addiction</t>
  </si>
  <si>
    <t>Score MST</t>
  </si>
  <si>
    <t>Score Medication</t>
  </si>
  <si>
    <t>Score ATCD familiaux Veracité</t>
  </si>
  <si>
    <t>Score Qualité de vie</t>
  </si>
  <si>
    <t>Score Qualité du sommeil</t>
  </si>
  <si>
    <t>Score Apnées du sommeil</t>
  </si>
  <si>
    <t>Score Symptomes</t>
  </si>
  <si>
    <r>
      <t xml:space="preserve"> Quel est votre tour de taille (cm)</t>
    </r>
    <r>
      <rPr>
        <b/>
        <sz val="14"/>
        <color rgb="FFFF0000"/>
        <rFont val="Arial"/>
        <family val="2"/>
      </rPr>
      <t xml:space="preserve"> ?</t>
    </r>
  </si>
  <si>
    <r>
      <t xml:space="preserve">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</si>
  <si>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</si>
  <si>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t>NFS</t>
  </si>
  <si>
    <t>Si Biol Vide</t>
  </si>
  <si>
    <t xml:space="preserve"> inflammatoire</t>
  </si>
  <si>
    <t xml:space="preserve"> hépatique</t>
  </si>
  <si>
    <t xml:space="preserve"> prostatique</t>
  </si>
  <si>
    <t xml:space="preserve"> Martial</t>
  </si>
  <si>
    <t xml:space="preserve"> musculaire</t>
  </si>
  <si>
    <t xml:space="preserve"> thyroidien</t>
  </si>
  <si>
    <t xml:space="preserve"> rénal</t>
  </si>
  <si>
    <t xml:space="preserve"> Allergie</t>
  </si>
  <si>
    <t>HBP</t>
  </si>
  <si>
    <t>AVC</t>
  </si>
  <si>
    <t>Score Surpoids</t>
  </si>
  <si>
    <t>Score Maigreur</t>
  </si>
  <si>
    <t>Apnée</t>
  </si>
  <si>
    <t>Co-Morbidités</t>
  </si>
  <si>
    <t>Erection</t>
  </si>
  <si>
    <t>ScoreFRAX</t>
  </si>
  <si>
    <t>A</t>
  </si>
  <si>
    <t>MST</t>
  </si>
  <si>
    <t>Résistance à l'insuline</t>
  </si>
  <si>
    <t>Hyperéosinophilie</t>
  </si>
  <si>
    <t>Lymphopénie</t>
  </si>
  <si>
    <t>Score lithiase</t>
  </si>
  <si>
    <t>Dysfonction hépatique</t>
  </si>
  <si>
    <t>Points-1</t>
  </si>
  <si>
    <t>Points-2</t>
  </si>
  <si>
    <t>ENVIRONNEMENT</t>
  </si>
  <si>
    <t>Échelle de score</t>
  </si>
  <si>
    <t>Signification du score</t>
  </si>
  <si>
    <t>Risque associé</t>
  </si>
  <si>
    <t>0 à 6</t>
  </si>
  <si>
    <t>1 à 5</t>
  </si>
  <si>
    <t>Risque croissant de cancer cliniquement significatif</t>
  </si>
  <si>
    <t>LR-1 à LR-5 + variantes</t>
  </si>
  <si>
    <t>Progression du risque de bénignité → HCC confirmé</t>
  </si>
  <si>
    <t>0 à 4X</t>
  </si>
  <si>
    <t>1 : bénin ; 2 : probablement bénin ; 3 : suspicion faible ; 4A : suspicion modérée ; 4B : suspicion forte ; 4X : suspicion très forte</t>
  </si>
  <si>
    <t>1 à 4</t>
  </si>
  <si>
    <t>1 : pas de récidive ; 2 : suspicion faible ; 3 : suspicion élevée ; 4 : récidive prouvée</t>
  </si>
  <si>
    <t>Risque croissant de récidive tumorale</t>
  </si>
  <si>
    <t>0 à 5</t>
  </si>
  <si>
    <t>0 : non interprétable ; 1 : normal ; 2 : bénin ; 3 : faible risque ; 4 : risque intermédiaire ; 5 : risque élevé</t>
  </si>
  <si>
    <t>Variable</t>
  </si>
  <si>
    <t>Guide l’évaluation selon critères TNM en imagerie</t>
  </si>
  <si>
    <t>En développement / non standardisé</t>
  </si>
  <si>
    <t>0 : examen incomplet ; 1 : normal ; 2 : bénin ; 3 : probablement bénin ; 4 (a,b,c) : suspicion ; 5 : très suspect ; 6 : cancer prouvé</t>
  </si>
  <si>
    <t>0–2 : bénin ; 3 : &lt;2 % ; 4a : 2–10 % ; 4b : 10–50 % ; 4c : 50–95 % ; 5 : &gt;95 % ; 6 : confirmé</t>
  </si>
  <si>
    <t>1 : très probablement bénin → 5 : très probablement malin</t>
  </si>
  <si>
    <t>LR-1 : bénin ; LR-2 : probablement bénin ; LR-3 : indéterminé ; LR-4 : probablement HCC ; LR-5 : HCC certain ; LR-M : malin non HCC ; LR-TIV : invasion vasculaire</t>
  </si>
  <si>
    <t>Risque : 1–2 : &lt;1 % ; 3 : 1–2 % ; 4A : 5–15 % ; 4B/X : &gt;15 %</t>
  </si>
  <si>
    <t>Risque malignité : 2 : &lt;1 % ; 3 : 1–&lt;10 % ; 4 : 10–&lt;50 % ; 5 : ≥50 %</t>
  </si>
  <si>
    <t>TR1 à TR5</t>
  </si>
  <si>
    <t>TR1 : bénin ; TR2 : probablement bénin ; TR3 : suspicion faible ; TR4 : suspicion intermédiaire ; TR5 : suspicion forte</t>
  </si>
  <si>
    <t>Risque : TR1 ≈0 % ; TR2 &lt;2 % ; TR3 ≈5 % ; TR4 : 5–20 % ; TR5 : &gt;20–35 %</t>
  </si>
  <si>
    <t>FSH</t>
  </si>
  <si>
    <t>LH</t>
  </si>
  <si>
    <t>Estrogens</t>
  </si>
  <si>
    <t>Progesterone</t>
  </si>
  <si>
    <t>Phase folliculaire </t>
  </si>
  <si>
    <t>Pic ovulatoire </t>
  </si>
  <si>
    <t>Phase lutéale </t>
  </si>
  <si>
    <t>Post ménopause </t>
  </si>
  <si>
    <t>FSH (UI/L) </t>
  </si>
  <si>
    <t>3,3-8,8</t>
  </si>
  <si>
    <t>4,5-22,5</t>
  </si>
  <si>
    <t>1,8-5,1</t>
  </si>
  <si>
    <t>16,7-113,6</t>
  </si>
  <si>
    <t>LH (UI/L) </t>
  </si>
  <si>
    <t>2,1-10,9</t>
  </si>
  <si>
    <t>19,2-103,0</t>
  </si>
  <si>
    <t>1,2-12,9</t>
  </si>
  <si>
    <t>10,9-58,6</t>
  </si>
  <si>
    <t>Oestradiol (pg/ml) </t>
  </si>
  <si>
    <t>22,4-115</t>
  </si>
  <si>
    <t>32,1-517</t>
  </si>
  <si>
    <t>36,5-246</t>
  </si>
  <si>
    <t>&lt;25,1</t>
  </si>
  <si>
    <t>Progestérone (ng/ml) </t>
  </si>
  <si>
    <t>0,31-1,52</t>
  </si>
  <si>
    <t>–</t>
  </si>
  <si>
    <t>5,16-18,56</t>
  </si>
  <si>
    <t>&lt;0,78</t>
  </si>
  <si>
    <t>AMH (hormone anti-müllérienne)</t>
  </si>
  <si>
    <t>https://mindology.fr/menopause/tout-savoir-sur-linterpretation-du-bilan-hormonal-a-la-menopause/</t>
  </si>
  <si>
    <t>HOMA= Glycémie à jeun (mmol/L) * Insulinémie à jeun (mui/mL)/22.5.</t>
  </si>
  <si>
    <t>Valeurs usuelles : &lt;2.4</t>
  </si>
  <si>
    <t>NT-proBNP</t>
  </si>
  <si>
    <t>ICA très improbable</t>
  </si>
  <si>
    <t>ICA très probable</t>
  </si>
  <si>
    <t>Taux de BNP (ng/L)</t>
  </si>
  <si>
    <t>&lt; 100</t>
  </si>
  <si>
    <t>&gt; 400</t>
  </si>
  <si>
    <t>Taux de NTproBNP (ng/L)</t>
  </si>
  <si>
    <t>&lt; 300</t>
  </si>
  <si>
    <r>
      <t>&gt; 450</t>
    </r>
    <r>
      <rPr>
        <sz val="9.9"/>
        <color rgb="FF000000"/>
        <rFont val="Arial"/>
        <family val="2"/>
      </rPr>
      <t>       &lt; 50 ans</t>
    </r>
  </si>
  <si>
    <r>
      <t>&gt; 900</t>
    </r>
    <r>
      <rPr>
        <sz val="9.9"/>
        <color rgb="FF000000"/>
        <rFont val="Arial"/>
        <family val="2"/>
      </rPr>
      <t>   &lt;50 – 75 ans&gt;</t>
    </r>
  </si>
  <si>
    <r>
      <t>&gt; 1800</t>
    </r>
    <r>
      <rPr>
        <sz val="9.9"/>
        <color rgb="FF000000"/>
        <rFont val="Arial"/>
        <family val="2"/>
      </rPr>
      <t>     &gt; 75 an</t>
    </r>
  </si>
  <si>
    <r>
      <t>BI-RADS</t>
    </r>
    <r>
      <rPr>
        <sz val="14"/>
        <color theme="1"/>
        <rFont val="Aptos"/>
        <family val="2"/>
      </rPr>
      <t xml:space="preserve"> (Breast Imaging)</t>
    </r>
  </si>
  <si>
    <r>
      <t>PI-RADS</t>
    </r>
    <r>
      <rPr>
        <sz val="14"/>
        <color theme="1"/>
        <rFont val="Aptos"/>
        <family val="2"/>
      </rPr>
      <t xml:space="preserve"> (Prostate Imaging)</t>
    </r>
  </si>
  <si>
    <r>
      <t>LI-RADS</t>
    </r>
    <r>
      <rPr>
        <sz val="14"/>
        <color theme="1"/>
        <rFont val="Aptos"/>
        <family val="2"/>
      </rPr>
      <t xml:space="preserve"> (Liver Imaging)</t>
    </r>
  </si>
  <si>
    <r>
      <t>LUNG-RADS</t>
    </r>
    <r>
      <rPr>
        <sz val="14"/>
        <color theme="1"/>
        <rFont val="Aptos"/>
        <family val="2"/>
      </rPr>
      <t xml:space="preserve"> (CT Screening)</t>
    </r>
  </si>
  <si>
    <r>
      <t>NI-RADS</t>
    </r>
    <r>
      <rPr>
        <sz val="14"/>
        <color theme="1"/>
        <rFont val="Aptos"/>
        <family val="2"/>
      </rPr>
      <t xml:space="preserve"> (Neck Imaging)</t>
    </r>
  </si>
  <si>
    <r>
      <t>O-RADS</t>
    </r>
    <r>
      <rPr>
        <sz val="14"/>
        <color theme="1"/>
        <rFont val="Aptos"/>
        <family val="2"/>
      </rPr>
      <t xml:space="preserve"> (Ovarian Imaging)</t>
    </r>
  </si>
  <si>
    <r>
      <t>TI-RADS</t>
    </r>
    <r>
      <rPr>
        <sz val="14"/>
        <color theme="1"/>
        <rFont val="Aptos"/>
        <family val="2"/>
      </rPr>
      <t xml:space="preserve"> (Thyroid Imaging)</t>
    </r>
  </si>
  <si>
    <r>
      <t>TNM-RADS</t>
    </r>
    <r>
      <rPr>
        <sz val="14"/>
        <color theme="1"/>
        <rFont val="Aptos"/>
        <family val="2"/>
      </rPr>
      <t xml:space="preserve"> (proposé)</t>
    </r>
  </si>
  <si>
    <t>Imagerie</t>
  </si>
  <si>
    <t>InsulinoResistance</t>
  </si>
  <si>
    <t>Lipides</t>
  </si>
  <si>
    <t xml:space="preserve"> Expo(Alcool)</t>
  </si>
  <si>
    <t xml:space="preserve"> Expo(Tabac)</t>
  </si>
  <si>
    <t xml:space="preserve"> urinaireBioch</t>
  </si>
  <si>
    <t>ECBU</t>
  </si>
  <si>
    <t>Sang Feces</t>
  </si>
  <si>
    <t>CytoU</t>
  </si>
  <si>
    <t>QV</t>
  </si>
  <si>
    <t>GammaPathie</t>
  </si>
  <si>
    <t>Syndrome inflammatoire</t>
  </si>
  <si>
    <t>Methylation CRP/IL6</t>
  </si>
  <si>
    <t>CDT (transferrine carboxydeficiente)</t>
  </si>
  <si>
    <t xml:space="preserve">Methylation AHRR </t>
  </si>
  <si>
    <t>cotinurie</t>
  </si>
  <si>
    <t>Cystatinemie</t>
  </si>
  <si>
    <t>ProBNP*</t>
  </si>
  <si>
    <t>Lipoproteine Lpa</t>
  </si>
  <si>
    <t>Avez-vous des saignements pronlogés (gencives), hématomes spontanés ou une maladie de la coagulation (Hémophilie)</t>
  </si>
  <si>
    <t>Avez-vous des douleurs anales, hémoroides ou fissure anale</t>
  </si>
  <si>
    <t>Fréquence cardiaque maximale à l'effort/ (Homme)</t>
  </si>
  <si>
    <t>Fréquence cardiaque maximale à l'effort/ (Femme)</t>
  </si>
  <si>
    <t>Fréquence cardiaque au repos</t>
  </si>
  <si>
    <t>Afin d’adapter son entrainement la FC cible peut être estimée par : %souhaité x (FC max –FC de repos) + FC de repos. Une activité intense (marche &gt;6km/h, essoufflement marqué sans conversation possible) correspondra à environ 80% de la FCmax.</t>
  </si>
  <si>
    <t>Le niveau d’activité physique peut être adapté sur la fréquence cardiaque maximale (FCmax). La FCmax est estimée pour la femme à FCmax=208.3-0.74*âge</t>
  </si>
  <si>
    <t>Le niveau d’activité physique peut être adapté sur la fréquence cardiaque maximale (FCmax). La FCmax est estimée pour  l’homme à FCmax=207.5 – 0.78 * âge</t>
  </si>
  <si>
    <t>&lt;40 : Rythme cardiaque trop lent. Entre 41 et 49 Rythme lent. (peut être normal chez un athlète de fond entrainé). Entre 50 et 85 rythme au repos  « normal » Entre 86 et 99 Rythme un peu rapide au repos. (Manque d’exercice physique). &gt;100 Rythme rapide au repos pouvant évoquer une anomalie cardiaque ou thyroïdienne.</t>
  </si>
  <si>
    <t>50-85</t>
  </si>
  <si>
    <t>40-50 ou 85-99</t>
  </si>
  <si>
    <t>&lt;40 ou &gt;100</t>
  </si>
  <si>
    <t>Avez-vous des idées noires/suicidaires ou fait une tentative de suicide ?</t>
  </si>
  <si>
    <t>Avez-vous réguliérement le sentiment d'être découragé ou triste ?</t>
  </si>
  <si>
    <t>Avez-vous réguliérement des douleurs ou sensationsdésagréable dans les jambes la nuit et qui disparaissent en marchant ?</t>
  </si>
  <si>
    <t>Avez-vous réguliérement des douleurs dans les jambes qui limitent votre distance de marche à moins de 100m (moins de 5 minutes) et qui disparaissent au repos ?</t>
  </si>
  <si>
    <t>Vous sentez vous frustré(e) ou sans motivation par votre travail?</t>
  </si>
  <si>
    <t>TP/TCK</t>
  </si>
  <si>
    <t xml:space="preserve"> vitamines/Mg</t>
  </si>
  <si>
    <t>Q CAST</t>
  </si>
  <si>
    <t>Q AUDIT</t>
  </si>
  <si>
    <t>Action à afficher</t>
  </si>
  <si>
    <t>Action référence</t>
  </si>
  <si>
    <t>steroidesFemme</t>
  </si>
  <si>
    <t>steroidesHomme</t>
  </si>
  <si>
    <t>Q Mental</t>
  </si>
  <si>
    <t>Cs Cardiologie</t>
  </si>
  <si>
    <t>Cs Pneumo-allergologie</t>
  </si>
  <si>
    <t>Cs Urologie</t>
  </si>
  <si>
    <t>Cs Gynécologie</t>
  </si>
  <si>
    <t>Cs Endocrinologie</t>
  </si>
  <si>
    <t>Cs Rhumatolohie</t>
  </si>
  <si>
    <t>Cs Bucco-dentaire</t>
  </si>
  <si>
    <t>Supplémentation VitaD</t>
  </si>
  <si>
    <t>Supplémentation Vitamine B12</t>
  </si>
  <si>
    <t>Supplémentation Vitamine B6</t>
  </si>
  <si>
    <t>LipoProteinA</t>
  </si>
  <si>
    <t>Insulinémie</t>
  </si>
  <si>
    <t>Cotinurie</t>
  </si>
  <si>
    <t>-</t>
  </si>
  <si>
    <t>Supplémentation Ubiquinol</t>
  </si>
  <si>
    <t>Bilan Biologique</t>
  </si>
  <si>
    <t>Questionnaires Complémentaires</t>
  </si>
  <si>
    <t xml:space="preserve">Numération formule sanguine, Plaquettes, </t>
  </si>
  <si>
    <t xml:space="preserve">Glycémie, Hb1Ac, Insuline et indice HOMA-IR, </t>
  </si>
  <si>
    <t xml:space="preserve">Testostérone Totale, FSH; Cortisol; Sulfate DHEA, </t>
  </si>
  <si>
    <t xml:space="preserve">Oestradiol FSH; Cortisol; Sulfate DHEA, </t>
  </si>
  <si>
    <t xml:space="preserve">Vitamine D2-D3, Vitamine B6; Magnésium sang, </t>
  </si>
  <si>
    <t xml:space="preserve">PSA, </t>
  </si>
  <si>
    <t xml:space="preserve">Fer sérique, Ferritine, Coefficient saturation, </t>
  </si>
  <si>
    <t xml:space="preserve">CPK, </t>
  </si>
  <si>
    <t xml:space="preserve">TSH, </t>
  </si>
  <si>
    <t xml:space="preserve">BNP et ProBNP, </t>
  </si>
  <si>
    <t xml:space="preserve">Créatininémie, DFG, </t>
  </si>
  <si>
    <t xml:space="preserve">ECBU, </t>
  </si>
  <si>
    <t xml:space="preserve">Bilan urinaire des 24 heures (diurése, pH, Densité, Urée, Créatininémie, Sodium, Calcium, Acide Urique), </t>
  </si>
  <si>
    <t xml:space="preserve">Cytologie urinaire avec recherche d'atypie celllaire, </t>
  </si>
  <si>
    <t xml:space="preserve">Bilan IST (Sélogies: Syphilis, VIH1-2, Hépatite B. Recherche de chlamydia trachomatis et neisseria gonorrhoeae), </t>
  </si>
  <si>
    <t xml:space="preserve">Cotinurie, Methylation AHRR, </t>
  </si>
  <si>
    <t xml:space="preserve">Lipoproteine a, </t>
  </si>
  <si>
    <t xml:space="preserve">Questionnaire AUDIT, </t>
  </si>
  <si>
    <t xml:space="preserve">Questionnaire CAST (Cannabis), </t>
  </si>
  <si>
    <t>Cs Oncogénétique</t>
  </si>
  <si>
    <t xml:space="preserve">Questionnaire Santé mental, </t>
  </si>
  <si>
    <t>Cs Addictologie</t>
  </si>
  <si>
    <r>
      <t>test</t>
    </r>
    <r>
      <rPr>
        <sz val="10"/>
        <color rgb="FF1F1F1F"/>
        <rFont val="Arial"/>
        <family val="2"/>
      </rPr>
      <t xml:space="preserve"> immunochimique fécal (TIF), </t>
    </r>
  </si>
  <si>
    <t>Dépistage des cancers</t>
  </si>
  <si>
    <t>Supplémentation nutritionnelle</t>
  </si>
  <si>
    <t xml:space="preserve">Supplémentation VitaD, </t>
  </si>
  <si>
    <t xml:space="preserve">Supplémentation Vitamine B12, </t>
  </si>
  <si>
    <t xml:space="preserve">Supplémentation Vitamine B6, </t>
  </si>
  <si>
    <t>Supplémentation Ubiquinol,</t>
  </si>
  <si>
    <t>Q Nutrition</t>
  </si>
  <si>
    <t xml:space="preserve">Questionnaire Nutritionnel, </t>
  </si>
  <si>
    <t>Frequence cardiaque d'entrainement 70% (Homme)</t>
  </si>
  <si>
    <t>Frequence cardiaque d'entrainement 70% (Femme)</t>
  </si>
  <si>
    <t>Cs Gastro-entérologie Hépatologie</t>
  </si>
  <si>
    <t>Cs Neurologie ou Psychologie</t>
  </si>
  <si>
    <t>Consultations</t>
  </si>
  <si>
    <t>Cs sommeil</t>
  </si>
  <si>
    <t xml:space="preserve">Cs Gastro-entérologie, </t>
  </si>
  <si>
    <t xml:space="preserve">Cs Trouble du sommeil, </t>
  </si>
  <si>
    <t xml:space="preserve">Cs Addictologie, </t>
  </si>
  <si>
    <t xml:space="preserve">Cs Bucco-dentaire, </t>
  </si>
  <si>
    <t xml:space="preserve">Cs Oncogénétique, </t>
  </si>
  <si>
    <t xml:space="preserve">Cs Cardiologie, </t>
  </si>
  <si>
    <t>Cs Pneumo-allergologie,</t>
  </si>
  <si>
    <t xml:space="preserve">Cs Urologie, </t>
  </si>
  <si>
    <t xml:space="preserve">Cs Gynécologie, </t>
  </si>
  <si>
    <t xml:space="preserve">Cs Endocrinologie, </t>
  </si>
  <si>
    <t xml:space="preserve">Cs Rhumatologie, </t>
  </si>
  <si>
    <t xml:space="preserve">Cs Neurologie, </t>
  </si>
  <si>
    <t>HOMA-IR</t>
  </si>
  <si>
    <t>mUI/mL</t>
  </si>
  <si>
    <t xml:space="preserve">µg/L </t>
  </si>
  <si>
    <t> ng/ml</t>
  </si>
  <si>
    <t>CDT (transferrine carboxydeficiente</t>
  </si>
  <si>
    <t>pg/ml</t>
  </si>
  <si>
    <t>Estradiol</t>
  </si>
  <si>
    <t>pg/mL</t>
  </si>
  <si>
    <t>BNP (peptides natriurétiques)</t>
  </si>
  <si>
    <t>Hyperleucocytose</t>
  </si>
  <si>
    <t>Score HOMA-IR</t>
  </si>
  <si>
    <t>Un score HOMA-IR (Glycémie à jeun en mg/dL) x (Insulinémie à jeun en mUI/mL) / 405) supérieur à 2,4 est souvent interprété comme un signe de résistance à l'insuline</t>
  </si>
  <si>
    <t>Une valeur &lt; 0,5 ng/ml suggère une réserve ovarienne très faible. </t>
  </si>
  <si>
    <t>Chez une femme non ménopausée, le taux est le plus bas en début de cycle (environ 30-120 pg/mL), atteint un pic au moment de l'ovulation (environ 140-300 pg/mL ou plus) et diminue ensuite pendant la phase lutéale (environ 50-210 pg/mL). Après la ménopause, le taux chute généralement à moins de 20 ou 30 pg/mL. </t>
  </si>
  <si>
    <t>Un taux normal est généralement inférieur à 100 pg/mL</t>
  </si>
  <si>
    <t>L'insulinémie à jeun se situent généralement entre 2 et 20 µUI/mL (soit 14 à 140 pmol/L)</t>
  </si>
  <si>
    <t>En cas de consommation excessive d’alcool (≥ 50–80 g/j pendant plus d’une semaine), la CDT est  ≥ 1,7 %</t>
  </si>
  <si>
    <t>Chez les non-fumeurs les valeurs de cotinurie &lt; 10 µg/L (ou &lt; 0,01 µg/mL)</t>
  </si>
  <si>
    <t>Vaccination Zona</t>
  </si>
  <si>
    <t>Vaccination Tetanos</t>
  </si>
  <si>
    <t>Vaccination grippe</t>
  </si>
  <si>
    <t>Prévention cancer du col utérien</t>
  </si>
  <si>
    <t>Dépistage  cancer du sein</t>
  </si>
  <si>
    <t>Dépistage  cancer du colon</t>
  </si>
  <si>
    <t>Dépistage cancer de la prostate</t>
  </si>
  <si>
    <t>Dépistage cancer du poumon</t>
  </si>
  <si>
    <t>Dépistage cancer de l'estomac</t>
  </si>
  <si>
    <t xml:space="preserve">Prévention cancer du col utérin, </t>
  </si>
  <si>
    <t xml:space="preserve">Dépistage cancer de la prostate, </t>
  </si>
  <si>
    <t xml:space="preserve">Dépistage cancer du poumon, </t>
  </si>
  <si>
    <t xml:space="preserve">Dépistage cancer de l'estomac, </t>
  </si>
  <si>
    <t>Vaccinations</t>
  </si>
  <si>
    <t xml:space="preserve">Vaccination Zona, </t>
  </si>
  <si>
    <t xml:space="preserve">Dépistage  cancer du colon, </t>
  </si>
  <si>
    <t>Vitamine B6</t>
  </si>
  <si>
    <t>les valeurs normales du dosage de la vitamine B6 dans le sang se situent entre 20 et 121 nmol/L. Les besoins journaliers sont d'environ environ 1,8 mg/jour pour l'Homme et 1,5mgmg/jour pour la Femme . Le surdosage en Vitamine B6 peut donner des troubles neurologiques et digestifs. Les déficits en vitamine B6 ont été associée aux troubles dépressifs, à la fatigabilité et aux crampes musculaires, au risque cardivasculaire et à une baisse de l'immunité.</t>
  </si>
  <si>
    <t>20-121</t>
  </si>
  <si>
    <t>&gt; 121</t>
  </si>
  <si>
    <t>&gt;1,6%</t>
  </si>
  <si>
    <t>&gt; 10microg/ml</t>
  </si>
  <si>
    <t>&lt; 0,5</t>
  </si>
  <si>
    <t>La valeur normale est entre 1,5 et 12 UI/L</t>
  </si>
  <si>
    <t>&lt;12</t>
  </si>
  <si>
    <t>&gt; 2,4</t>
  </si>
  <si>
    <t>&gt;20</t>
  </si>
  <si>
    <t>2 à 20</t>
  </si>
  <si>
    <t>Tour de Cou (cm)</t>
  </si>
  <si>
    <t>Tour de Cou Hommes cm</t>
  </si>
  <si>
    <t>Tour de Cou Femmes cm</t>
  </si>
  <si>
    <t>Un tour de cou supérieur à 40 cm pour une femme est un facteur de risque important pour l'apnée du sommeil</t>
  </si>
  <si>
    <t>Un tour de cou supérieur à 43 cm pour un homme est un facteur de risque important pour l'apnée du sommeil</t>
  </si>
  <si>
    <t>&gt;43</t>
  </si>
  <si>
    <t>&gt;40</t>
  </si>
  <si>
    <t xml:space="preserve"> Qualité de vie 100% aucun trouble)</t>
  </si>
  <si>
    <t xml:space="preserve"> Symptomes (100% aucun symptome)</t>
  </si>
  <si>
    <t xml:space="preserve"> Qualité Nutrition 100% bonne</t>
  </si>
  <si>
    <t xml:space="preserve"> Activité (100% bonne)</t>
  </si>
  <si>
    <t>Addiction (aucune 100%)</t>
  </si>
  <si>
    <t>Exposition IST (100% aucune)</t>
  </si>
  <si>
    <t xml:space="preserve"> Medications (100% pas de polymédication)</t>
  </si>
  <si>
    <t>Biométrie</t>
  </si>
  <si>
    <t>Consommation recommandée de NaCl (sel) g/j</t>
  </si>
  <si>
    <t>Apport de vitamine D recommandés</t>
  </si>
  <si>
    <t>Les apports journaliers recommandés en vitamine D sont de 600 UI  (15microg/j)</t>
  </si>
  <si>
    <t>Cancérologie</t>
  </si>
  <si>
    <t>Axes de vigilance</t>
  </si>
  <si>
    <t>Système nerveux et état mental</t>
  </si>
  <si>
    <t>Système cardiovasculaire et risque métabolique</t>
  </si>
  <si>
    <t>Systéme des voies aeriennes</t>
  </si>
  <si>
    <t>Systéme du tube digestif</t>
  </si>
  <si>
    <t>Système urinaire</t>
  </si>
  <si>
    <t>Appareil génital</t>
  </si>
  <si>
    <t xml:space="preserve"> Qualité du sommeil, Fatigue (100% aucun trouble)</t>
  </si>
  <si>
    <t>Tour de cou (cm)</t>
  </si>
  <si>
    <t>Score Mallampati (1 à 4)</t>
  </si>
  <si>
    <t>Stadification ASA (0-5)</t>
  </si>
  <si>
    <t>Apport hydriques (boissons)  recommandés</t>
  </si>
  <si>
    <t>Systéme hépato-biliaire</t>
  </si>
  <si>
    <t>Tour de Taille (cm)</t>
  </si>
  <si>
    <t>Test d'aptitude fréquence cardiaque à l'effort (Indice de Ruffier)</t>
  </si>
  <si>
    <t xml:space="preserve">IgE spécifique, </t>
  </si>
  <si>
    <t>Cs Ophtalmologie</t>
  </si>
  <si>
    <t>Cs ORL</t>
  </si>
  <si>
    <t xml:space="preserve">Cs Ophtalmologie, </t>
  </si>
  <si>
    <t xml:space="preserve">Cs ORL, </t>
  </si>
  <si>
    <t>Tenez vous en  équilibre sur une jambe plus de 10 secondes (tester les 2 jambes)</t>
  </si>
  <si>
    <t>Score KFRE</t>
  </si>
  <si>
    <t>Risque à 5 ans</t>
  </si>
  <si>
    <t>eL/1+1eL</t>
  </si>
  <si>
    <t>Implication pratique</t>
  </si>
  <si>
    <t>&lt; 5 %</t>
  </si>
  <si>
    <t>Suivi standard en médecine générale ± néphrologie</t>
  </si>
  <si>
    <t>5–15 %</t>
  </si>
  <si>
    <t>Surveillance néphrologique rapprochée</t>
  </si>
  <si>
    <t>&gt; 15 %</t>
  </si>
  <si>
    <t>Anticipation dialyse / préparation fistule / éducation thérapeutique</t>
  </si>
  <si>
    <t>Albuminurie/Creatininurie</t>
  </si>
  <si>
    <t>mg/g</t>
  </si>
  <si>
    <t>F3</t>
  </si>
  <si>
    <t>ImportQ</t>
  </si>
  <si>
    <t>F6</t>
  </si>
  <si>
    <t>F7</t>
  </si>
  <si>
    <t>F77</t>
  </si>
  <si>
    <t>F78</t>
  </si>
  <si>
    <t>F11</t>
  </si>
  <si>
    <t>F14</t>
  </si>
  <si>
    <t>F17</t>
  </si>
  <si>
    <t>F20</t>
  </si>
  <si>
    <t>F23</t>
  </si>
  <si>
    <t>F29</t>
  </si>
  <si>
    <t>F26</t>
  </si>
  <si>
    <t>F231</t>
  </si>
  <si>
    <t>F35</t>
  </si>
  <si>
    <t>F38</t>
  </si>
  <si>
    <t>F41</t>
  </si>
  <si>
    <t>F44</t>
  </si>
  <si>
    <t>F47</t>
  </si>
  <si>
    <t>F50</t>
  </si>
  <si>
    <t>F53</t>
  </si>
  <si>
    <t>F59</t>
  </si>
  <si>
    <t>F172</t>
  </si>
  <si>
    <t>F62</t>
  </si>
  <si>
    <t>F65</t>
  </si>
  <si>
    <t>F68</t>
  </si>
  <si>
    <t>F71</t>
  </si>
  <si>
    <t>F74</t>
  </si>
  <si>
    <t>F82</t>
  </si>
  <si>
    <t>F86</t>
  </si>
  <si>
    <t>F89</t>
  </si>
  <si>
    <t>F92</t>
  </si>
  <si>
    <t>F117</t>
  </si>
  <si>
    <t>F118</t>
  </si>
  <si>
    <t>F119</t>
  </si>
  <si>
    <t>F120</t>
  </si>
  <si>
    <t>F95</t>
  </si>
  <si>
    <t>F98</t>
  </si>
  <si>
    <t>F101</t>
  </si>
  <si>
    <t>F104</t>
  </si>
  <si>
    <t>F107</t>
  </si>
  <si>
    <t>F110</t>
  </si>
  <si>
    <t>F113</t>
  </si>
  <si>
    <t>F148</t>
  </si>
  <si>
    <t>F151</t>
  </si>
  <si>
    <t>F163</t>
  </si>
  <si>
    <t>F176</t>
  </si>
  <si>
    <t>F180</t>
  </si>
  <si>
    <t>F184</t>
  </si>
  <si>
    <t>F188</t>
  </si>
  <si>
    <t>F191</t>
  </si>
  <si>
    <t>F194</t>
  </si>
  <si>
    <t>F197</t>
  </si>
  <si>
    <t>F200</t>
  </si>
  <si>
    <t>F203</t>
  </si>
  <si>
    <t>F206</t>
  </si>
  <si>
    <t>F141</t>
  </si>
  <si>
    <t>F142</t>
  </si>
  <si>
    <t>F143</t>
  </si>
  <si>
    <t>F144</t>
  </si>
  <si>
    <t>F145</t>
  </si>
  <si>
    <t>F146</t>
  </si>
  <si>
    <t>F209</t>
  </si>
  <si>
    <t>F214</t>
  </si>
  <si>
    <t>F219</t>
  </si>
  <si>
    <t>F224</t>
  </si>
  <si>
    <t>F122</t>
  </si>
  <si>
    <t>F258</t>
  </si>
  <si>
    <t>F261</t>
  </si>
  <si>
    <t>F264</t>
  </si>
  <si>
    <t>F267</t>
  </si>
  <si>
    <t>F270</t>
  </si>
  <si>
    <t>F273</t>
  </si>
  <si>
    <t>F130</t>
  </si>
  <si>
    <t>F135</t>
  </si>
  <si>
    <t>F232</t>
  </si>
  <si>
    <t>F154&amp;F166</t>
  </si>
  <si>
    <t>F157&amp;F169</t>
  </si>
  <si>
    <t>F</t>
  </si>
  <si>
    <t>F79</t>
  </si>
  <si>
    <t>F80</t>
  </si>
  <si>
    <t>F81</t>
  </si>
  <si>
    <t>Basophiles</t>
  </si>
  <si>
    <t>Monocytes (VA)</t>
  </si>
  <si>
    <t>Les plages habituelles sont 0,01-0,05 x 10(9)/L. , il existe de très nombreuses causes réactionnelles et transitoires. Une élévation des basophiles (basophilie) est généralement définie par un taux supérieur à 0,1 G/L . Une augmentation modérée peut être liée à des allergies ou inflammations, tandis qu'une forte élévation (&gt;0,5 G/L) est souvent associée à des syndromes prolifératifs</t>
  </si>
  <si>
    <t xml:space="preserve">Les plages habituelles sont 0,15-1 x 10(9)/L. , il existe de très nombreuses causes réactionnelles et transitoires. Une Monocytose chronique (au-delà de 3 mois) devra être explorée. </t>
  </si>
  <si>
    <t>&lt;0,01</t>
  </si>
  <si>
    <t>0,01-0,1</t>
  </si>
  <si>
    <t>&lt;0,15</t>
  </si>
  <si>
    <t>0,15-1</t>
  </si>
  <si>
    <r>
      <t>Leucocytes (10</t>
    </r>
    <r>
      <rPr>
        <b/>
        <vertAlign val="superscript"/>
        <sz val="16"/>
        <color rgb="FF000000"/>
        <rFont val="Calibri"/>
        <family val="2"/>
        <scheme val="minor"/>
      </rPr>
      <t>9</t>
    </r>
    <r>
      <rPr>
        <b/>
        <sz val="16"/>
        <color rgb="FF000000"/>
        <rFont val="Calibri"/>
        <family val="2"/>
        <scheme val="minor"/>
      </rPr>
      <t>/l)</t>
    </r>
  </si>
  <si>
    <r>
      <t>Neutrophiles (10</t>
    </r>
    <r>
      <rPr>
        <b/>
        <vertAlign val="superscript"/>
        <sz val="16"/>
        <color rgb="FF000000"/>
        <rFont val="Calibri"/>
        <family val="2"/>
        <scheme val="minor"/>
      </rPr>
      <t>9</t>
    </r>
    <r>
      <rPr>
        <b/>
        <sz val="16"/>
        <color rgb="FF000000"/>
        <rFont val="Calibri"/>
        <family val="2"/>
        <scheme val="minor"/>
      </rPr>
      <t>/l)</t>
    </r>
  </si>
  <si>
    <r>
      <t>Éosinophiles (10</t>
    </r>
    <r>
      <rPr>
        <b/>
        <vertAlign val="superscript"/>
        <sz val="16"/>
        <color rgb="FF000000"/>
        <rFont val="Calibri"/>
        <family val="2"/>
        <scheme val="minor"/>
      </rPr>
      <t>9</t>
    </r>
    <r>
      <rPr>
        <b/>
        <sz val="16"/>
        <color rgb="FF000000"/>
        <rFont val="Calibri"/>
        <family val="2"/>
        <scheme val="minor"/>
      </rPr>
      <t>/l)</t>
    </r>
  </si>
  <si>
    <r>
      <t>Lymphocytes (10</t>
    </r>
    <r>
      <rPr>
        <b/>
        <vertAlign val="superscript"/>
        <sz val="16"/>
        <color rgb="FF000000"/>
        <rFont val="Calibri"/>
        <family val="2"/>
        <scheme val="minor"/>
      </rPr>
      <t>9</t>
    </r>
    <r>
      <rPr>
        <b/>
        <sz val="16"/>
        <color rgb="FF000000"/>
        <rFont val="Calibri"/>
        <family val="2"/>
        <scheme val="minor"/>
      </rPr>
      <t>/l)</t>
    </r>
  </si>
  <si>
    <r>
      <t>Plaquettes (10</t>
    </r>
    <r>
      <rPr>
        <b/>
        <vertAlign val="superscript"/>
        <sz val="16"/>
        <color rgb="FF000000"/>
        <rFont val="Calibri"/>
        <family val="2"/>
        <scheme val="minor"/>
      </rPr>
      <t>9</t>
    </r>
    <r>
      <rPr>
        <b/>
        <sz val="16"/>
        <color rgb="FF000000"/>
        <rFont val="Calibri"/>
        <family val="2"/>
        <scheme val="minor"/>
      </rPr>
      <t>/l)</t>
    </r>
  </si>
  <si>
    <r>
      <t>La TSH est une hormone qui stimule la synthèse et la libération des hormones thyroïdiennes </t>
    </r>
    <r>
      <rPr>
        <b/>
        <u/>
        <sz val="16"/>
        <rFont val="Calibri"/>
        <family val="2"/>
        <scheme val="minor"/>
      </rPr>
      <t>T3</t>
    </r>
    <r>
      <rPr>
        <b/>
        <sz val="16"/>
        <rFont val="Calibri"/>
        <family val="2"/>
        <scheme val="minor"/>
      </rPr>
      <t> et </t>
    </r>
    <r>
      <rPr>
        <b/>
        <u/>
        <sz val="16"/>
        <rFont val="Calibri"/>
        <family val="2"/>
        <scheme val="minor"/>
      </rPr>
      <t>T4</t>
    </r>
    <r>
      <rPr>
        <b/>
        <sz val="16"/>
        <rFont val="Calibri"/>
        <family val="2"/>
        <scheme val="minor"/>
      </rPr>
      <t> dans le sang. (TSH &gt; 4.0 mUI/L suspicion d' hypothyroïdie: TSH &lt; 0.4 mUI/L suscipcion d' hyperthyroïdie</t>
    </r>
  </si>
  <si>
    <r>
      <t>Basophiles  ( 10</t>
    </r>
    <r>
      <rPr>
        <b/>
        <vertAlign val="superscript"/>
        <sz val="16"/>
        <color rgb="FF222222"/>
        <rFont val="Calibri"/>
        <family val="2"/>
        <scheme val="minor"/>
      </rPr>
      <t>9</t>
    </r>
    <r>
      <rPr>
        <b/>
        <sz val="16"/>
        <color rgb="FF222222"/>
        <rFont val="Calibri"/>
        <family val="2"/>
        <scheme val="minor"/>
      </rPr>
      <t>/l))</t>
    </r>
  </si>
  <si>
    <r>
      <t>Monocytes ( 10</t>
    </r>
    <r>
      <rPr>
        <b/>
        <vertAlign val="superscript"/>
        <sz val="16"/>
        <color rgb="FF222222"/>
        <rFont val="Calibri"/>
        <family val="2"/>
        <scheme val="minor"/>
      </rPr>
      <t>9</t>
    </r>
    <r>
      <rPr>
        <b/>
        <sz val="16"/>
        <color rgb="FF222222"/>
        <rFont val="Calibri"/>
        <family val="2"/>
        <scheme val="minor"/>
      </rPr>
      <t>/l))</t>
    </r>
  </si>
  <si>
    <t xml:space="preserve"> Cirrhose</t>
  </si>
  <si>
    <t xml:space="preserve"> Dépression</t>
  </si>
  <si>
    <t xml:space="preserve"> Burnout</t>
  </si>
  <si>
    <t xml:space="preserve"> Asthme</t>
  </si>
  <si>
    <t>SOPK</t>
  </si>
  <si>
    <t>NASH</t>
  </si>
  <si>
    <t xml:space="preserve"> Ulcére</t>
  </si>
  <si>
    <t>RGO</t>
  </si>
  <si>
    <t xml:space="preserve"> ThromboEP</t>
  </si>
  <si>
    <t>ACFA</t>
  </si>
  <si>
    <t xml:space="preserve"> Apnée</t>
  </si>
  <si>
    <t>SJSRepos</t>
  </si>
  <si>
    <t>Démences</t>
  </si>
  <si>
    <t xml:space="preserve"> Syndmétabolique</t>
  </si>
  <si>
    <t xml:space="preserve"> Diabète</t>
  </si>
  <si>
    <t>BPCO</t>
  </si>
  <si>
    <t xml:space="preserve"> Pollinose</t>
  </si>
  <si>
    <t>Kprostate</t>
  </si>
  <si>
    <t>   Kovaire</t>
  </si>
  <si>
    <t>   Kcol</t>
  </si>
  <si>
    <t>   Kpoumon</t>
  </si>
  <si>
    <t xml:space="preserve"> Krein</t>
  </si>
  <si>
    <t>TVEU</t>
  </si>
  <si>
    <t xml:space="preserve"> Thyroide</t>
  </si>
  <si>
    <t>   Inconti</t>
  </si>
  <si>
    <t>calculsU</t>
  </si>
  <si>
    <t>   Endomé</t>
  </si>
  <si>
    <t>calculsB</t>
  </si>
  <si>
    <t xml:space="preserve"> Pancreatite</t>
  </si>
  <si>
    <t xml:space="preserve"> Colopat</t>
  </si>
  <si>
    <t>IntolGluLac</t>
  </si>
  <si>
    <t xml:space="preserve"> AnévryAO</t>
  </si>
  <si>
    <t xml:space="preserve"> ArtériopatMI</t>
  </si>
  <si>
    <t>coronaire</t>
  </si>
  <si>
    <t>Dyslipid</t>
  </si>
  <si>
    <t xml:space="preserve"> Ostéopo</t>
  </si>
  <si>
    <t xml:space="preserve"> Sarco</t>
  </si>
  <si>
    <t xml:space="preserve"> Arthro</t>
  </si>
  <si>
    <t xml:space="preserve"> Rhuma</t>
  </si>
  <si>
    <t>   Kcolo</t>
  </si>
  <si>
    <t>   Kesto</t>
  </si>
  <si>
    <t>   Kfoie</t>
  </si>
  <si>
    <t>   Kpanc</t>
  </si>
  <si>
    <t>   Ksein</t>
  </si>
  <si>
    <t>   KORL</t>
  </si>
  <si>
    <t>  Mélano</t>
  </si>
  <si>
    <t>Medic</t>
  </si>
  <si>
    <t> IRC</t>
  </si>
  <si>
    <t>ATCD Examen</t>
  </si>
  <si>
    <t>HABITUS</t>
  </si>
  <si>
    <t>MEDICAMENT</t>
  </si>
  <si>
    <t>QdV</t>
  </si>
  <si>
    <t>SYMPTOMES</t>
  </si>
  <si>
    <t>Point-3</t>
  </si>
  <si>
    <t>Volume de prostate mesuré en échographie ou IRM (cc ou ml)</t>
  </si>
  <si>
    <t>Protéines totales</t>
  </si>
  <si>
    <t>Acides gras erythrocytaires</t>
  </si>
  <si>
    <t>Homocystéine</t>
  </si>
  <si>
    <t>g/L et mmol/L</t>
  </si>
  <si>
    <t>Apolipoproteine B</t>
  </si>
  <si>
    <t>Lpa</t>
  </si>
  <si>
    <t>ng/L</t>
  </si>
  <si>
    <t>mg/L et µg/L</t>
  </si>
  <si>
    <t>Urée</t>
  </si>
  <si>
    <t>mmol/L</t>
  </si>
  <si>
    <t>Calcémie</t>
  </si>
  <si>
    <t>U/L</t>
  </si>
  <si>
    <t>PAL</t>
  </si>
  <si>
    <t>Bilirubine</t>
  </si>
  <si>
    <t>Cholinestérase</t>
  </si>
  <si>
    <t>Score Fib4</t>
  </si>
  <si>
    <t>NASH Test Biopredictive</t>
  </si>
  <si>
    <t>T3</t>
  </si>
  <si>
    <t>T4</t>
  </si>
  <si>
    <t>Zinc erythrocytaire</t>
  </si>
  <si>
    <t>µmol/l</t>
  </si>
  <si>
    <t>Sélénium</t>
  </si>
  <si>
    <t>Magnésium erythrocytaire</t>
  </si>
  <si>
    <t>Vitamine D</t>
  </si>
  <si>
    <t>Vitamine B9</t>
  </si>
  <si>
    <t>Vitamine B12</t>
  </si>
  <si>
    <t>ng/l</t>
  </si>
  <si>
    <t>Coenzyme Q10</t>
  </si>
  <si>
    <t>Sérologie HIV</t>
  </si>
  <si>
    <t>Sérologie Hépatite B: Ag Hbs + Ac Hbs + Ac Hbc</t>
  </si>
  <si>
    <t>Sérologie Hépatite C</t>
  </si>
  <si>
    <t>Frottis cervico vaginal + recherche HPV par PCR</t>
  </si>
  <si>
    <t>Dépistage sang dans les selles si age &gt; 45ans</t>
  </si>
  <si>
    <t>Indice de HOMA si IMC élevé</t>
  </si>
  <si>
    <t>Holotranscobalamine (vit B12 active)si B12 entre 200 et 400ng/L</t>
  </si>
  <si>
    <t>pmol/L</t>
  </si>
  <si>
    <t>Acide méthylmalonique si holotranscobalamine entre 35 et 50 pmol/L</t>
  </si>
  <si>
    <t>mg/g de crétinine</t>
  </si>
  <si>
    <t>FindelClinique</t>
  </si>
  <si>
    <t xml:space="preserve"> Anesthésiologie</t>
  </si>
  <si>
    <t>Score ROMA</t>
  </si>
  <si>
    <t>CA125</t>
  </si>
  <si>
    <t>HEA</t>
  </si>
  <si>
    <t>Ionogramme sang</t>
  </si>
  <si>
    <t>RR</t>
  </si>
  <si>
    <t>Cancers Sein</t>
  </si>
  <si>
    <t>SPOK</t>
  </si>
  <si>
    <t>Incontinence urinaire</t>
  </si>
  <si>
    <t>Kendo</t>
  </si>
  <si>
    <t>Debit</t>
  </si>
  <si>
    <t>PSAcorrigé</t>
  </si>
  <si>
    <t>FRAX</t>
  </si>
  <si>
    <t>Hb1ac</t>
  </si>
  <si>
    <t>Hema</t>
  </si>
  <si>
    <t>ROMA</t>
  </si>
  <si>
    <t>AFP</t>
  </si>
  <si>
    <t>Hepat</t>
  </si>
  <si>
    <t>W</t>
  </si>
  <si>
    <t>Fibrinogéne</t>
  </si>
  <si>
    <t>Score Total</t>
  </si>
  <si>
    <t>A déjà Maladie</t>
  </si>
  <si>
    <t>A été dépisté ouVacciné</t>
  </si>
  <si>
    <t>Sensibilité cutanée UV(100% faible sensibilité)</t>
  </si>
  <si>
    <t>Score Pondéré</t>
  </si>
  <si>
    <t>Score Clinique</t>
  </si>
  <si>
    <t>Score Biologique</t>
  </si>
  <si>
    <t>Score Mixte</t>
  </si>
  <si>
    <t>BioNonFait</t>
  </si>
  <si>
    <t>Asthme</t>
  </si>
  <si>
    <t>Cancer du pancréas</t>
  </si>
  <si>
    <t>Creat</t>
  </si>
  <si>
    <t xml:space="preserve">Leucopénie </t>
  </si>
  <si>
    <t>Eosinophilie</t>
  </si>
  <si>
    <t>Monocytose</t>
  </si>
  <si>
    <t>Action calcul</t>
  </si>
  <si>
    <t>Paquets années</t>
  </si>
  <si>
    <t>Vitesse de marche &gt;0,8 m/s</t>
  </si>
  <si>
    <t>Dynamométrie  &gt;27 kg (H) / &gt;16 kg (F)</t>
  </si>
  <si>
    <t>Surface muscle Psoas en L3:  L500 mm²/taille-m² (H) &gt; 385 mm²/taille-m² (F)</t>
  </si>
  <si>
    <t>Déficit Muscle</t>
  </si>
  <si>
    <t>Appui Unipodal &gt; 10sec</t>
  </si>
  <si>
    <t>Résidu postmictionnel (échographie) ml &gt; 100ml (H), &lt; 5ml (F)</t>
  </si>
  <si>
    <t>Débitmétrie mictionnelle (ml/sec) moyen &gt; 10ml /sec</t>
  </si>
  <si>
    <t>F229</t>
  </si>
  <si>
    <t>F250</t>
  </si>
  <si>
    <t>F251</t>
  </si>
  <si>
    <t>F252</t>
  </si>
  <si>
    <t>F253</t>
  </si>
  <si>
    <t>Score Thrombose</t>
  </si>
  <si>
    <t>Plq Hb</t>
  </si>
  <si>
    <t>CRP Fibri</t>
  </si>
  <si>
    <t>% Risque à 5 ans</t>
  </si>
  <si>
    <t>UI/ml</t>
  </si>
  <si>
    <t>Score ROMA (Ovaire)</t>
  </si>
  <si>
    <t>ScorCVimc(à10 ans)</t>
  </si>
  <si>
    <t>Uro-génital</t>
  </si>
  <si>
    <t>Endocrino-Métabolisme</t>
  </si>
  <si>
    <t>Nerveux</t>
  </si>
  <si>
    <t>Leucopénie</t>
  </si>
  <si>
    <t>Respiratoire</t>
  </si>
  <si>
    <t>Systéme nerveux, sensoriel et mental</t>
  </si>
  <si>
    <t>Troubles neurodégénératifs</t>
  </si>
  <si>
    <t>Burnout</t>
  </si>
  <si>
    <t>Syndrome des Jambes sans repos</t>
  </si>
  <si>
    <t>Addictions</t>
  </si>
  <si>
    <t>Autoévaluation</t>
  </si>
  <si>
    <t>Qualité du sommeil</t>
  </si>
  <si>
    <t>Qualité de vie nerveuse et émotionnelle</t>
  </si>
  <si>
    <t>Tremblements des mains</t>
  </si>
  <si>
    <t xml:space="preserve">Sensation d’oublier des choses </t>
  </si>
  <si>
    <t>Traitement antidépresseur ou anxiolytique</t>
  </si>
  <si>
    <t>Consommation de Cannabis</t>
  </si>
  <si>
    <t>Consommation de Somniféres</t>
  </si>
  <si>
    <t>Douleurs dans les jambes la nuit</t>
  </si>
  <si>
    <t>ATCD familiaux de dépression</t>
  </si>
  <si>
    <t>Détail des analyses</t>
  </si>
  <si>
    <t>Pression artérielle systolique (mmHg) repos couché</t>
  </si>
  <si>
    <t>Pression artérielle diastolique (mmHg) repos couché</t>
  </si>
  <si>
    <t>Score cardiovasculaire type 2 (Cholesterol)</t>
  </si>
  <si>
    <t>Score CV IMC</t>
  </si>
  <si>
    <t>Ratio Cortisol/S-DHEA</t>
  </si>
  <si>
    <t>Test DMLA  grille de AMSLER</t>
  </si>
  <si>
    <t>Voies aeriennes et allergologie</t>
  </si>
  <si>
    <t>Essouflement</t>
  </si>
  <si>
    <t>Allergie respiratoire</t>
  </si>
  <si>
    <t>Tabagisme</t>
  </si>
  <si>
    <t>Exposition professionelle</t>
  </si>
  <si>
    <t>Pollution domestiques</t>
  </si>
  <si>
    <t>ATCD personnelasthme ou des allergies respiratoires (Pollinose…)?</t>
  </si>
  <si>
    <t>Atopie ou des allergies cutanées  (métaux, latex…)</t>
  </si>
  <si>
    <t>Allergie alimentaire Kiwi, Avocat, Chataigne, Sarrasin</t>
  </si>
  <si>
    <t>Test d'aptitude fréquence cardiaque à l'effort</t>
  </si>
  <si>
    <t>Spirométrie - rapport VEMS1/CVF (%)</t>
  </si>
  <si>
    <t>SpO2 effort (%)</t>
  </si>
  <si>
    <t>Diabete type </t>
  </si>
  <si>
    <t>Douleurs thoraciques</t>
  </si>
  <si>
    <t>Oedeme des cheville</t>
  </si>
  <si>
    <t>Périmétre de marche</t>
  </si>
  <si>
    <t>Apnée du sommeil (score %)</t>
  </si>
  <si>
    <t>Traitement pour dyslipidémie</t>
  </si>
  <si>
    <t>Traitement pour le diabéte</t>
  </si>
  <si>
    <t>Traitement anticoagulant ou antiagrégant</t>
  </si>
  <si>
    <t>Traitement pour les troubles du rythme cardiaque</t>
  </si>
  <si>
    <t>ATCD familial de maladie cardiovasculaire</t>
  </si>
  <si>
    <t>Varices des Membres inférieurs</t>
  </si>
  <si>
    <t>Contraception hormonale</t>
  </si>
  <si>
    <t>Ménopause</t>
  </si>
  <si>
    <t>Tour de Cou</t>
  </si>
  <si>
    <t>Score cardiovasculaire type 2</t>
  </si>
  <si>
    <t>Consommation de NaCl (g/jour)</t>
  </si>
  <si>
    <t>Frequence cardiaque d`entrainement 70% (Homme)/(Femme</t>
  </si>
  <si>
    <t>Fréquence cardiaque maximale à l`effort/ (Homme)/Femme</t>
  </si>
  <si>
    <t>Hypotension orthostatique (mmHg)</t>
  </si>
  <si>
    <t>Test d'aptitude tension artérielle à l'effort - delta TA  effort-TA repos (mmHg)</t>
  </si>
  <si>
    <t>pro-BNP</t>
  </si>
  <si>
    <t>Appareil digestif et hépato-biliaire</t>
  </si>
  <si>
    <t>Calculs Biliaires</t>
  </si>
  <si>
    <t>Ulcére gastroduaodénal</t>
  </si>
  <si>
    <t>Cancer de l'estomac</t>
  </si>
  <si>
    <t>Intolérance Gluten ou lactose</t>
  </si>
  <si>
    <t>Qualité de vie appareil digestif</t>
  </si>
  <si>
    <t>Diarrhées chroniques</t>
  </si>
  <si>
    <t>Constipation chronique</t>
  </si>
  <si>
    <t>Douleurs anales, hémoroides ou fissure anale</t>
  </si>
  <si>
    <t>Douleurs abdominales sus-mésocoliques</t>
  </si>
  <si>
    <t>Douleurs abdominales sous-mésocoliques</t>
  </si>
  <si>
    <t>Consommation d'alcool</t>
  </si>
  <si>
    <t>ATCD de calculs biliaires ou de cholecystectomie</t>
  </si>
  <si>
    <t>ATCD de Maladie inflammatoire chronique de l’intestin (maladie de Crohn, rectocolite hémorragique)</t>
  </si>
  <si>
    <t>ATCD d'hépatite virale</t>
  </si>
  <si>
    <t>ATCD familial cancer du colon</t>
  </si>
  <si>
    <t>ATCD dépistage cance du colon et rectum &lt; 2 ans</t>
  </si>
  <si>
    <t>ATCD imagerie abdominale &lt; 2 ans</t>
  </si>
  <si>
    <t>ALAT/ASAT (score)</t>
  </si>
  <si>
    <t>Sang dans les selles</t>
  </si>
  <si>
    <t>Appareil génito-urinaire</t>
  </si>
  <si>
    <t>Tumeur de la vessie</t>
  </si>
  <si>
    <t>Cancers sein</t>
  </si>
  <si>
    <t>Cancer endomètre</t>
  </si>
  <si>
    <t>Cancer ovaire</t>
  </si>
  <si>
    <t>Cancer du col utérin</t>
  </si>
  <si>
    <t>Infection sexuellement transmissibles</t>
  </si>
  <si>
    <t>Oédemes des Chevilles</t>
  </si>
  <si>
    <t>Qualité de vie urinaire</t>
  </si>
  <si>
    <t>Qualité de vie sexuelle</t>
  </si>
  <si>
    <t>Urgenturie</t>
  </si>
  <si>
    <t>Traitement pour les érections IPDE5</t>
  </si>
  <si>
    <t>Supplémentation hormonale pour la ménopause ou l'andropause</t>
  </si>
  <si>
    <t>Contraception à base d'hormones (pilule)</t>
  </si>
  <si>
    <t>Traitement par médicaments Dutasteride ou Finasteride (5ARI)</t>
  </si>
  <si>
    <t>Douleurs pelviennes ou des OGE</t>
  </si>
  <si>
    <t>Vaccination et dépistage HPV</t>
  </si>
  <si>
    <t>Dépistage IST</t>
  </si>
  <si>
    <t>Testostéronémie libre</t>
  </si>
  <si>
    <t>Testosteronémie biodisponible</t>
  </si>
  <si>
    <t>Testosteronémie totale</t>
  </si>
  <si>
    <t>Résidu postmictionnel (échographie) ml</t>
  </si>
  <si>
    <t>Débitmétrie mictionnelle (ml/sec)</t>
  </si>
  <si>
    <t>Diabete type 2</t>
  </si>
  <si>
    <t>Insuffisance thyroïdienne</t>
  </si>
  <si>
    <t>Stéatose et NASH</t>
  </si>
  <si>
    <t>Amaigrissement récent</t>
  </si>
  <si>
    <t>régime alimentaire Végane</t>
  </si>
  <si>
    <t>Consommationdu porc, du boeuf, du veau, du mouton ou de l’agneau</t>
  </si>
  <si>
    <t>Consommation aliments salés (exemple : charcuterie, chips, ….)</t>
  </si>
  <si>
    <t>Consommation des produits laitiers ?</t>
  </si>
  <si>
    <t>Consommation des aliments sucrés (exemple :  soda, bonbons, pâtisseries, glaces)</t>
  </si>
  <si>
    <t>Consommation des aliments gras (exemple :  hamburger fast-food, viennoiseries au beurre, beurre en tartine..)</t>
  </si>
  <si>
    <t>Sédentarité</t>
  </si>
  <si>
    <t>Consommation de fruits ou de légumes par jour</t>
  </si>
  <si>
    <t>Traitement pour la thyroide</t>
  </si>
  <si>
    <t>Acide urique sanguin</t>
  </si>
  <si>
    <t>Acide urique urinaire</t>
  </si>
  <si>
    <t>Endocrinologie Métabolisme Nutrition</t>
  </si>
  <si>
    <t>Système immuno-hématologique</t>
  </si>
  <si>
    <t>Thrombophlébites et Embolie pulmonaire</t>
  </si>
  <si>
    <t>Risque hémorragique</t>
  </si>
  <si>
    <t>ATCD de Cancer</t>
  </si>
  <si>
    <t>ATCD de phlébite ou embolie pulmonaire ou déficit protein S</t>
  </si>
  <si>
    <t>ATCD d'infection chronique</t>
  </si>
  <si>
    <t>Traitement immunodépresseur</t>
  </si>
  <si>
    <t>Exposition professionnelle</t>
  </si>
  <si>
    <t>Pollution Domestique</t>
  </si>
  <si>
    <t>Traitement antiagrégant ou anticoagulant</t>
  </si>
  <si>
    <t>Varices des membres inférieurs</t>
  </si>
  <si>
    <t>Saignements pronlogés  ou une maladie de la coagulation ou pour les femmes des régles très abondantes</t>
  </si>
  <si>
    <r>
      <t>Leucocytes (10</t>
    </r>
    <r>
      <rPr>
        <vertAlign val="superscript"/>
        <sz val="11"/>
        <color rgb="FF000000"/>
        <rFont val="Calibri"/>
        <family val="2"/>
        <scheme val="minor"/>
      </rPr>
      <t>9</t>
    </r>
    <r>
      <rPr>
        <sz val="11"/>
        <color rgb="FF000000"/>
        <rFont val="Calibri"/>
        <family val="2"/>
        <scheme val="minor"/>
      </rPr>
      <t>/l)</t>
    </r>
  </si>
  <si>
    <r>
      <t>Neutrophiles (10</t>
    </r>
    <r>
      <rPr>
        <vertAlign val="superscript"/>
        <sz val="11"/>
        <color rgb="FF000000"/>
        <rFont val="Calibri"/>
        <family val="2"/>
        <scheme val="minor"/>
      </rPr>
      <t>9</t>
    </r>
    <r>
      <rPr>
        <sz val="11"/>
        <color rgb="FF000000"/>
        <rFont val="Calibri"/>
        <family val="2"/>
        <scheme val="minor"/>
      </rPr>
      <t>/l)</t>
    </r>
  </si>
  <si>
    <r>
      <t>Éosinophiles (10</t>
    </r>
    <r>
      <rPr>
        <vertAlign val="superscript"/>
        <sz val="11"/>
        <color rgb="FF000000"/>
        <rFont val="Calibri"/>
        <family val="2"/>
        <scheme val="minor"/>
      </rPr>
      <t>9</t>
    </r>
    <r>
      <rPr>
        <sz val="11"/>
        <color rgb="FF000000"/>
        <rFont val="Calibri"/>
        <family val="2"/>
        <scheme val="minor"/>
      </rPr>
      <t>/l)</t>
    </r>
  </si>
  <si>
    <r>
      <t>Lymphocytes (10</t>
    </r>
    <r>
      <rPr>
        <vertAlign val="superscript"/>
        <sz val="11"/>
        <color rgb="FF000000"/>
        <rFont val="Calibri"/>
        <family val="2"/>
        <scheme val="minor"/>
      </rPr>
      <t>9</t>
    </r>
    <r>
      <rPr>
        <sz val="11"/>
        <color rgb="FF000000"/>
        <rFont val="Calibri"/>
        <family val="2"/>
        <scheme val="minor"/>
      </rPr>
      <t>/l)</t>
    </r>
  </si>
  <si>
    <r>
      <t>Plaquettes (10</t>
    </r>
    <r>
      <rPr>
        <vertAlign val="superscript"/>
        <sz val="11"/>
        <color rgb="FF000000"/>
        <rFont val="Calibri"/>
        <family val="2"/>
        <scheme val="minor"/>
      </rPr>
      <t>9</t>
    </r>
    <r>
      <rPr>
        <sz val="11"/>
        <color rgb="FF000000"/>
        <rFont val="Calibri"/>
        <family val="2"/>
        <scheme val="minor"/>
      </rPr>
      <t>/l)</t>
    </r>
  </si>
  <si>
    <r>
      <t>Basophiles  ( 10</t>
    </r>
    <r>
      <rPr>
        <vertAlign val="superscript"/>
        <sz val="11"/>
        <color rgb="FF222222"/>
        <rFont val="Calibri"/>
        <family val="2"/>
        <scheme val="minor"/>
      </rPr>
      <t>9</t>
    </r>
    <r>
      <rPr>
        <sz val="11"/>
        <color rgb="FF222222"/>
        <rFont val="Calibri"/>
        <family val="2"/>
        <scheme val="minor"/>
      </rPr>
      <t>/l))</t>
    </r>
  </si>
  <si>
    <r>
      <t>Monocytes ( 10</t>
    </r>
    <r>
      <rPr>
        <vertAlign val="superscript"/>
        <sz val="11"/>
        <color rgb="FF222222"/>
        <rFont val="Calibri"/>
        <family val="2"/>
        <scheme val="minor"/>
      </rPr>
      <t>9</t>
    </r>
    <r>
      <rPr>
        <sz val="11"/>
        <color rgb="FF222222"/>
        <rFont val="Calibri"/>
        <family val="2"/>
        <scheme val="minor"/>
      </rPr>
      <t>/l))</t>
    </r>
  </si>
  <si>
    <t>Ostéoporose</t>
  </si>
  <si>
    <t>Rhumatisme inflammatoire</t>
  </si>
  <si>
    <t>Qualité de vie Locomoteur</t>
  </si>
  <si>
    <t>Fatigue chronique</t>
  </si>
  <si>
    <t>Fiévre chronique</t>
  </si>
  <si>
    <t>Douleur articulaires</t>
  </si>
  <si>
    <t>Traitement pour le cholestérol</t>
  </si>
  <si>
    <t>Traitement par corticoïdes pendant plus de 3 mois</t>
  </si>
  <si>
    <t>Traitement immunosuppresseur</t>
  </si>
  <si>
    <t>Supplémentation hormonale (ménopause ou andropause)</t>
  </si>
  <si>
    <t>ATCD familial de fracture ostéoporotique</t>
  </si>
  <si>
    <t>ATCD familial de rhumatisme inflammatoire</t>
  </si>
  <si>
    <t>ATCD personnel de maladie inflammatoire digestive</t>
  </si>
  <si>
    <t>Régine Végane</t>
  </si>
  <si>
    <t>Supplémentation en Vitamine D</t>
  </si>
  <si>
    <t>CPK</t>
  </si>
  <si>
    <t>Créatininémie</t>
  </si>
  <si>
    <t>Co-enzyme Q10</t>
  </si>
  <si>
    <t>Score Sarcopénie (bilan urinaire)</t>
  </si>
  <si>
    <t>Test de la Chaise</t>
  </si>
  <si>
    <t>Test appui unipodal &gt; 10sec</t>
  </si>
  <si>
    <t>Cancer du sein</t>
  </si>
  <si>
    <t>Cancer de l'ovaire</t>
  </si>
  <si>
    <t>Cancer de l'endométre</t>
  </si>
  <si>
    <t>Cancer du col de l'utérus</t>
  </si>
  <si>
    <t>Cancer du colon et rectum</t>
  </si>
  <si>
    <t>Amaigrissement</t>
  </si>
  <si>
    <t>Consommation alcool</t>
  </si>
  <si>
    <t>Consommation fruits et légumes</t>
  </si>
  <si>
    <t>Pollution domestique</t>
  </si>
  <si>
    <t>Supplémentation hormonale pour la ménopause ou andropause</t>
  </si>
  <si>
    <t>ATCD personnel de cancer</t>
  </si>
  <si>
    <t>ATCD familial de cancer</t>
  </si>
  <si>
    <t>ATCD Hépatite</t>
  </si>
  <si>
    <t>ATCD d'ulcére gastro-duodénal</t>
  </si>
  <si>
    <t>ATCD de la madie inflammatoire digestive</t>
  </si>
  <si>
    <t>Toux chronique</t>
  </si>
  <si>
    <t>Diarrhée chroniques</t>
  </si>
  <si>
    <t>Exposition aux UV</t>
  </si>
  <si>
    <t>Vaccination ou dépistage HPV</t>
  </si>
  <si>
    <t>Dépistage du cancer du sein &lt; 2 ans</t>
  </si>
  <si>
    <t>Dépistage du cancer du colon &lt; 2 ans</t>
  </si>
  <si>
    <t>IRM prostatique &lt; 2 ans</t>
  </si>
  <si>
    <t>Scanner thoracique &lt;2 ans</t>
  </si>
  <si>
    <t>Imagerie abdominale &lt; 2 ans</t>
  </si>
  <si>
    <t>PSA total</t>
  </si>
  <si>
    <t>PSA densité</t>
  </si>
  <si>
    <t>FIB-4</t>
  </si>
  <si>
    <t>Hémoglobine</t>
  </si>
  <si>
    <t>Plaquettes</t>
  </si>
  <si>
    <t>Monocytes</t>
  </si>
  <si>
    <t>Ratio Neutro/Lymphocytes</t>
  </si>
  <si>
    <t>Autopalpation Mammaire</t>
  </si>
  <si>
    <t>Rubriques</t>
  </si>
  <si>
    <t>Paquets-années</t>
  </si>
  <si>
    <t>Locomoteur &amp; peau</t>
  </si>
  <si>
    <t>Appareil locomoteur et peau</t>
  </si>
  <si>
    <t>Melanome et Cancers cutanés</t>
  </si>
  <si>
    <t>Sensibilité cutanée UV</t>
  </si>
  <si>
    <t>Addiction aux jeux</t>
  </si>
  <si>
    <t>Bouffées de chaleur ou sueurs nocturnes</t>
  </si>
  <si>
    <t>Consultation Gynécolie ou Urologique &lt; 1 ans</t>
  </si>
  <si>
    <t>Consultation gynécologique ou urologique &lt; 1 ans</t>
  </si>
  <si>
    <t>masse  graisseuse (impédancemétrie) %</t>
  </si>
  <si>
    <t>Masse graisseuse( impédancemétrie) %</t>
  </si>
  <si>
    <t>Masse graisseuse impédancemétrie %</t>
  </si>
  <si>
    <t>PSA Total</t>
  </si>
  <si>
    <t>MammoRisk Predilife</t>
  </si>
  <si>
    <t>Score CV IMC (5 ans)</t>
  </si>
  <si>
    <t>Hb1Ac %</t>
  </si>
  <si>
    <t>Calcémie milliMol/l</t>
  </si>
  <si>
    <t>pro-BNP (peptides natriurétiques)</t>
  </si>
  <si>
    <t>Score inflammation</t>
  </si>
  <si>
    <t>Risque hémorragique Bio</t>
  </si>
  <si>
    <t>Score Neurodegeneratif</t>
  </si>
  <si>
    <t>Essouflement à l'effort</t>
  </si>
  <si>
    <t>Vaccination hépatite B</t>
  </si>
  <si>
    <t>Score FR CAD</t>
  </si>
  <si>
    <t>Score Symptom CAD</t>
  </si>
  <si>
    <t>Estimation de la maladie coronarienne en %</t>
  </si>
  <si>
    <t>CAD logit</t>
  </si>
  <si>
    <t>ExpLogit</t>
  </si>
  <si>
    <t>Seuil &gt;15% alerle</t>
  </si>
  <si>
    <t>tiroir</t>
  </si>
  <si>
    <t>Action Finale</t>
  </si>
  <si>
    <t>ACTION</t>
  </si>
  <si>
    <t>Objectif Poids Ideal à 12 mois</t>
  </si>
  <si>
    <t>Age&lt;50</t>
  </si>
  <si>
    <t>Le poids idéal à 12 mois est l'objectif à atteindre en adaptant la consommation journaliére de calories et l'activité physique</t>
  </si>
  <si>
    <t>Objectif tour de taille (cm)</t>
  </si>
  <si>
    <t>La mesure du tour de taille aide à dépister les risques possibles pour la santé liés au surpoids et à l’obésité. Ce risque augmente avec un tour de taille supérieur à 102 cm (40 pouces) pour les hommes et à 88 cm (35 pouces) pour les femmes.</t>
  </si>
  <si>
    <t>Electrophorèse des protéines</t>
  </si>
  <si>
    <t>ASAT, ALAT, GGT</t>
  </si>
  <si>
    <t xml:space="preserve">TP/TCK, </t>
  </si>
  <si>
    <t>Anévrysme de l'aorte abdominale</t>
  </si>
  <si>
    <t>Hyperuricémie</t>
  </si>
  <si>
    <t>Objectif tour de cou (cm)</t>
  </si>
  <si>
    <t>Le tour de cou chez l’homme est normal si &lt; 41 chez les hommes et &lt; 36 cm chez les femmes</t>
  </si>
  <si>
    <t>Stocklom 3 (Prostate)</t>
  </si>
  <si>
    <t>&lt;10</t>
  </si>
  <si>
    <t>Colodiag</t>
  </si>
  <si>
    <r>
      <t>Suivi :</t>
    </r>
    <r>
      <rPr>
        <sz val="11"/>
        <color theme="1"/>
        <rFont val="Aptos"/>
        <family val="2"/>
      </rPr>
      <t xml:space="preserve"> La maladie a été déclarée, un suivi spécifique est à discuter avec le médecin référent</t>
    </r>
  </si>
  <si>
    <r>
      <t>Alerte :</t>
    </r>
    <r>
      <rPr>
        <sz val="11"/>
        <color theme="1"/>
        <rFont val="Aptos"/>
        <family val="2"/>
      </rPr>
      <t xml:space="preserve"> Le risque d’avoir la maladie justifie des examens complémentaires biologiques ou d’imagerie et une consultation spécialisée.</t>
    </r>
  </si>
  <si>
    <r>
      <t>Vigilance :</t>
    </r>
    <r>
      <rPr>
        <sz val="11"/>
        <color theme="1"/>
        <rFont val="Aptos"/>
        <family val="2"/>
      </rPr>
      <t xml:space="preserve"> Des facteurs de risque ont été identifiés justifiant des actions de prévention pour réduire les risques ou proposer un parcours de diagnostic précoce personnalisé sur les risques en accord avec les recommandations des pratiques professionnelles spécialisées.</t>
    </r>
  </si>
  <si>
    <r>
      <t>Usuel :</t>
    </r>
    <r>
      <rPr>
        <sz val="11"/>
        <color theme="1"/>
        <rFont val="Aptos"/>
        <family val="2"/>
      </rPr>
      <t xml:space="preserve"> Il n’y a pas de facteur de risque identifiés, la surveillance proposée est celle recommandée par les autorités de santé publique en population générale.</t>
    </r>
  </si>
  <si>
    <t>Quelle est votre taille (en cm) ?</t>
  </si>
  <si>
    <t>Quel est votre poids (en kg) ?</t>
  </si>
  <si>
    <t>Veuillez préciser le type de cancer ou de tumeur, l’année du diagnostic et le traitement reçu.</t>
  </si>
  <si>
    <t>Veuillez préciser l’année du diagnostic et le traitement reçu.</t>
  </si>
  <si>
    <t>Si vous avez déjà eu un ou plusieurs autres cancers ou tumeurs non mentionnés ci-dessus, veuillez préciser le type, l’année du diagnostic et le traitement reçu.</t>
  </si>
  <si>
    <t>Si votre mère ou votre père a eu un ou plusieurs autres cancers ou tumeurs, ou l’un mentionnés ci-dessus à un âge différent, veuillez préciser la personne concernée et le(s) type(s).</t>
  </si>
  <si>
    <t>Si vos frères ou sœurs ont eu un ou plusieurs autres cancers ou tumeurs, veuillez préciser la personne concernée et le(s) type(s).</t>
  </si>
  <si>
    <t>Veuillez préciser la ou les personnes concernées et quelle(s) maladie(s).</t>
  </si>
  <si>
    <t xml:space="preserve">Veuillez préciser la ou les personnes concernées. </t>
  </si>
  <si>
    <t>Veuillez préciser la ou les personnes concernées et quelle(s) diabète(s).</t>
  </si>
  <si>
    <t>Si un membre de votre famille proche (mère, père, sœur, frère biologiques) a eu une ou plusieurs autres maladies, veuillez préciser la personne concernée et le type de maladie.</t>
  </si>
  <si>
    <t>Veuillez préciser lequel, l’année du diagnostic et le(s) traitement(s) reçu(s).</t>
  </si>
  <si>
    <t>Veuillez l’année du diagnostic et le(s) traitement(s) reçu(s).</t>
  </si>
  <si>
    <t>Si vous avez eu d’autres maladies que celles énoncées ici-haut, merci de préciser le nom de la maladie, l’année du diagnostic et le traitement reçu.</t>
  </si>
  <si>
    <t>Veuillez préciser le ou les types de chirurgie que vous avez subis, ainsi que l’année de réalisation.</t>
  </si>
  <si>
    <t>Veuillez préciser le nom du médicament, la dose (par exemple : 100 mg) et comment vous le prenez chaque jour (par exemple : 1 comprimé le matin).</t>
  </si>
  <si>
    <t>Si vous prenez d’autres médicaments que ceux mentionnés ci-dessus, veuillez préciser le nom du médicament, la dose (par exemple : 100 mg) et comment vous le prenez chaque jour (par exemple : 1 comprimé le matin).</t>
  </si>
  <si>
    <t>Veuillez préciser le ou les allergie(s).</t>
  </si>
  <si>
    <t>Veuillez préciser le ou les intolérance(s).</t>
  </si>
  <si>
    <t>Si vous avez des allergies à des médicaments ou d’autres allergies non mentionnées précédemment, veuillez préciser lesquelles.</t>
  </si>
  <si>
    <t>Veuillez préciser lesquels et l’intervalle recommandé pour le prochain dépistage (par exemple, tous les 3 ans, 5 ans).</t>
  </si>
  <si>
    <t>Veuillez préciser l’intervalle recommandé pour le prochain dépistage (par exemple, tous les 3 ans, 5 ans).</t>
  </si>
  <si>
    <t>Veuillez préciser. Était-ce intentionnel ? Suiviez-vous un régime particulier ?</t>
  </si>
  <si>
    <t>Veuillez préciser qui. Si vous avez des enfants, indiquez combien et quel(s) âge(s) ils ont.</t>
  </si>
  <si>
    <t xml:space="preserve">Veuillez préciser le ou lesquels. </t>
  </si>
  <si>
    <t>Veuillez préciser quoi et la quantité.</t>
  </si>
  <si>
    <t>Veuillez préciser quelle(s) activité(s) vous pratiquez et à quelle fréquence.</t>
  </si>
  <si>
    <t>Veuillez préciser laquelle ou lesquelles.</t>
  </si>
  <si>
    <t>Veuillez préciser dans quel(s) pays vous avez vécu.</t>
  </si>
  <si>
    <t>TOTUM</t>
  </si>
  <si>
    <t xml:space="preserve">Si vous avez eu d’autres maladies que celles énoncées ici-haut, merci de préciser le nom de la maladie. </t>
  </si>
  <si>
    <t>Souhaitez-vous aborder un ou plusieurs sujets en priorité, avec le professionnel de santé au cours de votre Bilan Prévention ?</t>
  </si>
  <si>
    <t>&lt;p&gt;&lt;strong&gt;L’hypertrophie bénigne de la prostate&lt;/strong&gt; est une condition de santé courante qui peut être associée à des troubles urinaires et impacter la qualité de vie. Les données épidémiologiques indiquent que son héritabilité est estimée à environ 80%. Les facteurs de risque documentés dans la littérature médicale incluent le surpoids et la dysfonction érectile.&lt;/p&gt;
&lt;p&gt;&lt;strong&gt;L\'hypertrophie prostatique dans sa forme évolutive&lt;/strong&gt; est associée dans la littérature à des infections urinaires, des calculs de vessie, une rétention urinaire ou une insuffisance rénale. &lt;strong&gt;Les protocoles de surveillance standard&lt;/strong&gt; mentionnent une évaluation annuelle des troubles mictionnels.&lt;/p&gt;
&lt;p&gt;&lt;strong&gt;Pour les profils à vigilance accrue&lt;/strong&gt;, les recommandations professionnelles évoquent l\'orientation vers une consultation spécialisée en urologie complémentaire pouvant inclure une échographie vésicale et rénale, la mesure du résidu post-mictionnel, et une débitmétrie mictionnelle.&lt;/p&gt;</t>
  </si>
  <si>
    <t>&lt;p&gt;Selon les données épidémiologiques, environ 15% de la population est affectée par &lt;strong&gt;l\'insuffisance rénale&lt;/strong&gt;. Les facteurs de risque documentés dans la littérature médicale incluent les facteurs génétiques comme les maladies rénales héréditaires, ainsi que des associations avec le syndrome métabolique et les pathologies cardiovasculaires.&lt;/p&gt;
&lt;p&gt;L\'insuffisance rénale est associée dans la littérature à une réduction de l\'espérance de vie et à des impacts sur la qualité de vie. &lt;strong&gt;Les protocoles de surveillance standard&lt;/strong&gt; mentionnent l\'évaluation de la fonction rénale par le débit de filtration glomérulaire (DFG).&lt;/p&gt;
&lt;p&gt;&lt;strong&gt;Pour les profils à vigilance accrue,&lt;/strong&gt; les recommandations professionnelles évoquent l\'orientation vers une consultation spécialisée en néphrologie pouvant inclure une échographie rénale.&lt;/p&gt;</t>
  </si>
  <si>
    <t>&lt;p&gt;Les facteurs de risque documentés dans la littérature médicale concernant &lt;strong&gt;les calculs urinaires&lt;/strong&gt; incluent certains composants du syndrome métabolique comme un indice de masse corporelle élevé et un déséquilibre glycémique, ainsi qu\'une alimentation riche en sel, en protéines et en vitamine D. Les facteurs héréditaires sont également documentés comme facteurs de risque selon le type de calculs présents.&lt;/p&gt;
&lt;p&gt;&lt;strong&gt;Les protocoles de surveillance standard&lt;/strong&gt; mentionnent un examen annuel avec une bandelette urinaire et une analyse du calcium et de l\'acide urique dans l\'urine.&lt;/p&gt;
&lt;p&gt;&lt;strong&gt;Pour les profils à vigilance accrue,&lt;/strong&gt; les recommandations professionnelles évoquent l\'orientation vers une consultation spécialisée en urologie pouvant inclure une échographie des reins et de la vessie, ainsi qu\'une évaluation nutritionnelle.&lt;/p&gt;</t>
  </si>
  <si>
    <t>&lt;p&gt;&lt;strong&gt;L\'ostéopénie&lt;/strong&gt; est une réduction de la masse osseuse associée à une prédisposition à l\'ostéoporose. Les données épidémiologiques indiquent que l\'ostéoporose présente des facteurs génétiques à hauteur de 70%. Les facteurs de risque documentés dans la littérature médicale incluent le tabagisme, l\'utilisation de corticostéroïdes, le déclin des stéroïdes sexuels, l\'insuffisance pondérale, la consommation excessive d\'alcool, ainsi que les carences en vitamine D et la consommation excessive de vitamine A.&lt;/p&gt;
&lt;p&gt;&lt;strong&gt;Les protocoles de surveillance standard&lt;/strong&gt; mentionnent une évaluation annuelle des niveaux de vitamine D et un bilan calcique urinaire.&lt;/p&gt;
&lt;p&gt;&lt;strong&gt;Pour les profils à vigilance accrue,&lt;/strong&gt; les recommandations professionnelles évoquent l\'orientation vers une consultation spécialisée en rhumatologie pouvant inclure une ostéodensitométrie pour mesurer précisément la densité minérale osseuse.&lt;/p&gt;</t>
  </si>
  <si>
    <t>&lt;p&gt;&lt;strong&gt;Les calculs biliaires&lt;/strong&gt; sont associés dans la littérature médicale à certaines pathologies telles que les dyslipidémies, la fibrose hépatique, la maladie de Crohn, et la drépanocytose. Les facteurs de risque documentés incluent l\'âge, la génétique, le syndrome métabolique, la perte de poids rapide, et une alimentation inadaptée.&lt;/p&gt;
&lt;p&gt;&lt;strong&gt;La pancréatite&lt;/strong&gt;, souvent associée aux calculs biliaires dans la littérature, peut également résulter d\'une forte consommation d\'alcool, du tabagisme et d\'une étiologie auto-immune. &lt;strong&gt;Les protocoles de surveillance standard&lt;/strong&gt; mentionnent une évaluation annuelle du bilan hépatique.&lt;/p&gt;
&lt;p&gt;&lt;strong&gt;Pour les profils à vigilance accrue,&lt;/strong&gt; les recommandations professionnelles évoquent l\'orientation vers une consultation spécialisée en gastro-entérologie pouvant inclure une échographie abdominale.&lt;/p&gt;</t>
  </si>
  <si>
    <t>&lt;p&gt;&lt;strong&gt;L\'hypothyroïdie&lt;/strong&gt;, essentielle au métabolisme énergétique, est souvent associée dans la littérature médicale à des réactions auto-immunes caractérisées par une production insuffisante d\'hormones par la glande thyroïde. Cette condition peut être associée à des complications cardiovasculaires parmi d\'autres complications.&lt;/p&gt;
&lt;p&gt;&lt;strong&gt;Les protocoles de surveillance standard&lt;/strong&gt; mentionnent un contrôle annuel de la TSH (hormone stimulant la thyroïde).&lt;/p&gt;
&lt;p&gt;&lt;strong&gt;Pour les profils à vigilance accrue,&lt;/strong&gt; les recommandations professionnelles évoquent l\'orientation vers une consultation spécialisée en endocrinologie pouvant inclure une échographie de la thyroïde, des dosages des hormones T3 et T4 libres, et la recherche d\'autoanticorps Anti-TG et Anti-TPO.&lt;/p&gt;</t>
  </si>
  <si>
    <t>&lt;p&gt;&lt;strong&gt;Les dyslipidémies&lt;/strong&gt; sont caractérisées par une élévation anormale des lipides dans le sang tels que le cholestérol (hypercholestérolémie) ou les triglycérides. Les facteurs de risque documentés dans la littérature médicale incluent principalement l\'origine génétique exacerbée par le surpoids, la consommation d\'alcool et/ou de sucres rapides. Ces déséquilibres lipidiques sont associés dans la littérature à une augmentation des risques cardiovasculaires.&lt;/p&gt;
&lt;p&gt;&lt;strong&gt;Les protocoles de surveillance standard&lt;/strong&gt; mentionnent une évaluation annuelle du bilan lipidique.&lt;/p&gt;
&lt;p&gt;&lt;strong&gt;Pour les profils à vigilance accrue,&lt;/strong&gt; les recommandations professionnelles évoquent l\'orientation vers une consultation spécialisée en endocrinologie et nutrition pouvant inclure une évaluation des complications cardiovasculaires potentielles.&lt;/p&gt;</t>
  </si>
  <si>
    <t>&lt;p&gt;&lt;strong&gt;Le diabète de type 2&lt;/strong&gt; représente 90% des cas de diabète sucré et se caractérise par une hyperglycémie chronique. Les facteurs de risque documentés dans la littérature médicale incluent l\'âge (généralement après 50 ans) et le surpoids. Cette condition est associée dans la littérature à des complications graves telles que des maladies cardiovasculaires, une perte de vision irréversible, des atteintes nerveuses et une insuffisance rénale.&lt;/p&gt;
&lt;p&gt;&lt;strong&gt;Les protocoles de surveillance standard&lt;/strong&gt; mentionnent une évaluation annuelle de la glycémie et de l\'hémoglobine glyquée.&lt;/p&gt;
&lt;p&gt;&lt;strong&gt;Pour les profils à vigilance accrue,&lt;/strong&gt; les recommandations professionnelles évoquent l\'orientation vers des consultations spécialisées en endocrinologie et nutrition pouvant inclure des examens cardiovasculaires, rénaux et du fond d\'oeil.&lt;/p&gt;</t>
  </si>
  <si>
    <t>&lt;p&gt;&lt;strong&gt;Le syndrome métabolique&lt;/strong&gt; est un ensemble de conditions incluant l\'hypertension artérielle, le diabète, les troubles lipidiques et le surpoids. Les données épidémiologiques indiquent des niveaux de risque évalués comme élevés si supérieurs à 20%, intermédiaires entre 10 et 20%, et faibles si inférieurs à 10%. Cette condition est associée dans la littérature à un facteur de risque majeur pour les maladies cardiovasculaires et neurovasculaires.&lt;/p&gt;
&lt;p&gt;&lt;strong&gt;Les protocoles de surveillance standard&lt;/strong&gt; mentionnent des évaluations annuelles de la tension artérielle, du poids, de la glycémie, de l\'hémoglobine glyquée et du bilan lipidique.&lt;/p&gt;
&lt;p&gt;&lt;strong&gt;Pour les profils à vigilance accrue,&lt;/strong&gt; les recommandations professionnelles évoquent l\'orientation vers des consultations spécialisées en endocrinologie et nutrition pouvant inclure des bilans cardiovasculaire, rénal, hépatique et du fond d\'oeil.&lt;/p&gt;</t>
  </si>
  <si>
    <t>&lt;p&gt;&lt;strong&gt;La phlébite&lt;/strong&gt;, ou thrombose veineuse, est une pathologie cardiovasculaire caractérisée par la formation d\'un caillot sanguin dans une veine. Les données épidémiologiques indiquent qu\'elle touche environ une personne sur 1000, avec une fréquence qui augmente avec l\'âge. Les facteurs de risque documentés dans la littérature médicale incluent la longue immobilisation (après une chirurgie ou une fracture), un cancer, ainsi qu\'une prédisposition héréditaire en présence d\'antécédents familiaux. Cette condition est associée dans la littérature à des complications comme l\'embolie pulmonaire et l\'insuffisance cardiaque aiguë.&lt;/p&gt;
&lt;p&gt;&lt;strong&gt;Les protocoles de surveillance standard&lt;/strong&gt; mentionnent une attention particulière à la prévention, notamment par l\'utilisation de bas de contention en cas de facteurs déclenchants (immobilisation, long voyage en avion, etc.).&lt;/p&gt;
&lt;p&gt;&lt;strong&gt;Pour les profils à vigilance accrue,&lt;/strong&gt; les recommandations professionnelles évoquent l\'orientation vers une consultation spécialisée en angiologie pouvant inclure un dosage des protéines C et S.&lt;/p&gt;</t>
  </si>
  <si>
    <t>&lt;p&gt;&lt;strong&gt;Les anévrismes de l\'aorte abdominale&lt;/strong&gt; (dilatation de l\'aorte) et &lt;strong&gt;l\'artériopathie des membres inférieurs&lt;/strong&gt; (obstruction des artères) sont associés dans la littérature à l\'athérosclérose, une inflammation causée par le dépôt de lipides dans la paroi des artères. Les facteurs de risque documentés dans la littérature médicale incluent les composantes du syndrome métabolique, l\'âge (habituellement après 60 ans), une prédisposition héréditaire pour l\'anévrisme de l\'aorte, et le tabagisme qui aggrave considérablement ces pathologies.&lt;/p&gt;
&lt;p&gt;&lt;strong&gt;Les protocoles de surveillance standard&lt;/strong&gt; mentionnent une évaluation annuelle de la tension artérielle et un examen abdominal.&lt;/p&gt;
&lt;p&gt;&lt;strong&gt;Pour les profils à vigilance accrue,&lt;/strong&gt; les recommandations professionnelles évoquent l\'orientation vers une consultation spécialisée en cardiologie pouvant inclure une échographie et un doppler des axes artériels carotidiens et aorto-iliaques.&lt;/p&gt;</t>
  </si>
  <si>
    <t>&lt;p&gt;&lt;strong&gt;Les accidents vasculaires cérébraux (AVC)&lt;/strong&gt; se manifestent par l\'apparition soudaine d\'un déficit neurologique. Les données épidémiologiques indiquent qu\'ils touchent principalement les personnes de plus de 65 ans dans 75% des cas. Les facteurs de risque documentés dans la littérature médicale incluent le vieillissement des vaisseaux sanguins, les prédispositions héréditaires, l\'athérosclérose (environ la moitié des cas), les troubles du rythme cardiaque notamment la fibrillation auriculaire (un tiers des cas), les composantes du syndrome métabolique (hypertension artérielle, obésité, diabète, dyslipidémies), le tabagisme, la consommation d\'alcool, l\'apnée du sommeil et les troubles de l\'érection.&lt;/p&gt;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échographie et un doppler des axes artériels carotidiens ainsi qu\'un ECG.&lt;/p&gt;</t>
  </si>
  <si>
    <t>&lt;p&gt;&lt;strong&gt;La cardiopathie ischémique&lt;/strong&gt; est une maladie caractérisée par un défaut d\'oxygénation du coeur en raison d\'une mauvaise vascularisation par les artères coronaires. Les facteurs de risque documentés dans la littérature médicale incluent le tabagisme, les dyslipidémies, le diabète, l\'apnée du sommeil, les troubles de l\'érection, les composantes du syndrome métabolique, ainsi qu\'une prédisposition héréditaire. Cette pathologie peut être associée à des complications aiguës comme l\'infarctus du myocarde ou évoluer chroniquement vers l\'insuffisance cardiaque.&lt;/p&gt;
&lt;p&gt;&lt;strong&gt;Les protocoles de surveillance standard&lt;/strong&gt; mentionnent une évaluation annuelle de la tension artérielle et un électrocardiogramme (ECG).&lt;/p&gt;
&lt;p&gt;&lt;strong&gt;Pour les profils à vigilance accrue,&lt;/strong&gt; les recommandations professionnelles évoquent l\'orientation vers une consultation spécialisée en cardiologie pouvant inclure une épreuve d\'effort, un score calcique coronaire, une échographie et un doppler des axes artériels carotidiens et aorto-iliaques.&lt;/p&gt;</t>
  </si>
  <si>
    <t>&lt;p&gt;&lt;strong&gt;Le mélanome&lt;/strong&gt; est un cancer de la peau qui peut ressembler à un grain de beauté (naevus). Les naevus suspects de transformation en mélanome présentent souvent une asymétrie, des bords irréguliers en « carte de géographie », plusieurs couleurs (brun clair, brun foncé, rosé), et un diamètre supérieur à 6 mm. Les facteurs de risque documentés dans la littérature médicale incluent une peau claire, des antécédents familiaux, et une exposition répétée au soleil, en particulier avec des antécédents de coups de soleil.&lt;/p&gt;
&lt;p&gt;&lt;strong&gt;Les protocoles de surveillance standard&lt;/strong&gt; mentionnent un examen clinique.&lt;/p&gt;
&lt;p&gt;&lt;strong&gt;Pour les profils à vigilance accrue,&lt;/strong&gt; les recommandations professionnelles évoquent l\'orientation vers une consultation spécialisée en dermatologie.&lt;/p&gt;</t>
  </si>
  <si>
    <t>&lt;p&gt;&lt;strong&gt;Les cancers du sein&lt;/strong&gt; représentent environ 30% des cancers diagnostiqués chez les femmes, mais peuvent également toucher les hommes, notamment en cas de prédisposition héréditaire. Les données épidémiologiques indiquent une héritabilité estimée à environ 60%. Les facteurs de risque documentés dans la littérature médicale incluent le surpoids et le tabagisme, associés à une augmentation de la mortalité.&lt;/p&gt;
&lt;p&gt;&lt;strong&gt;Les protocoles de surveillance standard&lt;/strong&gt; mentionnent une mammographie annuelle à partir de 50 ans (ou dès 40 ans en cas de risque familial élevé) pour le cancer du sein.&lt;/p&gt;
&lt;p&gt;&lt;strong&gt;Pour les profils à vigilance accrue,&lt;/strong&gt; les recommandations professionnelles évoquent l\'orientation vers une consultation spécialisée en gynécologie pouvant inclure une IRM mammaire, et une consultation d\'oncogénétique.&lt;/p&gt;',</t>
  </si>
  <si>
    <t>&lt;p&gt;&lt;strong&gt;Les cancers de l\'ovaire&lt;/strong&gt; surviennent généralement autour de 65 ans, ou plus tôt en cas de prédisposition familiale. Les facteurs de risque documentés dans la littérature médicale incluent l\'absence de grossesse, l\'obésité, et l\'exposition à certaines thérapies hormonales.&lt;/p&gt;
&lt;p&gt;&lt;strong&gt;Les protocoles de surveillance standard&lt;/strong&gt; mentionnent une échographie pelvienne RECURRENCE? AGE?.&lt;/p&gt;
&lt;p&gt;&lt;strong&gt;Pour les profils à vigilance accrue,&lt;/strong&gt; les recommandations professionnelles évoquent l\'orientation vers une consultation spécialisée en gynécologie pouvant inclure une IRM ou scanner pelvien et une consultation d\'oncogénétique.&lt;/p&gt;',</t>
  </si>
  <si>
    <t xml:space="preserve">&lt;p&gt;&lt;strong&gt;Les cancers de la prostate&lt;/strong&gt; constituent environ 25% des diagnostics de cancer chez les hommes. Les données épidémiologiques indiquent une héritabilité estimée à environ 60%. Les facteurs de risque documentés dans la littérature médicale incluent le surpoids et le tabagisme, associés à une augmentation de la mortalité.&lt;/p&gt;
&lt;p&gt;Les protocoles de surveillance standard mentionnent un dosage annuel du PSA entre 50 et 75 ans. En présence de facteurs de risque génétiques, tels qu\'une histoire familiale ou des origines africaines ou antillaises, le dépistage peut débuter dès 45 ans.&lt;/p&gt;
&lt;p&gt;&lt;strong&gt;Pour les profils à vigilance accrue,&lt;/strong&gt; les recommandations professionnelles évoquent l\'orientation vers une consultation spécialisée en urologie pouvant inclure une IRM de la prostate.&lt;/p&gt;',
</t>
  </si>
  <si>
    <t>&lt;p&gt;&lt;strong&gt;Les cancers des voies aérodigestives supérieures (ORL)&lt;/strong&gt; — bouche, pharynx, larynx, également appelés gorge et sinus — sont associés dans la littérature médicale à la consommation de tabac et d\'alcool, et dans certains cas, à une infection à certains types de papillomavirus humains (HPV). Les facteurs de risque documentés incluent également une exposition professionnelle.&lt;/p&gt;
&lt;p&gt;&lt;strong&gt;Les protocoles de surveillance standard&lt;/strong&gt; mentionnent un examen clinique.&lt;/p&gt;
&lt;p&gt;&lt;strong&gt;Pour les profils à vigilance accrue,&lt;/strong&gt; les recommandations professionnelles évoquent l\'orientation vers une consultation spécialisée en ORL.&lt;/p&gt;</t>
  </si>
  <si>
    <t>&lt;p&gt;&lt;strong&gt;Le cancer du poumon&lt;/strong&gt;, ou cancer bronchopulmonaire, est associé dans la littérature médicale principalement à l\'exposition au tabac, le tabagisme étant documenté comme responsable d\'environ 80% des cas.&lt;/p&gt;
&lt;p&gt;&lt;strong&gt;Les protocoles de surveillance standard&lt;/strong&gt; mentionnent, pour les personnes à vigilance accrue âgées de 50 à 75 ans, un scanner thoracique à faible dose.&lt;/p&gt;
&lt;p&gt;&lt;strong&gt;Pour les profils à vigilance accrue,&lt;/strong&gt; les recommandations professionnelles évoquent l\'orientation vers une consultation spécialisée en pneumologie pouvant inclure un scanner thoracique à faible dose.&lt;/p&gt;</t>
  </si>
  <si>
    <t>&lt;p&gt;&lt;strong&gt;Les cancers du côlon&lt;/strong&gt; constituent environ 15% des cancers diagnostiqués et près de 54% des cas de cancer de l’intestin pourraient être évités. Les données épidémiologiques indiquent une héritabilité d\'environ 30%. Les facteurs de risque documentés dans la littérature médicale incluent la consommation de viande grillée, une faible ingestion de fibres, le surpoids, et la consommation d\'alcool.&lt;/p&gt;
&lt;p&gt;&lt;strong&gt;Les protocoles de surveillance standard&lt;/strong&gt; mentionnent la recherche annuelle de sang dans les selles.&lt;/p&gt;
&lt;p&gt;&lt;strong&gt;Pour les profils à vigilance accrue,&lt;/strong&gt; les recommandations professionnelles évoquent l\'orientation vers une consultation spécialisée en gastro-entérologie pouvant inclure une coloscopie ou une imagerie du côlon.&lt;/p&gt;</t>
  </si>
  <si>
    <t>L'asthme est une maladie inflammatoire chronique obstructive des voies respiratoires qui affecte aussi les voies aériennes de plus grand calibre. Les facteurs de risque documentés dans la littérature médicale incluent une prédisposition génétique et une composante allergique, ainsi que le tabagisme qui aggrave la pathologie,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</si>
  <si>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La BPCO est une maladie inflammatoire chronique obstructive des voies respiratoires qui touche principalement les petites voies aériennes. Les facteurs de risque documentés dans la littérature médicale incluent une prédisposition génétique et le tabagisme (impliqué dans environ 80% des BPCO), ainsi que certaines expositions professionnelles et la pollution atmosphérique. Les protocoles de surveillance standard mentionnent une évaluation par spirométrie. Pour les profils à vigilance accrue, les recommandations professionnelles évoquent l'orientation vers une consultation spécialisée en pneumologie pouvant inclure une spirométrie et un scanner thoracique.</t>
  </si>
  <si>
    <t>Thrombose vasculaire</t>
  </si>
  <si>
    <t>Artériopathie des membres inférieurs</t>
  </si>
  <si>
    <t>Cardiovasculaires et circulatoires</t>
  </si>
  <si>
    <t>Digestives et hépatiques</t>
  </si>
  <si>
    <t>Cancer du côlon et du rectum</t>
  </si>
  <si>
    <t>Stéatose hépatique et NASH (stéato-hépatite non alcoolique)</t>
  </si>
  <si>
    <t>Ulcère gastroduodénal</t>
  </si>
  <si>
    <t>Reflux gastro-œsophagien (RGO)</t>
  </si>
  <si>
    <t>Intolérances alimentaires (gluten et lactose)</t>
  </si>
  <si>
    <t>Diabète</t>
  </si>
  <si>
    <t>Dysfonction thyroïdienne</t>
  </si>
  <si>
    <t>Hématologie</t>
  </si>
  <si>
    <t>Accident vasculaire cérébral (AVC)</t>
  </si>
  <si>
    <t>Burn-out</t>
  </si>
  <si>
    <t>BPCO (Bronchopneumopathie chronique obstructive)</t>
  </si>
  <si>
    <t>Pollinose saisonnière (rhume des foins)</t>
  </si>
  <si>
    <t>Cancers du sein</t>
  </si>
  <si>
    <t>Tumeur des voies excrétrices urinaires</t>
  </si>
  <si>
    <t xml:space="preserve">Lithiase (calculs) urinaire </t>
  </si>
  <si>
    <t>Dysfonction érectile</t>
  </si>
  <si>
    <t>SOPK (Syndrome des ovaires polykystiques)</t>
  </si>
  <si>
    <t>Commentaires résultats</t>
  </si>
  <si>
    <t>H/F</t>
  </si>
  <si>
    <t>Déficit androgénique lié à l'âge</t>
  </si>
  <si>
    <t>Déficit œstrogénique lié à l'âge</t>
  </si>
  <si>
    <t>Catégorie</t>
  </si>
  <si>
    <t>Bilan martial</t>
  </si>
  <si>
    <t>Examen cytobactériologique des urines (ECBU)</t>
  </si>
  <si>
    <t>Bilan endocrinien</t>
  </si>
  <si>
    <t>Bilan métabolique - Morphologie</t>
  </si>
  <si>
    <t>Bilan métabolique - Glucidique &amp; Lipidique</t>
  </si>
  <si>
    <t>Bilan métabolique - Nutrition</t>
  </si>
  <si>
    <t xml:space="preserve">Bilan rénal </t>
  </si>
  <si>
    <t>Bilan respiratoire</t>
  </si>
  <si>
    <t>Bilan locomoteur</t>
  </si>
  <si>
    <t>Bilan sensoriel</t>
  </si>
  <si>
    <t>Bilan cardiovasculaire</t>
  </si>
  <si>
    <t>NbATCD Familiaux cancer</t>
  </si>
  <si>
    <t>Cancer Risque Familial</t>
  </si>
  <si>
    <t>Systèmes</t>
  </si>
  <si>
    <t>Bilan endocrinien (Homme)</t>
  </si>
  <si>
    <t>calcul intermédiares ne pas modifier</t>
  </si>
  <si>
    <t>Bilan endocrinien (Femme)</t>
  </si>
  <si>
    <t>Bilan Pharmacologique</t>
  </si>
  <si>
    <t>Bilan infectiologie</t>
  </si>
  <si>
    <t>Dépistage Cancer</t>
  </si>
  <si>
    <r>
      <t>L’artériopathie oblitérante des membres inférieurs est une manifestation de l’athérosclérose affectant les artères des membres inférieurs. Elle touche environ 5 % des adultes de plus 45 ans et 20 % des plus de 65 ans. Elle est aussi prévalente chez les hommes que chez les femmes, mais souvent sous-diagnostiquée chez ces dernières. Elle est associée au risque cardiovasculaire et est particulièrement aggravée par le diabète et le tabagisme. Elle se suspecte par la réduction du périmètre de marche (claudication intermittente : douleur à la marche, soulagée par le repos en quelque minutes). Le diagnostic confirmé par la mesure de l’index de pression systolique (stétho–doppler ; la valeur normale est comprise entre 0,9 et 1,4) et par l’imagerie qui cartographie les rétrécissements artériels (échodoppler artériel, angio-IRM ou angioscanner). Les éléments du syndrome métabolique seront recherchés systématiquement et le bilan complété par la recherche de facteurs aggravants. Sur le plan biologique les tests suivants pourront être proposés pour couvrir le risque métabolique : [NFS (plaquettes) ; Glycémie et Hb1c, Cholestérol et fractions, Triglycérides, Bilan hépatique (ASAT ; ALAT ; GGT, Score FIB-4), Créatininémie et DFG, Microalbuminurie]. En cas de facteur risque avérer, une consultation de cardiologie avec échodoppler cardiaque, de l’aorte abdominal, des artères carotides.</t>
    </r>
    <r>
      <rPr>
        <b/>
        <sz val="11"/>
        <color rgb="FFFF0000"/>
        <rFont val="Calibri"/>
        <family val="2"/>
        <scheme val="minor"/>
      </rPr>
      <t xml:space="preserve"> </t>
    </r>
    <r>
      <rPr>
        <sz val="11"/>
        <color rgb="FFFF0000"/>
        <rFont val="Calibri"/>
        <family val="2"/>
        <scheme val="minor"/>
      </rPr>
      <t xml:space="preserve">La prévention repose sur le dépistage des sujets à risque (surcharge pondérale, HTA, dyslipidémie, antécédents familiaux), l’éviction des facteurs de risque </t>
    </r>
    <r>
      <rPr>
        <b/>
        <sz val="11"/>
        <color rgb="FF196B24"/>
        <rFont val="Calibri"/>
        <family val="2"/>
        <scheme val="minor"/>
      </rPr>
      <t xml:space="preserve">modifiables </t>
    </r>
    <r>
      <rPr>
        <sz val="11"/>
        <color rgb="FFFF0000"/>
        <rFont val="Calibri"/>
        <family val="2"/>
        <scheme val="minor"/>
      </rPr>
      <t>et la rééducation à la marche. La prévention médicamenteuse en particulier par statines et antiagrégants plaquettaires sera prise en concertation avec un cardiologue.</t>
    </r>
  </si>
  <si>
    <r>
      <t>L'hypertension artérielle (HTA) est une condition chronique, multifactorielle, caractérisée par une élévation persistante de la pression artérielle. Elle constitue un problème majeur de santé publique en raison de sa forte prévalence (6% avant 35 ans et plus de 60% après 65 ans) et de ses complications cardiovasculaires (Infarctus du myocarde, insuffisance cardiaque), rénales (insuffisance) et cérébrales (AVC, démences vasculaires). Elle est souvent asymptomatique (plus de la moitié des cas), entrainant une altération progressive des organes cibles, d’où l’intérêt de la dépister systématiquement avant 60 ans, les hommes sont plus touchés que les femmes (ratio H/F=1,4), mais après la ménopause, la prévalence s'équilibre. L’HTA est favorisée par la sédentarité et la surcharge pondérale, une consommation excessive en sel (NaCl), l’exposition à l’alcool et au tabac. Elle est souvent associée aux autres désordres métaboliques (dyslipidémie, diabète de type 2) et est avec eux un des éléments du syndrome métabolique. Il existe une part de prédisposition génétique (héritabilité d’environ 40%) pour l’HTA et les personnes d’origine africaine, présentent un risque plus élevé d’HTA. L’évolution chronique avec des épisodes paroxystiques doit faire éliminer une tumeur endocrinienne. La prévention de l’HTA, repose sur la réduction de la consommation de sel (&lt;5 g/jour selon l’OMS), la lutte contre la surcharge pondérale (alimentation équilibrée et la pratique régulière d'une activité physique d’au moins 30 minutes par jour),</t>
    </r>
    <r>
      <rPr>
        <b/>
        <sz val="11"/>
        <color rgb="FF196B24"/>
        <rFont val="Calibri"/>
        <family val="2"/>
        <scheme val="minor"/>
      </rPr>
      <t xml:space="preserve"> la</t>
    </r>
    <r>
      <rPr>
        <sz val="11"/>
        <color rgb="FF196B24"/>
        <rFont val="Calibri"/>
        <family val="2"/>
        <scheme val="minor"/>
      </rPr>
      <t xml:space="preserve"> </t>
    </r>
    <r>
      <rPr>
        <sz val="11"/>
        <color rgb="FFFF0000"/>
        <rFont val="Calibri"/>
        <family val="2"/>
        <scheme val="minor"/>
      </rPr>
      <t xml:space="preserve">réduction de la consommation d'alcool et </t>
    </r>
    <r>
      <rPr>
        <b/>
        <sz val="11"/>
        <color rgb="FF196B24"/>
        <rFont val="Calibri"/>
        <family val="2"/>
        <scheme val="minor"/>
      </rPr>
      <t>l’a</t>
    </r>
    <r>
      <rPr>
        <sz val="11"/>
        <color rgb="FFFF0000"/>
        <rFont val="Calibri"/>
        <family val="2"/>
        <scheme val="minor"/>
      </rPr>
      <t xml:space="preserve">rrêt du tabac, </t>
    </r>
    <r>
      <rPr>
        <b/>
        <sz val="11"/>
        <color rgb="FF196B24"/>
        <rFont val="Calibri"/>
        <family val="2"/>
        <scheme val="minor"/>
      </rPr>
      <t xml:space="preserve">la </t>
    </r>
    <r>
      <rPr>
        <sz val="11"/>
        <color rgb="FFFF0000"/>
        <rFont val="Calibri"/>
        <family val="2"/>
        <scheme val="minor"/>
      </rPr>
      <t>gestion du stress (techniques de relaxation, méditation, etc.). Une fois diagnostiquée elle requière un traitement médicamenteux antihypertenseurs afin de protéger les organes cibles (Inhibiteurs de l’enzyme de conversion (IEC), Antagonistes des récepteurs de l'angiotensine II  (ARA II), bêtabloquants, diurétiques, inhibiteurs calciques) adapté au profil du patient et la présence éventuelle d'autres comorbidités. Chez les patients hypertendus la surveillance des organes cibles justifie des examens réguliers et des consultations spécialisées (cardiologie avec échographie cardiaque, néphrologie avec une échographie/doppler rénale, ophtalmologie avec angiographie rétinienne).</t>
    </r>
  </si>
  <si>
    <r>
      <t xml:space="preserve">L'arythmie cardiaque regroupe plusieurs troubles du rythme, </t>
    </r>
    <r>
      <rPr>
        <b/>
        <strike/>
        <sz val="11"/>
        <color rgb="FF196B24"/>
        <rFont val="Calibri"/>
        <family val="2"/>
        <scheme val="minor"/>
      </rPr>
      <t>dont</t>
    </r>
    <r>
      <rPr>
        <sz val="11"/>
        <color rgb="FFFF0000"/>
        <rFont val="Calibri"/>
        <family val="2"/>
        <scheme val="minor"/>
      </rPr>
      <t xml:space="preserve"> la fibrillation auriculaire (FA) est la plus fréquente. La FA affecte 1 à 2 % de la population générale. Sa fréquence augmente avec l’âge , elle est estimée de 5 à 10 % chez les plus de 65 ans. Elle est plus fréquente chez les hommes que chez les femmes (ratio H/F=1,5). Elle augmente le risque (x5) d’accident vasculaire cérébral (AVC) et d’insuffisance cardiaque. Les facteurs favorisants sont l’Hypertension artérielle (facteur principal), les valvulopathies cardiaques, l’hyperthyroïdie, l’obésité et le diabète, le syndrome d'apnée du sommeil, l’insuffisance rénale et l’anémie. Les facteurs aggravants sont la consommation d’alcool et de tabac et le stress chronique. Elle est souvent asymptomatique, parfois suspectée sur des signes d’alerte (palpitations, dyspnée, fatigue, vertiges). Son diagnostic repose sur l’analyse de l’électrocardiogramme (ECG) éventuellement avec un Holter-ECG pour détecter les FA paroxystiques ou à l’effort. Le bilan biologique recherchera des facteurs favorisants : [NFS, TSH, Ionogramme, calcémie et Magnésémie et éventuellement BNP]. La prise en charge est cardiologique. En cas de FA avérée, l’indication de l’anticoagulation associée ou antiarythmiques, peut s’aider du Score CHA</t>
    </r>
    <r>
      <rPr>
        <vertAlign val="subscript"/>
        <sz val="11"/>
        <color rgb="FFFF0000"/>
        <rFont val="Calibri"/>
        <family val="2"/>
        <scheme val="minor"/>
      </rPr>
      <t>2</t>
    </r>
    <r>
      <rPr>
        <sz val="11"/>
        <color rgb="FFFF0000"/>
        <rFont val="Calibri"/>
        <family val="2"/>
        <scheme val="minor"/>
      </rPr>
      <t>DS</t>
    </r>
    <r>
      <rPr>
        <vertAlign val="subscript"/>
        <sz val="11"/>
        <color rgb="FFFF0000"/>
        <rFont val="Calibri"/>
        <family val="2"/>
        <scheme val="minor"/>
      </rPr>
      <t>2</t>
    </r>
    <r>
      <rPr>
        <sz val="11"/>
        <color rgb="FFFF0000"/>
        <rFont val="Calibri"/>
        <family val="2"/>
        <scheme val="minor"/>
      </rPr>
      <t>-VASc.</t>
    </r>
  </si>
  <si>
    <r>
      <t xml:space="preserve">En 2020, il y a eu en France 6500 nouveaux cas de cancer de l’estomac. Son type histologique le plus fréquent est l’adénocarcinome gastrique. Son Incidence est plus élevée en Asie de l'Est, Europe de l'Est et Amérique Latine. Les facteurs de risque sont partagés avec ceux de l’ulcère gastro-duodénal (l’infection à H. pylori multiplie le risque par 6 à 8) et des gastrites atrophiques (auto-immunes et déficit en Vitamine B12). L’alimentation riche en sel et en nitrates (charcuterie, aliments fumés), le </t>
    </r>
    <r>
      <rPr>
        <b/>
        <sz val="11"/>
        <color rgb="FF196B24"/>
        <rFont val="Calibri"/>
        <family val="2"/>
        <scheme val="minor"/>
      </rPr>
      <t>tabac</t>
    </r>
    <r>
      <rPr>
        <sz val="11"/>
        <color theme="1"/>
        <rFont val="Calibri"/>
        <family val="2"/>
        <scheme val="minor"/>
      </rPr>
      <t xml:space="preserve"> et </t>
    </r>
    <r>
      <rPr>
        <b/>
        <sz val="11"/>
        <color rgb="FF196B24"/>
        <rFont val="Calibri"/>
        <family val="2"/>
        <scheme val="minor"/>
      </rPr>
      <t xml:space="preserve">l’alcool </t>
    </r>
    <r>
      <rPr>
        <sz val="11"/>
        <color theme="1"/>
        <rFont val="Calibri"/>
        <family val="2"/>
        <scheme val="minor"/>
      </rPr>
      <t>sont aussi des facteurs de risque. Il existe des syndromes de prédisposition familiale rares (mutation CDH1, syndrome de Lynch). Les signes d’alerte sont les douleurs abdominales chroniques de la région épigastrique. Le diagnostic repose sur l’endoscopie digestive haute avec biopsie (recherche H. pylori et lésions précancéreuses) en consultation de gastroentérologie. Les Marqueurs tumoraux (CA 19-9, CEA) sont peu spécifiques et non recommandés pour le diagnostic précoce. Le dépistage par endoscopie digestive s’applique aux sujets à risque (antécédents familiaux, antécédent d’ulcère gastro-duodénal ou gastrite atrophique, déficit en vitamine B12), les régions à haut risque (Asie) dès 40 ans.  La prévention repose sur la prévention de l’ulcère gastro-duodénale et des gastrites atrophiques (réduction du sel, de l’alcool, des antiinflammatoires non stéroidiens en automédication, l’arrêt du tabac, la supplémentation en vitamine B12 en cas de carence) et l’éradication des infections gastriques à H. pylori.</t>
    </r>
  </si>
  <si>
    <t>Le Cancer du foie (Carcinome hépatocellulaire - CHC) est associé à une cirrhose dans 80-90% des cas. Il touche davantage les hommes (ratio H/F = 2). Les facteurs de risque sont l’alcoolisme chronique, les hépatites virales chroniques B et C, la stéatose hépatique non alcoolique (NASH) liée à l’obésité. Plus rarement, les maladies auto-immunes du foie (hépatite auto-immune, CBP (cholangite biliaire primitive) , CSP ( cholangite sclérosante primitive)), l’hémochromatose génétique (surcharge en fer) ou l’exposition alimentaire aux Aflatoxines (mycotoxine produite par certains champignons) en zones endémiques (notamment en Afrique et Asie). Le diagnostic du CHC repose en première intention sur l’échographie hépatique et le dosage de l’alpha-foetoprotéine (AFP&gt;20 ng/mL : sensibilité d’environ 50% ; Spécificité d’environ 85%). Les signes d’alerte sont ceux de la cirrhose :  fatigue, amaigrissement et perturbation du bilan hépatique. La prévention repose sur le sevrage de consommation d’alcool, la mitigation du risque métabolique, la vaccination contre l’hépatite B (efficacité &gt;95%) et dans les régions contaminées la réduction de l’exposition aux aflatoxines (mesures agro-alimentaires).</t>
  </si>
  <si>
    <r>
      <t>La stéatose hépatique et la NASH (Non-Alcoholic SteatoHepatitis) font partie du spectre de la maladie du foie gras non alcoolique (</t>
    </r>
    <r>
      <rPr>
        <i/>
        <sz val="11"/>
        <color rgb="FFD86DCB"/>
        <rFont val="Calibri"/>
        <family val="2"/>
        <scheme val="minor"/>
      </rPr>
      <t>Non-Alcoholic Fatty Liver Disease</t>
    </r>
    <r>
      <rPr>
        <sz val="11"/>
        <color rgb="FFD86DCB"/>
        <rFont val="Calibri"/>
        <family val="2"/>
        <scheme val="minor"/>
      </rPr>
      <t xml:space="preserve">, NAFLD), une des maladies hépatiques les plus fréquentes dans le monde (25-30 % de la population mondiale et jusqu'à 40 % aux États-Unis). Elles sont associées au risque métabolique et peuvent évoluer vers une cirrhose dans 5 à 10% des NASH. Certains facteurs génétiques (Mutations du gène PNPLA3) et la dysbiose </t>
    </r>
    <r>
      <rPr>
        <sz val="11"/>
        <color rgb="FF196B24"/>
        <rFont val="Calibri"/>
        <family val="2"/>
        <scheme val="minor"/>
      </rPr>
      <t xml:space="preserve">( </t>
    </r>
    <r>
      <rPr>
        <b/>
        <sz val="11"/>
        <color rgb="FF196B24"/>
        <rFont val="Calibri"/>
        <family val="2"/>
        <scheme val="minor"/>
      </rPr>
      <t>déséquilibre de la</t>
    </r>
    <r>
      <rPr>
        <sz val="11"/>
        <color rgb="FF196B24"/>
        <rFont val="Calibri"/>
        <family val="2"/>
        <scheme val="minor"/>
      </rPr>
      <t xml:space="preserve"> </t>
    </r>
    <r>
      <rPr>
        <b/>
        <sz val="11"/>
        <color rgb="FF196B24"/>
        <rFont val="Calibri"/>
        <family val="2"/>
        <scheme val="minor"/>
      </rPr>
      <t>biodiversité de la flore intestinale</t>
    </r>
    <r>
      <rPr>
        <sz val="11"/>
        <color rgb="FF196B24"/>
        <rFont val="Calibri"/>
        <family val="2"/>
        <scheme val="minor"/>
      </rPr>
      <t xml:space="preserve">) </t>
    </r>
    <r>
      <rPr>
        <sz val="11"/>
        <color rgb="FFFF00FF"/>
        <rFont val="Calibri"/>
        <family val="2"/>
        <scheme val="minor"/>
      </rPr>
      <t>du</t>
    </r>
    <r>
      <rPr>
        <sz val="11"/>
        <color rgb="FF000000"/>
        <rFont val="Calibri"/>
        <family val="2"/>
        <scheme val="minor"/>
      </rPr>
      <t xml:space="preserve"> </t>
    </r>
    <r>
      <rPr>
        <sz val="11"/>
        <color rgb="FFD86DCB"/>
        <rFont val="Calibri"/>
        <family val="2"/>
        <scheme val="minor"/>
      </rPr>
      <t>microbiote intestinal ont été associées à un risque accru de NASH et de fibrose. Sur le plan biologique, elles se caractérisent par une perturbation du bilan hépatique (élévation ASAT, ALAT, GGT). Un Rapport ASAT/ALAT &lt; 1 et un Score FIB-4 élevé sont dans la NAFLD (une valeur supérieure à 2,67 du FIB-4 a une valeur prédictive positive de 65%) et conduisent à réaliser une imagerie hépatique avec élastométrie). En Imagerie l’Échographie hépatique détecte une hyperéchogénicité du foie (stéatose) et le Fibroscan (élastométrie hépatique) évalue la fibrose et quantifie la stéatose (CAP score).</t>
    </r>
  </si>
  <si>
    <t>La cirrhose hépatique est une maladie chronique et progressive caractérisée par une fibrose diffuse du foie, entraînant une altération de sa structure et de sa fonction. Elle touche environ 1 % de la population adulte. Son incidence est associée au risque métabolique, à l'alcoolisme et aux hépatites virales. (Forte prévalence en Asie et en Afrique due aux hépatite B et C), en Occident, les causes métaboliques (Syndrome métabolique et stéatohépatite non alcoolique (NASH)) et alcooliques : Consommation excessive d'alcool (&gt;30 g/j chez la femme, &gt;40 g/j chez l'homme) sont prépondérantes. Certaines causes sont plus rares (Hépatite auto-immune, Hémochromatose, Déficit en alpha-1 antitrypsine, mucoviscidose, causes toxiques). Sur le plan biologique elle s’associe à une perturbation du bilan hépatique (élévation ASAT, ALAT, GGT) et une L’échographie hépatique avec Fibroscan (élastométrie) évalue le degré de fibrose hépatique et recherche un carcinome hépatocellulaire associé.</t>
  </si>
  <si>
    <t>L’ulcère gastro-duodénal est une perte de substance de la muqueuse gastrique (20%) ou duodénale (80%), atteignant au moins la musculeuse. Il touche environ 0,1 à 0,3% de la population générale, Plus fréquent chez l’homme que chez la femme. L’incidence diminue grâce à l’éradication de Helicobacter pylori et l’utilisation raisonnée des anti inflammatoires non stéroïdiens (AINS). En effet les Principaux facteurs de risque sont les Infection par Helicobacter pylori ( 70-90 % des ulcères duodénaux et 50-70 % des ulcères gastriques). Les autres causes sont la consommation d’AINS et d’aspirine ( 20-30 % des ulcères) ou de corticoides. Les facteurs aggravants sont le tabagisme, l’alcool, le stress et les antécédents familiaux. Il existe des formes rares d’hyperacidité gastrique (syndrome de Zollinger-Ellison, hypergastrinémie). L’ulcère gastro-duodénal se suspecte classiquement sur les douleurs épigastriques chroniques (soulagée par l’alimentation pour l’ulcère duodénal et aggravé par l’alimentation pour l’ulcère gastrique). Parfois à la suite de signes biologiques de saignement chroniques (anémie ferriprive sur la NFS). Le diagnostic repose sur l’endoscopie digestive haute, la recherche de H. pylori (test respiratoire, sérologie, antigènes fécaux ou analyse sur biopsie ).</t>
  </si>
  <si>
    <t>Le Reflux gastro-œsophagien touche environ 30 % des adultes (remontées acide appelées Pyrosis au moins une fois par mois). Physiologiquement il peut résulter d’hernie hiatale ou d’une hypotonie du sphincter œsophagien inférieur. L’évolution à long terme peut se faire vers un endobrachyœsophage (lésions précancéreuses ou œsophage de Barrett) et un cancer de l'œsophage. Les principaux facteurs favorisant le RGO sont les facteurs alimentaires (aliments gras, café, chocolat, alcool, boissons gazeuses) , l’obésité, la sédentarité, le tabac, le stress, les repas tardifs juste avant le couché. Certains médicaments (inhibiteurs calciques, benzodiazépines, AINS, corticoïdes) le favorisent. Pour le diagnostic positif, l’’anamnèse peut s’appuyer sur le score de Savary et al. La prévention repose sur des mesures hygiéno-diététiques en rapport avec les facteurs de risque et un suivi en consultation spécialisé en gastroentérologie (Endoscopie digestive haute, pH-métrie, manométrie œsophagienne) en cas de symptomatologie évocatrice.</t>
  </si>
  <si>
    <t>La colopathie fonctionnelle, ou syndrome de l’intestin irritable, est un trouble fonctionnel digestif fréquent caractérisé par des douleurs abdominales et des troubles du transit (diarrhées ou constipation ou mixte) sans lésion organique identifiables. Elle touche 10-15 % de la population générale, Plus fréquemment les femmes (ratio 2:1) avec un pic entre 20 et 40 ans. Souvent associé au stress chronique, anxiété, troubles du sommeil Le bilan vise à éliminer une autre cause, sur le plan biologique il recherchera des anomalies de [ CRP, NFS, recherche de sang dans les selles]. Et selon le contexte, sera proposé une coloscopie si l’âge est ≥50 ans ou si des rectorragies, un amaigrissement ou une anémie sont retrouvés. Un Test respiratoire au lactose sera prescrit en cas de suspicion d’intolérance au lactose. La prévention repose sur la gestion du stress et de l’anxiété (thérapies cognitivo-comportementales, relaxation), une alimentation équilibrée (réduction des aliments riches en hydrates de carbone source de fermentation intestinale et regroupés sous l’acronyme FODMAPs, une bonne hydratation et apport suffisant en fibres), une activité physique régulière, l’éviction des facteurs déclenchants (caféine, aliments irritants) et éventuellement des Probiotiques pour moduler le microbiote intestinal. La prise en charge se fera en consultation de gastro-enterologie.</t>
  </si>
  <si>
    <t>L’intolérance au gluten et au lactose sont deux affections courantes, mais distinctes. L’intolérance au Gluten (Maladie Cœliaque et Sensibilité au Gluten Non Cœliaque) touche environ 1 % de la population avec une forte variabilité ethno-géographique. Elle peut apparaitre à tout âge et affecte plus fréquemment les femmes. L’intolérance au Lactose touche environ 5 à 10 % de la population avec également une forte variabilité selon les populations. Sa fréquence augmente avec l’âge, car la production de lactase diminue physiologiquement. Les facteurs de risque sont génétiques, association au génotypes HLA-DQ2 et HLA-DQ8 pour l’intolérance au Gluten ; mutations du gène LCT (codant la lactase) pour l’intolérance au lactose. Certains facteurs biologiques ont été corrélés à ces intolérances comme l’introduction précoce du gluten, l’altération du microbiote intestinal par des infections gastro-intestinales ou des maladies inflammatoires de l’intestin, les maladies auto-immunes (diabète de type 1, thyroïdite d’Hashimoto). Les signes d’alerte sont des diarrhées chroniques, ballonnements, douleurs abdominales, après l’ingestion des aliments contenant du Gluten ou du lactose, carences nutritionnelles (fer et vitamine B12). Le diagnostic repose, pour l’intolérance au Gluten sur le dosage des anticorps anti-transglutaminase IgA, la biopsie intestinale (atrophie villositaire), le test génétique HLA-DQ2/DQ8 (utile pour exclure la maladie cœliaque). Pour l’intolérance au lactose le diagnostic repose sur le test respiratoire à l’hydrogène après ingestion de lactose, le test de tolérance au lactose (mesure de la glycémie après ingestion) et le test génétique (mutation du gène LCT) utile pour déterminer l’intolérance primaire. La prévention repose sur la recherche d’antécédents familiaux et de maladies auto-immunes et l’éviction stricte du gluten en cas de maladie cœliaque. Le régime alimentaire sera adapté en cas d’intolérance au lactose (produits sans lactose, enzymes lactase). L’alimentation doit comporter une supplémentation en calcium et en vitamine D en cas d’intolérance au lactose</t>
  </si>
  <si>
    <t>Une hyperuricémie chronique est retrouvée chez environ 10 à 20 % des adultes en Europe ; plus souvent chez les hommes et surtout après 50 ans. Elle est définie par une augmentation du taux sanguin d’acide urique &gt; 70 mg/l (ou &gt; 420 µmol/l) chez l’homme et &gt; 60 mg/l (ou &gt; 360 µmol/l) chez la femme.
Hormis certaines causes aigues rares (hémopathies et lyse tumorale), les causes physiopathologiques sont : (i) soit un excès de production d'acide urique dû à un régime trop riche en purines (abats, charcuteries, viande rouge, fruits de mer, alcool, surtout bière), un psoriasis étendu, des exercices physiques très intenses, un jeûne prolongé ; (ii) soit un défaut d’élimination (insuffisance rénale chronique, médicaments : diurétiques (thiazidiques, furosémide), aspirine à faible dose, ciclosporine, alcool. L’hyperuricémie est aussi corrélée aux facteurs du risque métabolique (HTA, dyslipidémie, diabète, obésité et stéatose hépatique). De plus, il existe une prédisposition génétique aux hyperuricémies (anomalie des transporteurs rénaux d'urate : urat1, glut9
Les conséquences sont avant tout articulaires (goutte) et rénales (lithiase urique, néphropathie uratique chronique). C’est aussi un facteur de risque cardiovasculaire.
L’hyperuricémie, justifie de rechercher les autres facteurs dysmétaboliques (Glycémie, Hb1Ac, Cholestérol total et fractions, mesure de la tension artérielle et des potentielles conséquences (échographie rénale)
La prévention est celle du risque métabolique, et plus spécifiquement sur le plan alimentaire une réduction des aliments riches en purines, une réduction (ou arrêt) de l’alcool, en particulier la bière, une hydratation abondante (≥ 2 l/jour)
La prévention des complications peut reposer sur le traitement médical (allopurino, fébuxostat,) au long cours pour abaisser l’uricémie &lt; 60 mg/l associé à la colchicine jusqu’à 6 mois pour éviter les crises de goutte. L’hyperuricémie isolé n’est pas une indication de chimio prévention.</t>
  </si>
  <si>
    <t>L'anémie est définie par une baisse du taux d'hémoglobine en dessous des valeurs normales :
•	&lt; 13 g/dL chez l'homme
•	&lt; 12 g/dL chez la femme
En dehors des causes aigues et des conséquences d’une pathologie chronique connue (cancer, cirrhose hépatique, maladie inflammatoire digestive, ou insuffisance rénale), elle touche essentiellement les femmes en âge de procréer (environ 30-40 %) et les personnes âgées (prévalence jusqu'à 20-30 %). Elle peut être associée à une hypothyroïdie. Certaines causes plus rares, sont spécifiques de certaines populations et en rapport avec des anomalies génétiques (hémoglobinopathies, déficits en G6PD, sphérocytose). Certaines anémies peuvent aussi être auto-immune ou conséquence d’une intoxication comme celle au plomb (saturnisme).
 L’étiologie sera orientée par les indices globulaires
o	Microcytaire (VGM &lt; 80 fl) → carence martiale, thalassémie
o	Normocytaire (VGM 80-100 fl) → anémie inflammatoire, hémorragie récente
o	Macrocytaire (VGM &gt; 100 fl) → carence en vitamine B12 ou folates, alcoolisme
En première intention La recherche d’une carence (Ferritine, Fer, CST, Folates et Vitamine B12), d’un syndrome inflammatoire (CRP, électrophorèse des protéines) et la fonction thyroïdienne (TSH) orienteront le diagnostic. Un suivi hématologique en cas de persistance est nécessaire.</t>
  </si>
  <si>
    <t>La polyglobulie est définie par une augmentation anormale du nombre de globules rouges, caractérisée par une élévation de l'hématocrite (&gt; 52 % chez l'homme, &gt; 48 % chez la femme) et/ou de l'hémoglobine (&gt; 16,5 g/dL chez la femme, &gt; 18,5 g/dL chez l’homme).
Elle peut être primaire ou secondaire (réactionnelle à une hypoxie, une production inappropriée d'érythropoïétine ou une prise de dopants ou de testostérone).
La polyglobulie secondaire est plus fréquente et touche les patients atteints de maladies respiratoires chroniques, les fumeurs et les habitants des hautes altitudes (&gt;2500m). La polyglobulie primaire (Polycythémie vraie, Maladie de Vaquez, Mutation JAK2) est rare, avec une incidence de 1 à 2,5 cas pour 100 000 habitants par an, plus fréquente chez les hommes après 50 ans. Dans les polycéthémies vraies le taux d’érythropoïétine est bas ou normal, il sera plus élevé dans les polyglobulies secondaires. Les polyglobulies exposent à un risque thromboembolique. Un suivi hématologique en cas de persistance est nécessaire.</t>
  </si>
  <si>
    <t>La thrombocytose (hyperplaquettose) de l’adulte est définie par une élévation du nombre de plaquettes sanguines au-delà de 450 000/mm³. Elle peut être primaire (due à un syndrome myéloprolifératif, Mutation JAK2) ou secondaire (réactionnelle à une autre condition médicale).
La thrombocytose secondaire est la plus fréquente et peut survenir dans diverses situations inflammatoires aigues (infectieuses, hémorragiques ou post-chirurgicales) ou chronique (cancers, infections : tuberculose, endocardite..). Elle peut être associé à une anémie ferriprive. L’anamnèse recherche un antécédent de splénectomie, d’événements thrombo-emboliques (pouvant justifier un traitement par antiagrégants plaquettaires) et une cause médicamenteuse (corticoïdes, érythropoïétine). La thrombocytose primaire est plus rare et inclut des pathologies comme la thrombocytémie essentielle (prévalence : 1 à 2,5 cas pour 100 000 habitants par an).
Le bilan de première intention recherche un syndrome inflammatoire (CRP et fibrinogène), et déficit en fer (Ferritine). Il sera suivi d’une surveillance hématologique en cas de persistance.</t>
  </si>
  <si>
    <t>La thrombopénie de l’adulte est définie par une diminution du nombre de plaquettes sanguines en dessous de 150 000/mm³. Le reste de la formule sanguine exclura une pancytopénie.
Elle est fréquente en pratique clinique et peut être transitoire ou chronique. Son incidence varie en fonction des causes sous-jacentes : les infections virales, les maladies auto-immunes et les syndromes hématologiques. En dehors des causes aigues et contextuelles (chimiothérapie, héparinothérapie, aplasie médullaire, cirrhoses hépatiques, lupus et syndrome des anti phospholipides, …. ) elle peut révéler un syndrome myélodysplasique, une infection virale VIH, hépatites, CMV, EBV), un déficit en vitamine B12/folates (végétarisme, alcoolisme). Elle peut être induite par des médicaments ou des auto-prescriptions comme les AINS. Une surveillance hématologique est nécessaire en cas de persistance.</t>
  </si>
  <si>
    <t>La leucopénie est définie par une diminution du nombre total de leucocytes (&lt; 4000/mm³) dans le sang. 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</si>
  <si>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La leucocytose est une anomalie biologique fréquente, définie par une élévation du nombre de globules blancs (leucocytes) au-delà de 10 000/mm³ de sang (&gt;10 G/L). Elle peut être transitoire ou chronique et est généralement associée à des infections, des inflammations, ou rarement des maladies hématologiques (leucémies). En dehors des causes pathologiques évidentes, elle peut être observée en cas de pratique sportive intense, du tabagisme, de corticothérapie et de l’obésité.
Le bilan d’orientation recherchera, outre le reste de la formule sanguine avec l’analyse des sous-types de leucocytes), un syndrome inflammatoire (CRP, Ferritine) et sera suivi d’une surveillance hématologique en cas de persistance.</t>
  </si>
  <si>
    <t>La lymphopénie, un sous-type de leucopénie, correspond à une baisse du nombre de lymphocytes (&lt; 1000/mm³ chez l’adulte). Le reste de la formule sanguine exclura une pancytopénie.
En dehors de contextes évidents (chimiothérapie ou immunosuppresseurs), ces deux anomalies sont fréquentes dans les infections virales (VIH, hépatites, grippe, COVID-19), chez les patients atteints de maladies auto-immunes (Lupus érythémateux systémique, polyarthrite rhumatoïde, syndrome de Sjögren), 
Une Lymphopénie est souvent (30%) observées chez les patients atteints de maladies inflammatoires chroniques et se retrouve chez 10-15 % des personnes âgées. Elle se retrouve aussi en cas de carence en Vitamine B12/Folates et lors de certains troubles endocriniens (hypercorticisme de Cushing, dysfonction thyroïdiennes)  ou des traitements (antithyroïdiens, corticoïdes). Elle peut être associé à un syndrome dépressif ou un stress associé à une hypercortisolisme fonctionnelle.</t>
  </si>
  <si>
    <t>L’hyperéosinophilie est définie par un nombre des polynucléaires éosinophiles est supérieur a 0,5 G/L (500/μL) a plusieurs numérations successives. Les causes des éosinophilies sont nombreuses, mais deux prédominent : les allergies (asthme, rhinite allergique, eczéma constitutionnel, urticaire, allergies médicamenteuses) avec des éosinophilies généralement modérée &lt;1,5 G/L et les parasitoses essentiellement dues aux helminthes (oxyurose, téniasis, larva migrans, ascaridiose, distomatose, anguillulose, bilharziose, filariose ou une ankylostomiase…). Les parasitoses à protozoaires (paludisme, amibiase) ne sont pas associées à des éosinophilies. Selon le degré d’invasion tissulaire du parasite l’éosinophilie peut alors être trés importante de 15 à 30 G/L. L’hyperéosinophilie paranéoplasique est rare. Elle s’observe dans les cancers du foie, du sein ou des bronches mais aussi dans la leucémie myéloïde chronique ou dans la maladie de Hodgkin.
Le syndrome d’hyperéosinophilie est un diagnostic d’élimination, si une hyperéosinophilie &gt; 1 500/μL persiste plus de 6 mois sans cause identifiable, en l’absence des causes allergiques, parasitaires, de tumeur maligne ou de syndrome myéloprolifératif. Il touche l’homme jeune, et comporte des atteintes viscérales dues à l’infiltration éosinophilique tissulaire (infiltrats pulmonaires, endocardite fibroplastique, etc.)</t>
  </si>
  <si>
    <t>HyperÉosinophilie</t>
  </si>
  <si>
    <t>La sarcopénie est une perte progressive et généralisée de la masse musculaire, de la force musculaire, associée au vieillissement (perte de 0,5 à 1% par an après l’âge de 50 ans) et à certaines pathologies. Elle augmente le risque de chutes, de fractures en s’associant à l’ostéoporose, de dépendance et de mortalité. C’est une composante du syndrome de fragilité lié à l’âge.
Les principaux facteurs de risque incluent outre l’âge, (prévalence accrue après 60-70 ans), des facteurs nutritionnels (apport protéique insuffisant, carence en vitamine D), une perte de poids rapide (&gt; 5 % en 6-12 mois), un déficit hormonal (testostérone ou œstrogènes). D’autres facteurs sont liés au mode de vie (sédentarité), Tabagisme et alcool ou à des conditions pathologiques (dénutrition et malabsorption dans les maladies chroniques et cancers, ou entrainant une immobilisation prolongée). La prise au long cours de certains médicaments (corticoïdes, statines) sont aussi des facteurs favorisants.
L’anamnèse peut être complétée par le Questionnaire SARC-F et l’évaluation de la force de préhension (dynamométrie) ou le test de vitesse de marche. Le diagnostic est confirmé par mesure de la masse musculaire en DEXA. (Voir Chapitre…….).
La prévention de la sarcopénie repose sur la supplémentation en vitamine D, un apport adéquat en calories et en protéines, et le renforcement musculaire.</t>
  </si>
  <si>
    <t xml:space="preserve">L'arthrose est la maladie articulaire la plus fréquente, caractérisée par une dégénérescence du cartilage articulaire et des modifications de l'os sous-chondral. Elle est  plus fréquente chez la femme à partir de la ménopause. Elle affecte la qualité de vie d’environ 10 % des hommes et 18 % des femmes &gt; 65 ans. Les articulations les plus touchées sont le genou (gonarthrose), la hanche (coxarthrose) et les mains.
Au niveau des mains l’arthrose érosive est très handicapante, touchant environ 3% de la population générale à différencier d’un rhumatisme inflammatoire, en particulier au rhumatisme psoriasique. Les douleurs articulaires conséquence de l’arthrose sont de type mécaniques (aggravées par l’effort, soulagées au repos). Ainsi, c’est la première cause de douleur articulaire et consommation d’antalgiques chez les personnes âgées et est un facteur majeur de perte d’autonomie. Les progrès considérables de la chirurgie orthopédique prothétique ont modifié ce pronostic de perte d’autonomie.
Outre l’âge, des troubles squelettiques malformatifs ou post-traumatiques, il existe une prédisposition familiale et des facteurs de risque potentiellement modifiables actionnables (obésité, sédentarité et faible masse musculaire (sarcopénie), troubles métaboliques (diabète, hypercholestérolémie). </t>
  </si>
  <si>
    <t>Les rhumatismes inflammatoires regroupent plusieurs pathologies chroniques, auto-immunes ou métaboliques, touchant les articulations et les tissus périarticulaires. Les plus fréquents (entre 0,1 et 5%) incluent la polyarthrite rhumatoïde, les spondylarthrites, le lupus érythémateux systémique, l’arthrite psoriasique, la goutte, le rhumatisme à pyrophosphate de calcium (ex Chondrocalcinose articulaire).
L’incidence de ces maladies augmente avec l’âge, et certaines touchent davantage les femmes (polyarthrite rhumatoïde, lupus), tandis que d’autres comme la spondylarthrite ou la goutte affectent plus les hommes. Ces pathologies ont une susceptibilité génétique (HLA spécifiques : HLA-DR4, HLA-B27) et sont favorisés par le tabagisme (facteur majeur pour la polyarthrite rhumatoïde et les spondylarthrites) ou comme la goutte sont associées à une hyperuricémie et au risque métabolique (régime alimentaire riche en purines, alcool). Ils se manifestent par des douleurs articulaires inflammatoires (douleurs nocturnes, raideur matinale &gt; 30 min), associés à des signes locaux comme un œdème et une rougeur articulaire et éventuellement des atteintes extra-articulaires (fatigue, fièvre, manifestations cutanées ou organiques). Sur le plan biologique ils se caractérisent par le syndrome inflammatoire (CRP) et des marqueurs comme le facteur rhumatoïde et anti-CCP (anti-peptide citrulliné cyclique) pour la polyarthrite rhumatoïde, l’antigène HLA-B27 pour les spondylarthrites. Les Anti corps anti-nucléaires (AAN) et anti-ADN natif pour le lupus ou l’hyperuricémie pour la goutte.</t>
  </si>
  <si>
    <t>La dépression concerne environ 6% des adultes. Elle est deux fois plus fréquente chez les femmes que chez les hommes et augmente avec l’âge. Les facteurs de risque sont les antécédents familiaux de dépression (et troubles bipolaires), les facteurs de stress psychologiques (antécédents de traumatismes : abus sexuels dans l’enfance, violences, stress chronique), la consommation d’alcool ou de drogues, les maladies chroniques. Les signes d’alerte sont l’humeur triste persistante, l’anhédonie (perte d’intérêt), les insomnies, la fatigue chronique, une perte ou une prise de poids, voire des pensées suicidaires. Plusieurs questionnaires de dépistage de la dépression ont été proposés : Questionnaire PHQ-9, Échelle de Hamilton (HDRS) et Échelle de Beck (BDI) pour une évaluation plus approfondie.
 La dépression peut être à la fois un facteur de risque, un signe précurseur (précédent de plusieurs années les troubles cognitifs) pour les maladies neurodégénératives (démences, maladie de Parkinson). La prévention repose sur la promotion de la santé mentale, la lutte contre le stress chronique (méditation, activité physique, thérapie cognitive), le soutien social et familial pour prévenir l’isolement et la prise en charge spécialisée en psychiatrie.</t>
  </si>
  <si>
    <t>L’apnée du sommeil ou syndrome d’apnées-hypopnées obstructives du sommeil est une pathologie fréquente (elle affecterait près de 50 % des plus de 65 ans) caractérisée par des pauses respiratoires répétées pendant le sommeil. Elle touche Environ 30 à 40 % des adultes dans sa forme légère et 10 à 20 % dans sa forme modérée à sévère. Elle est 2 fois plus fréquente chez les hommes que chez les femmes avant la ménopause. Elle est associée au risque métabolique, en particulier l’obésité. Ses conséquences sont un risque accru de maladies cardiovasculaires (accident vasculaire cérébral, infarctus du myocarde), un impact sur la vigilance et le risque d’accidents de la route ou du travail. La recherche des facteurs de risque s’appuie sur les antécédents familiaux et les facteurs de risque métabolique, et plus spécifiquement sur la mesure du tour de cou (&gt; 43 cm chez l’homme, &gt; 38 cm chez la femme), la consommation d’alcool et de sédatifs vespéraux, le tabagisme. Certains facteurs anatomiques sont favorisants (rétrognathie, hypertrophie amygdalienne). Les signes d’alerte sont les ronflements sonores et pauses respiratoires observées par l’entourage, la somnolence diurne excessive (score d’Epworth &gt; 10), la fatigue chronique, les céphalées matinales, les troubles de la concentration, l’irritabilité, les troubles de l’humeur. Ils peuvent être formalisé par des questionnaires validés comme le Score *STOP-BANG . Le diagnostic repose sur la Polysomnographie qui mesure des apnées/hypopnées et la saturation en oxygène. Le bilan biologique recherchera les facteurs de risque métabolique associés : [NFS ; Glycémie et Hb1c, Cholestérol et fractions, Triglycérides, Bilan hépatique (ASAT ; ALAT ;GGT, Score FIB-4), Créatininémie et DFG, Microalbuminurie]. En cas de facteur risque avérés, une consultation de cardiologie avec échodoppler cardiaque complétera le bilan. La prévention repose sur le dépistage des sujets à risque (surcharge pondérale, HTA, dyslipidémie, antécédents familiaux) et l’éviction des facteurs de risque modifiables. Le traitement repose sur un appareillage nocturne.</t>
  </si>
  <si>
    <t>Le burnout ou syndrome d’épuisement professionnel est un trouble lié au stress chronique au travail. Il est reconnu par l’OMS comme un phénomène professionnel mais non comme une maladie. Il touche 5-10 % de la population active. Il est plus fréquent dans les professions médicales, sociales et éducatives (jusqu’à 50 %). Il affecte autant les hommes que les femmes, avec un pic d’incidence entre 30 et 50 ans. Ses conséquences sont une augmentation du risque de dépression, anxiété, mais aussi de maladies cardiovasculaires. Les facteurs de risques sont d’ordre socio-professionnel (charge de travail excessive et pression constante, manque d’autonomie et faible reconnaissance, exigences émotionnelles élevées, conflits au travail et manque de soutien, horaires irréguliers et travail de nuit). Les signes d’alerte peuvent être formalisés par des questionnaires spécifiques (Maslach Burnout Inventory - MBI) ou des échelles d’évaluation du stress et du bien-être (GHQ-12, DASS-21). La prévention repose sur l’amélioration des conditions de travail, le droit à la déconnexion, la gestion du stress. L’accompagnement psychologique est recommandé et le recours au médicaments (antidépresseurs, anxiolytiques) encadrés par des consultations de psychiatrie.</t>
  </si>
  <si>
    <t>Elles touchent environ 20 à 25% des adultes en Europe. La pollinose est due à une allergie aux pollens, elle est saisonnière. Les signes sont la rhinite allergique (éternuements, nez qui coule ou rhinorrhée), congestion nasale avec souvent une conjonctivite allergique associée (yeux rouges, larmoyants, démangeaisons). Les allergies domestiques sont per annuelles (toute l’année) résultent d’une exposition à des allergènes dans l’habitat (acariens, moisissures, blattes) ou due à des animaux domestiques (poils d’animaux de chat ou chien). Elles peuvent entraîner des symptômes similaires à la pollinose, parfois plus discrets, mais souvent responsables d’un asthme chronique ou d’une rhinite persistante. La pollinose est en augmentation en raison du changement climatique et de l'urbanisation. Elle débute souvent dans l’enfance ou l’adolescence et peut persister à l'âge adulte. Il y a une Légère prédominance masculine chez les enfants et une tendance à s’équilibrer à l’âge adulte. Elle peut se compliquer d’asthme et de sinusites chroniques. Les facteurs de risque sont les antécédents familiaux d’allergies respiratoires et d’atopie. L’exposition aux pollens, provenant d’arbres tels que le bouleau et le cyprès, ainsi que des graminées et des herbacées comme l’ambroisie, est un facteur important. La pollution de l’air, en favorisant l’irritation des muqueuses, potentialise l’effet des pollens et aggrave les réactions allergiques. Le tabagisme ou le vapotage quant à eux, aggravent l’inflammation des voies aériennes rendant les symptômes plus sévères. Le diagnostic étiologique repose sur un bilan allergologique (Prick-tests cutanés : détection immédiate de la sensibilité aux pollens et le dosage des IgE spécifiques afin d’identifier les allergènes responsables. La prévention, repose sur la réduction de l’exposition, plus difficile pour les pollinoses que pour les allergies domestiques une fois les allergénes identifiés (connaissance du calendrier pollinique selon la région, éviter l’ouverture des fenêtres en pleine journée, port d’un masque facial, port de lunettes de soleil pour éviter le contact des pollens avec les yeux, lavages de nez au sérum physiologique après une exposition) et sur une désensibilisation spécifique selon les allergènes identifiés.</t>
  </si>
  <si>
    <t xml:space="preserve">Certains troubles potentiellement en relation avec des traitements réguliers, sans omettre les automédications, sont à rechercher systématiquement lors du bilan prévention. La polymédication (prise de 5 médicaments journalier) souvent chez les patients âgés augmente le risque d'effets indésirables mais aussi la non-observance.
Les réactions indésirables aux médicaments incluent les intolérances médicamenteuses (effets non immunologiques) et les allergies médicamenteuses (réaction immunologique). Leur prévalence globale est estimée entre 5 et 10 % lors des hospitalisations. Les facteurs de risque sont génétiques (Polymorphismes génétiques influençant le métabolisme des médicaments comme le déficit en G6PD), un terrain allergique (atopie préexistante). La prévention repose sur l’éviction des médicaments et de leur famille générique (à retranscrire sur dans le dossier médical partagé en informant des antécédents d’intolérance ou d’allergie médicamenteuse). </t>
  </si>
  <si>
    <t>Il a touché en 2023, 8432 femmes. Le taux de survie à 5 ans est d’environ 80% si le diagnostic est précoce. Il est rare avant 40 ans et 80% des cas diagnostiqués le sont après la ménopause. Le type histologique le plus fréquent est le carcinome endométrioïde (80-85%). Les facteurs de risques sont génétiques (syndromes familiaux de prédisposition lié aux mutation BRCA1 et BRCA2 et au syndrome de Lynch), hormonaux (ménopause tardive et premières règles précoces, nulliparité, syndrome des ovaires polykystiques) et métaboliques (obésité avec un risque x3 à x10 selon l’IMC) et une alimentation riche en graisses animales et sédentarité. La contraception orale combinée (pendant plus de 5 ans) réduirait le risque de moitié. Le dépistage est non systématique en population générale, il est recommandé uniquement chez les patientes à haut risque (syndrome de prédisposition familiale). Les signes d’alerte sont les saignements post-ménopausiques (50-90% des cas), les douleurs pelviennes, les pertes vaginales anormales ou des troubles du cycle chez la femme non ménopausée. Le diagnostic repose sur l’examen gynécologique et l’échographie pelvienne en 1ère intention (épaisseur endométriale &gt;5 mm suspecte après ménopause). La prévention est basée sur l’hygiène de vie pour réduire le risque métabolique</t>
  </si>
  <si>
    <t>C’est un cancer fréquent mais évitable. Le taux de survie à 5 ans est  de plus de 90% si il est détecté à un stade précoce. Il est rare avant 30 ans avec un pic diagnostique entre 35 et 45 ans. Le type histologique le plus fréquent est le carcinome épidermoïde (70-80%). Les facteurs de risque sont les infections par les Papillomavirus humains HPV 16 et 18 responsables de 70% des cas. La transmission est sexuelle avec comme facteurs aggravant le début des rapports sexuels précoce, de multiples partenaires sexuels, les antécédents d’infections génitales et IST. Le tabagisme double le risque.
ainsi que l’immunosuppression (VIH, traitements immunosuppresseurs). Les signes d’alerte souvent tardifs sont les saignements anormaux (post-coïtaux, entre les règles, après ménopause), les douleurs pelviennes ou lors des rapports sexuels, les pertes vaginales malodorantes et abondantes. Le diagnostic repose sur l’examen gynécologique avec colposcopie et biopsie. Les marqueurs (SCC) sont peu sensibles et non recommandés pour le diagnostic. La prévention repose sur la Vaccination anti-HPV, le dépistage régulier par frottis cervico-utérin et l’Utilisation de préservatifs. Le dépistage qui est recommandé tous les 3 à 5 ans, pour toutes les femmes de 25 à 65 ans par frottis cervico-utérin.</t>
  </si>
  <si>
    <t>Il correspond à 430.000 nouveaux cas/an dans le monde et 175.000 décès/an (Globocan 2020). L’âge moyen au diagnostic est entre 60 et 70 ans, il rare avant 45 ans sauf en cas de prédisposition génétique. Les hommes sont plus touchés que les femmes (ratio H/F=2). Le type histologique le plus fréquent est le Carcinome à cellules rénales (CCR, 90%) avec les sous-types : cellules claires (70-80%), papillaires et chromophobe. En dehors des formes rares avec prédisposition génétique (Syndrome de Von Hippel-Lindau (gène VHL), Mutations des gènes FH, BAP1), les facteurs de risque sont ceux du risque métabolique et l’insuffisance rénale chronique (et de l’hémodialyse). Le tabagisme et certaines expositions toxiques (cadmium, solvants, trichloréthylène) ont aussi été associées au risque de cancer du rein. Les signes d’alerte sont très tardifs, principalement l’hématurie, ou une fatigue chronique et amaigrissement inexpliqué. Le diagnostic de 1ére intention repose sur l’échographie abdominale. Elle peut être proposée en dépistage s’il existe une histoire familiale de cancer du rein. La prévention est identique aux recommandations de mitigation du syndrome métabolique et inclue le sevrage tabagique.</t>
  </si>
  <si>
    <t>Les tumeurs de vessie dans le monde sont répertoriés avec environ 573.000 nouveaux cas/an et 213.000 décès/an (OMS, 2023). Le type histologique le plus fréquent est le carcinome urothélial à cellules transitionnelles (90%). Son Incidence est plus élevée chez l’homme (3 à 4 fois plus fréquent que chez la femme). L’âge moyen au diagnostic est 65-70 ans. L’exposition tabagique est la principale cause. Les tumeurs des voies excrétrices urinaires supérieures (TVEUS : uretère et cavité rénales pyélocalicielles), sont rares, représentant 5-10% des cancers urothéliaux. Elles peuvent s’inscrivent spécifiquement dans le spectre du syndrome Lynch de prédisposition aux cancers ou après exposition à des carcinogènes spécifiques comme l’acide aristolochique (herbes chinoises).
Les facteurs de risque  des carcinomes urothéliaux de vessie sont aussi les expositions professionnelles (solvants, hydrocarbures aromatiques, amines aromatiques, industrie chimique, textile, caoutchouc), les infections urinaires chroniques, souvent dans le contexte des neurovessies ou de la Bilharziose urinaire (Schistosoma haematobium en Afrique et au Moyen-Orient).
Certains facteurs toxiques iatrogénes existent (cyclophosphamide, radiothérapie pelvienne) ou environnementaux (eau contaminée par l’arsenic). Les signes d’alerte sont l’hématurie (sang dans les urines à la miction), et la pollakiurie pour les tumeurs de vessie et la colique néphrétique pour les Tumeurs des Voies Excrétrices  Urinaires Supérieures ( TVEUS) . Le diagnostic repose sur la cytologie urinaire et la consultation d’urologie avec l’endoscopie vésicale ou cystoscopie) pour les tumeurs de vessie et l’urétéro-néphroscopie pour les TVEUS. La prévention repose sur la réduction des expositions toxiques et en particulier le sevrage tabagique. 
&lt;p&gt;&lt;strong&gt;Les protocoles de surveillance standard&lt;/strong&gt; mentionnent la recherche de sang dans les urines et une cytologie urinaire.&lt;/p&gt;
&lt;p&gt;&lt;strong&gt;Pour les profils à vigilance accrue,&lt;/strong&gt; les recommandations professionnelles évoquent l\'orientation vers une consultation spécialisée en urologie pouvant inclure une échographie vésicale ou des tests moléculaires urinaires.&lt;/p&gt;',</t>
  </si>
  <si>
    <t>La dysfonction érectile (DE) est l’incapacité persistante à obtenir ou maintenir une érection suffisante pour une activité sexuelle satisfaisante. C’est un problème fréquent qui peut être un indicateur précoce de maladies cardiovasculaires sous-jacentes. Elle augmente avec l’âge : 50 % après 50 ans, 70 % après 70 ans. Son Impact sur la qualité de vie peut entrainer : anxiété, dépression, diminution de l’estime de soi et avoir un Impact relationnel : tensions conjugales.
Elle est favorisée par les facteurs retrouvés dans le risque métabolique : Hypertension artérielle, Diabète type 2, Dyslipidémie, Obésité et ses causes (sédentarité, tabagisme, alcool….). Ses autres causes sont le déficit androgénique (andropause), des maladies neurologiques dégénératives (la maladie Parkinson…). Les facteurs psychogènes (dépression et anxiété) sont fréquemment associés, ils peuvent être causaux ou conséquences. L’anamnèse recherche toujours des causes iatrogènes (chirurgie de la prostate ou du rectum, certains médicaments : bêtabloquants, antidépresseurs, antipsychotiques) et peut être complétée par des questionnaires spécifiques : IIEF-5 (International Index of Erectile Function).
A la fois signe d’alerte et pathologie, la dysfonction érectile justifie un bilan complémentaire avant sa prise en charge thérapeutique (Inhibiteurs de la PDE5 (sildénafil, tadalafil, vardenafil), prostaglandines en injection ou instillations locales). Le bilan de première intention comprendra :
Dosage de la testostérone	Dépistage d’un hypogonadisme
Bilan lipidique et glycémique	Recherche de diabète ou dyslipidémie
Doppler pénien et aorto-iliaque	Évaluer le flux sanguin dans les artères péniennes
Polysomnographie	Vérifier les érections nocturnes (si doute psychogène)</t>
  </si>
  <si>
    <t>L'endométriose est une maladie gynécologique chronique qui touche environ 10 % des femmes en âge de procréer. Elle est caractérisée par la présence de tissu endométrial en dehors de la cavité utérine, provoquant inflammation et douleurs. La prévalence est plus élevée chez les femmes infertiles (30-50 %). La maladie peut apparaître dès l'adolescence et persister jusqu'à la ménopause.
Les facteurs de risque de l'endométriose incluent des Facteurs génétiques (antécédents familiaux), des facteurs hormonaux (exposition prolongée aux œstrogènes, cycles menstruels courts), des facteurs environnementaux (perturbateurs endocriniens), des facteurs médicaux personnels (anomalies utérines, interventions chirurgicales pelviennes).
Outre les éléments cliniques, le diagnostic de l'endométriose repose sur l’Imagerie médicale : Échographie pelvienne et IRM. Biologiquement, le dosage du CA-125 est peu sensible et d’autres biomarqueurs sont à l'étude pour une détection non invasive de l'endométriose. La confirmation diagnostique et la prise en charge (traitements hormonaux), chirurgie, accompagnement psychologique et suivi multidisciplinaire se fera en consultation spécialisée de gynécologie</t>
  </si>
  <si>
    <t>Le syndrome des ovaires polykystiques (SOPK) est une endocrinopathie assez fréquente, touchant entre 8 et 13 % des femmes en âge de procréer. Il se caractérise par une hyperandrogénie, une anovulation chronique et une morphologie polykystique des ovaires. Les principaux signes incluent des anomalies du cycle menstruel, une hyperpilosité et de l'acné. Sa prévalence est plus faible chez les Femmes d’origine asiatique (environ 2 à 6 %) et plus élevée chez les femmes d’origine indoue ou originaires du moyen orient (10 à 20 %) avec un risque accru de diabète et d’obésité.
Les facteurs associés au risque du SOPK comprennent une prédisposition génétique, l'obésité et la résistance à l'insuline. 
Le diagnostic du SOPK repose sur la présence d'au moins deux des critères suivants :
•	Dysfonctionnements ovulatoires provoquant des cycles menstruels irréguliers.
•	Signes cliniques ou biochimiques d'hyperandrogénie. 
•	Présence de plus de 10 follicules par ovaire à l'échographie pelvienne. 
Il est recommandé de réaliser des tests pour exclure d'autres troubles endocriniens, tels que la mesure de la testostérone, de la FSH, de la prolactine et de la TSH sériques.  
La prévention du SOPK n'est pas clairement établie en raison de sa composante génétique. Cependant, la gestion du poids, une alimentation équilibrée et une activité physique régulière peuvent aider à atténuer les symptômes et à réduire le risque de complications métaboliques associées.  Le SOPK a des conséquences variées sur la santé, qui peuvent être classées en plusieurs catégories est associée au risque métabolique (Résistance à l’insuline et diabète de type 2 ; Obésité et prise de poids, Augmentation du cholestérol-LDL et diminution du cholestérol-HDL, Hypertension artérielle). Il a des conséquences reproductives (Infertilité, Risque accru de fausse couche), ou l’Hyperplasie et le cancer de l’endomètre). Les conséquences cutanées (Hirsutisme, Acné sévère, Alopécie androgénique) contribuent aussi aux troubles psychologiques, comportementaux et émotionnelles (dépression et anxiété, Baisse de l’estime de soi, augmentation du risque de boulimie)</t>
  </si>
  <si>
    <t>Le déficit œstrogénique lié à l’âge (ménopause), et les autres conditions de l’arrêt de la production ovarienne d’œstrogènes (thérapeutiques) se manifestent chez 80 % des femmes par des symptômes qui impact la qualité de vie. Indépendamment des causes thérapeutiques une ménopause plus précoce peut être favorisée par des facteurs héréditaires, mais aussi par les facteurs de style de vie (le tabagisme accélère la ménopause de 1 à 2 ans).
Les signes cliniques classiques s’associent de façon variable et apparaissent progressivement sur une durée de 1 à 4 ans. Ce sont les bouffées de chaleur, sueurs nocturnes, sécheresse vaginale, dyspareunie, anxiété, insomnies, altération de la mémoire. Il s’y associe physiquement une prise de poids qui favorise la résistance à l’insuline, une diminution de la densité osseuse et musculaire : ostéopénie et sarcopénie et une augmentation du risque cardiovasculaire (hypertension artérielle, dyslipidémie). Le profil hormonal confirme le diagnostic avec une augmentation de la FSH (&gt; 25-30 UI/L) et une baisse de l’œstradiol (&lt; 20 pg/mL en post -ménopause). L’anamnèse recherchera les risques d’ostéoporose et de sarcopénie en s’appuyant sur les questionnaire validés (FRAX et SARC) afin de proposer éventuellement une ostéodensitométrie ou une évaluation de la composition corporelle (DXA). Le bilan recherchera les autres facteurs biologiques associés au risque métabolique [NFS, Créatininémie et DFG, Cholestérol et fractions, Triglycérides, Glycémie et HbA1c, TSH]. Les recommandations d’hygiène de vie sont essentielles dès le début de la ménopause et ce afin de prévenir ses effets et leur retentissement pathologique ou sur la qualité de vie. Le traitement Hormonal substitutif de la Ménopause (THM) est indiqué chez les femmes symptomatiques, sans contre-indications après avis gynécologique. Les compléments alimentaires ou phytothérapie à activité oestrogénique (phytoœstrogènes) nécessitent également une évaluation des risques de cancers (sein, utérus).</t>
  </si>
  <si>
    <t>L’incontinence urinaire est une perte involontaire d’urine, affectant des millions de femmes dans le monde. Ce trouble a un impact significatif sur la qualité de vie, l’estime de soi et la santé mentale. Elle Affecte 25 à 45 % des femmes adultes et augmente avec l’âge : jusqu’à 50 % chez les femmes de plus de 65 ans. Elle est souvent sous-déclarée (moins de 50 % des femmes consultent). L’incontinence peut être divisée selon mécanisme en : Incontinence urinaire d’effort (IUE) (50 %) ; Incontinence par urgenturie (15-20 %) et Incontinence mixte (30-40 %). Elle est favorisée par la multiparité, l’obésité, le diabète, la ménopause, mais aussi le tabagisme, la consommation de caféine, d’alcool, les sports augmentant la pression abdominale (culturisme) et l’hérédité. L’anamnèse peut être complété par des questionnaires validés : ICIQ-SF (International Consultation on Incontinence Questionnaire-Short Form) et des examens complémentaires (tableau) et une consultation spécialisée gynécologie ou urologie qui recherchera entre autre un prolapsus associé.
Test	Utilité
Calendrier mictionnel	Évaluer la fréquence des mictions et des fuites
Bandelette urinaire	Rechercher une infection urinaire
Échographie vésicale	Vérifier un résidu post-mictionnel
Bilan urodynamique	Étudier la fonction vésicale en cas de doute</t>
  </si>
  <si>
    <t>La monocytose est à une augmentation du nombre de monocytes circulants dans le sang périphérique. Monocytes &gt; 1,0 × 10⁹/L (ou &gt; 1000/mm³). On distingue les monocytoses réactionnelles (secondaires : infections bactériennes chroniques, infections virales ; maladies auto-immunes) des monocytoses clonales (hémopathies myéloïdes). Le bilan étiologique de première intention comprendra un bilan inflammatoire, les sérologies virales ou bactériennes)</t>
  </si>
  <si>
    <t>Le risque hémorragique a pour cause, des troubles des plaquettes sanguines, un déficit congénital ou acquis en facteurs de la coagulation, les déficits en vitamine K ou la prise de substances anticoagulantes.</t>
  </si>
  <si>
    <t>Le syndrome des jambes sans repos, aussi appelé maladie de Willis-Ekbom, est un trouble neurologique caractérisé par une envie irrésistible de bouger les jambes, souvent accompagnée de sensations désagréables. Sa prévalence varie entre 5 et 10 % et il est plus fréquent chez les femmes que chez les hommes (ratio F/H=2). Dans environ 60 % des cas une composante génétique est retrouvée, suggérant une prédisposition familiale. Il est souvent sous-diagnostiqué ou confondu avec d'autres troubles du sommeil. Les causes sont mal connues, une carence en fer, même sans anémie, est fortement associée à ce syndrome. Certains médicaments peuvent l’aggraver (antidépresseurs, neuroleptiques, antihistaminiques). Mais aussi la Caféine, l’alcool et la nicotine. La prévention repose sur l’éviction des facteurs de risque, la réalisation d’un bilan martial (fer, ferritine, CST) pour éventuellement corriger une carence. En cas de formes sévères une prise en charge spécialisée pourra proposer un traitement médical (agonistes dopaminergiques, anticonvulsivants, opiacés).</t>
  </si>
  <si>
    <t>Syndrome des jambes sans repos</t>
  </si>
  <si>
    <r>
      <t xml:space="preserve">Indépendamment des causes thérapeutiques de castration, le déficit androgénique lié à l’âge (ou Partial Androgen Deficiency of the Aging Male : PADAM), est une diminution progressive du taux de testostérone chez l’homme vieillissant. Contrairement à la ménopause féminine, ce phénomène est très progressif et variable d’un individu à l’autre. Il touche Environ 10 à 30 % des hommes &gt; 50 ans et entre 20 et 50 % des hommes &gt; 60 ans. Il impacte la qualité de vie avec un diminution de la libido et troubles de l’érection, une fatigue chronique, une irritabilité, une tendance à la dépression, une baisse de concentration et de la mémoire, une réduction de la force (masse) musculaire et augmentation de la masse grasse en particulier abdominale et dans les formes sévères ou prolongées un risque d’ostéoporose avec une augmentation du risque de fractures. Il est favorisé par le risque métabolique (diabète, obésité abdominale) et ses causes (sédentarité et absence d’exercice physique, alimentation déséquilibrée : excès de sucre, alcool, alimentation ultra-transformée), le stress chronique et les troubles du sommeil, le tabagisme, mais aussi la consommation de cannabis et la consommation excessive d’alcool. Certaines maladies chroniques (insuffisance rénale, hépatique, cancers) et certains traitements (corticoïdes, opioïdes) aggravent également le déficit androgènique. Le diagnostic biologique repose sur dosage de la testostérone totale (Taux normal : 3 – 10 ng/mL, un PADAM est suspecté si la testostérone est &lt; 3 ng/mL. La testostérone biodisponible ou </t>
    </r>
    <r>
      <rPr>
        <b/>
        <sz val="11"/>
        <color rgb="FFEE0000"/>
        <rFont val="Calibri"/>
        <family val="2"/>
        <scheme val="minor"/>
      </rPr>
      <t>la testostérone</t>
    </r>
    <r>
      <rPr>
        <sz val="11"/>
        <color rgb="FFEE0000"/>
        <rFont val="Calibri"/>
        <family val="2"/>
        <scheme val="minor"/>
      </rPr>
      <t xml:space="preserve"> </t>
    </r>
    <r>
      <rPr>
        <sz val="11"/>
        <color rgb="FF3A7C22"/>
        <rFont val="Calibri"/>
        <family val="2"/>
        <scheme val="minor"/>
      </rPr>
      <t>libre peuvent mieux estimer le déficit. La testostéronémie biodisponible se calcule en tenant compte du dosage de la SHBG (Sex Hormone-Binding Globulin) ou peut-être dosée directement comme la testostéronémie libre en tenant compte de l’albumine (Testostérone libre= Testostérone totale / [(SHBG / Testostérone totale) * (1 - (SHBG / Testostérone totale))] + (1 - SHBG/SHBG) * (1 - (0,0000549 * Albumine). Une estimation plus simple peut être donnée par le « Free Androgen Index »  FAI = ([Testostéronémie totale/SHBG] × 100) qui doit être &gt;30.En cas de déficit androgénique, le dosage du PSA (antigène prostatique spécifique) est abaissé, un taux normal dans un contexte de déficit androgénique (obésité, testostéronémie basse) n’élimine pas un cancer de la prostate. L’anamnèse recherchera les risques de sarcopénie en s’appuyant sur les questionnaires validés et la force préhension afin de proposer éventuellement une évaluation de la composition corporelle (DXA). L’évaluation de la dysfonction érectile peut être faite avec le questionnaire IIEF5. Le bilan recherchera les autres facteurs biologiques associés au risque métabolique. [NFS, Créatininémie et DFG, Cholestérol et fractions, Triglycérides, Glycémie et Hb1c, TSH]. Le traitement hormonal substitutif (testostérone) prescrit par un urologue ou un andrologue peut être indiqué chez les patients symptomatiques avec testostérone basse et nécessite une surveillance étroite du PSA, du débit mictionnel et de l’hématocrite.</t>
    </r>
  </si>
  <si>
    <t>Le volume prostatique mesuré par imagerie (échographie ou IRM) détermine le degré d’hypertrophie de la prostate lié à l’âge.  &lt; 30 mL : volume normal ou discrètement augmentéun Volume supérieur à 50ml correspond à une hypertrophie et justifie d’en évaluer le retentissement en recherchant un résidu post mictionnel , en mesurant de débit urinaire mictionnel et en évaluant la fonction rénale. L’association au développement d’un lobe médiant de la prostate faisant protrusion dans la vessie est un facteur aggravant des troubles mictionnels lié à l’âge.</t>
  </si>
  <si>
    <t>Au-dessus de 25% chez l’homme et 35% chez la femme on considère qu’il existe un excédant de masse graisseuse.</t>
  </si>
  <si>
    <t>La mesure en DEXA de lla masse musculaire doit être supérieure à 7 kg/taille-m² pour l’homme et supérieur à 5,5 kg/taille-m² pour la femme</t>
  </si>
  <si>
    <t>La force de préhension chez l'homme doit être supérieure à 27 kg et à  16 kg chez la femme</t>
  </si>
  <si>
    <t>La vitesse de marche sur 4 mètre doit être supérieure à 0,8 m/s</t>
  </si>
  <si>
    <t>Ne pas tenir plus de 10 secondes en appui unipodal peut être un signe de sarcopénie</t>
  </si>
  <si>
    <t>La calcémie totale normale chez l'adulte se situe généralement entre 2,20 et 2,60 mmol/L (soit environ 88 à 104-105 mg/L). Une interprétation précise nécessite souvent de prendre en compte le calcium ionisé (actif) ou la calcémie corrigée selon l'albumine.    [Ca « corrigé » (mmol/L) = Ca mesuré (mmol/L) + 0,020 (40 – albumine (g/L))]</t>
  </si>
  <si>
    <t xml:space="preserve">Une valeur du NT-proBNP  &lt; 125 pg/mL (ou ng/L) exclut généralement une insuffissance cardiaque chronique( &gt;95% de fiabilité). </t>
  </si>
  <si>
    <t xml:space="preserve">Le TCK/TCA (Temps de Céphaline Kaolin/Activée) explore facteurs intrinsèques de la coagulation (VIII, IX, XI, XII). Un ratio &gt; 1,2 indique un allongement du temps de coagulation(déficit facteur, anticoagulant circulant, héparine). </t>
  </si>
  <si>
    <r>
      <t>La mesure en imagerie (scanner ou IRM) de la surface du muscle psoas au niveau de la 3</t>
    </r>
    <r>
      <rPr>
        <b/>
        <vertAlign val="superscript"/>
        <sz val="16"/>
        <color theme="1"/>
        <rFont val="Calibri"/>
        <family val="2"/>
        <scheme val="minor"/>
      </rPr>
      <t>ème</t>
    </r>
    <r>
      <rPr>
        <b/>
        <sz val="16"/>
        <color theme="1"/>
        <rFont val="Calibri"/>
        <family val="2"/>
        <scheme val="minor"/>
      </rPr>
      <t xml:space="preserve"> vertèbre lombaire permet d'évaluer la masse musculaire. Les valeurs normales sont plus de 500 mm²/taille-m² pour l’homme et plus de 385 mm²/taille-m² pour la femme.</t>
    </r>
  </si>
  <si>
    <r>
      <t>Le</t>
    </r>
    <r>
      <rPr>
        <b/>
        <sz val="16"/>
        <color rgb="FF0A0A0A"/>
        <rFont val="Calibri"/>
        <family val="2"/>
        <scheme val="minor"/>
      </rPr>
      <t>Taux de Prothrombine  </t>
    </r>
    <r>
      <rPr>
        <b/>
        <sz val="16"/>
        <color theme="1"/>
        <rFont val="Calibri"/>
        <family val="2"/>
        <scheme val="minor"/>
      </rPr>
      <t>évaluent les facteurs extrinséques de la coagulation (facteurs II, V, VII, X), liée au foie et à la vitamine K. Le TP normal est &gt; 70%.</t>
    </r>
  </si>
  <si>
    <t>&gt;50</t>
  </si>
  <si>
    <t>Vitesse de marche sur 4 métre (Métres/Secondes)</t>
  </si>
  <si>
    <t>&lt;2,2</t>
  </si>
  <si>
    <t>2,2-2,6</t>
  </si>
  <si>
    <t>&gt;2,6</t>
  </si>
  <si>
    <t>&lt;125</t>
  </si>
  <si>
    <t>&gt;1,2</t>
  </si>
  <si>
    <t>&lt;70</t>
  </si>
  <si>
    <t>TP (Temps de prothrombine)</t>
  </si>
  <si>
    <t>Temps de Céphaline Kaolin/Activée (Ratio)</t>
  </si>
  <si>
    <t>Ratio</t>
  </si>
  <si>
    <t>40 à 60 mg/L (ou 240 à 360 umol/l)</t>
  </si>
  <si>
    <t>Femmes : 0,252 * poids en kg + 0,473 * taille en cm – 48,3</t>
  </si>
  <si>
    <t>GR</t>
  </si>
  <si>
    <t>TP</t>
  </si>
  <si>
    <t>TCK</t>
  </si>
  <si>
    <t>Système-2</t>
  </si>
  <si>
    <t>Systémes-1</t>
  </si>
  <si>
    <t>&lt;10sec</t>
  </si>
  <si>
    <t>TC: Taux de Prothrombine %</t>
  </si>
  <si>
    <t>TCK: Temps de Céphaline Activée  (Ratio)</t>
  </si>
  <si>
    <t>SPIDER-actuel</t>
  </si>
  <si>
    <t>SPIDER-5ans</t>
  </si>
  <si>
    <t>Acides gras érythrocytaires</t>
  </si>
  <si>
    <t>Apolipoprotéine B</t>
  </si>
  <si>
    <t>Phosphatases alcalines (PAL)</t>
  </si>
  <si>
    <t>Bilirubine totale</t>
  </si>
  <si>
    <t>Cholinestérase (butyrylcholinestérase)</t>
  </si>
  <si>
    <t>NASH Test (Biopredictive)</t>
  </si>
  <si>
    <t>T3 libre</t>
  </si>
  <si>
    <t>T4 libre</t>
  </si>
  <si>
    <t>Zinc érythrocytaire</t>
  </si>
  <si>
    <t>Magnésium érythrocytaire</t>
  </si>
  <si>
    <t>Vitamine B9 (folates sériques)</t>
  </si>
  <si>
    <t>Sérologie VIH</t>
  </si>
  <si>
    <t>Sérologie Hépatite B</t>
  </si>
  <si>
    <t>Frottis cervico-vaginal + HPV PCR</t>
  </si>
  <si>
    <t>Dépistage sang occulte selles (&gt;45 ans)</t>
  </si>
  <si>
    <t>Holotranscobalamine</t>
  </si>
  <si>
    <t>Acide méthylmalonique</t>
  </si>
  <si>
    <t>MammoRisk (Predilife)</t>
  </si>
  <si>
    <t>AFP (alpha-foetoprotéine)</t>
  </si>
  <si>
    <t>Stockholm3 (Prostate)</t>
  </si>
  <si>
    <t>Dosage des protéines sériques (albumine + globulines) valeurs normales usuelles 64–83 g/L</t>
  </si>
  <si>
    <t>Acide aminé soufré plasmatique (risque CV, carence B9/B12/B6) valeurs normales usuelles 5–15 µmol/L</t>
  </si>
  <si>
    <t>Protéine des LDL et lipoprotéines athérogènes valeurs normales usuelles &lt; 1,0 g/L (idéalement &lt; 0,8 g/L si haut risque CV)</t>
  </si>
  <si>
    <t>Enzyme hépatobiliaire et osseuse valeurs normales usuelles 30–120 UI/L</t>
  </si>
  <si>
    <t>Pigment biliaire (conjuguée + libre) valeurs normales usuelles Totale &lt; 17 µmol/L (&lt; 10 mg/L)</t>
  </si>
  <si>
    <t>Statut intracellulaire en zinc valeurs normales usuelles 8–14 mg/L GR (≈ 120–190 µmol/L GR)</t>
  </si>
  <si>
    <t>Statut en folates valeurs normales usuelles &gt; 4 ng/mL (≈ &gt; 10 nmol/L)</t>
  </si>
  <si>
    <t>Ag HBs, Ac anti-HBs, Ac anti-HBc valeurs normales usuelles Ag HBs négatif ; Ac anti-HBs &gt; 10 UI/L = immunité ; Ac anti-HBc négatif</t>
  </si>
  <si>
    <t>Score algorithmique sanguin (fibrose/stéatohépatite) valeurs normales usuelles Score 0–1 ; faible probabilité si &lt; 0,3 valeurs normales usuelles Score 0–1 ; faible probabilité si &lt; 0,3</t>
  </si>
  <si>
    <t xml:space="preserve">Analyse du profil lipidique membranaire des GR (oméga-3, oméga-6, index oméga-3) valeurs normales usuelles Index oméga-3 : 8–12 % des AG totaux </t>
  </si>
  <si>
    <t xml:space="preserve">Produit du catabolisme protéique, reflet fonction rénale valeurs normales usuelles 2,5–7,5 mmol/L (0,15–0,45 g/L) </t>
  </si>
  <si>
    <t xml:space="preserve">Synthèse hépatique valeurs normales usuelles 5 000–12 000 UI/L (selon méthode) </t>
  </si>
  <si>
    <t xml:space="preserve">Oligoélément plasmatique valeurs normales usuelles 70–130 µg/L </t>
  </si>
  <si>
    <t xml:space="preserve">Magnésium intracellulaire valeurs normales usuelles 1,6–2,6 mmol/L GR </t>
  </si>
  <si>
    <t xml:space="preserve">Cobalamine sérique totale valeurs normales usuelles 200–900 ng/L (≈ 150–670 pmol/L) </t>
  </si>
  <si>
    <t xml:space="preserve">Ubiquinone plasmatique (statut mitochondrial) valeurs normales usuelles 0,5–1,7 mg/L </t>
  </si>
  <si>
    <t xml:space="preserve">Dépistage Ag p24 + Ac anti-VIH 1/2 valeurs normales usuelles Négatif (absence d’Ag/Ac détectable) </t>
  </si>
  <si>
    <t xml:space="preserve">Ac anti-VHC ± ARN VHC valeurs normales usuelles Ac négatif (si positif → PCR ARN) </t>
  </si>
  <si>
    <t xml:space="preserve">Cytologie cervicale + détection HPV oncogènes valeurs normales usuelles Cytologie normale ; HPV HR non détecté </t>
  </si>
  <si>
    <t xml:space="preserve">Test immunologique fécal (FIT) valeurs normales usuelles Négatif (&lt; seuil fabricant, souvent &lt; 30 µg Hb/g selles) </t>
  </si>
  <si>
    <t xml:space="preserve">Fraction active de B12 liée à transcobalamine valeurs normales usuelles &gt; 50 pmol/L </t>
  </si>
  <si>
    <t xml:space="preserve">Marqueur fonctionnel carence B12 valeurs normales usuelles &lt; 0,4 µmol/L </t>
  </si>
  <si>
    <t xml:space="preserve">Score prédictif génétique de risque cancer sein valeurs normales usuelles Score bas &lt; 1 (interprétation relative au percentile) </t>
  </si>
  <si>
    <t>Vaccination pneumoccoque</t>
  </si>
  <si>
    <t>Vaccin contre la rougeole</t>
  </si>
  <si>
    <t>Vaccin contre l'encéphalite à Tiques</t>
  </si>
  <si>
    <t>Vaccin contre l'Hémophilus</t>
  </si>
  <si>
    <t>Vaccination COVID</t>
  </si>
  <si>
    <t>Vaccination Hepatites</t>
  </si>
  <si>
    <t xml:space="preserve">Marqueur tumoral (Carcinome hépatocellulaire, tumeurs germinales) valeurs normales usuelles &lt; 10 ng/mL </t>
  </si>
  <si>
    <t xml:space="preserve">Test combiné pour le cancer de la prostate (PSA, biomarqueurs, génétique) valeurs normales usuelles Score &lt; 10 % = faible risque cancer significatif </t>
  </si>
  <si>
    <t xml:space="preserve">Test sanguin ADN tumoral circulant (Cancer colo-rectal) valeurs normales usuelles Négatif </t>
  </si>
  <si>
    <t>Le cancer du pancréas est l’un des cancers les plus agressifs, souvent diagnostiqué à un stade avancé.
Il est estimé à environ 495.000 nouveaux cas/an dans le monde (GLOBOCAN 2020). Le taux de survie à 5 ans est &lt; 10%. Il affecte légèrement plus les hommes que les femmes (ratio H/F=1,4) avec un pic d'incidence après 65 ans. Le type histologique le plus fréquent (85 à 90 %) est l’adénocarcinome canalaire. Les facteurs de risque sont les antécédents de pancréatite chronique, ou de kyste pancréatique précancéreux (TIPMP : Tumeurs Intraductales Papillaires Mucineuses du Pancréas et MCN : Mucinous Cystic Neoplasms). Pour les facteurs de risque communs on retrouve le tabagisme actif (risque multiplié par 2 à 3), les facteurs de risque métabolique (obésité et surpoids, diabète de type 2), la consommation excessive d'alcool. Une alimentation riche en graisses animales et pauvre en fibres. Des antécédents familiaux sont retrouvés dans 10 % des cas et une prédisposition héréditaire spécifique existe ou est  associée au spectre des tumeurs de différent syndromes familiaux des cancers comme celui de prédisposition familiale aux cancers du sein-utérus-ovaire (BRCA2, PALB2, p16, STK11, PRSS1), du Syndrome de Lynch ou de néoplasie endocrinienne multiple de type 1, etc. Les signes d’alerte sont très tardifs (ictère pour les tumeurs de la tête du pancréas, Amaigrissement rapide et inexpliqué, Douleurs épigastriques irradiant dans le dos. Le diagnostic repose sur l’imagerie IRM et par écho-endoscopie (l’échographie abdominale classique est peu sensible).
Le marqueur tumoral CA 19-9 (est non spécifique, seulement utile pour le suivi). Le dépistage est ciblé (surveillance par IRM ou écho-endoscopie) à partir de 40-50 ans, il est proposé aux patients à haut risque génétique, ou suivis pour une pancréatite chronique ou des kystes du pancréas potentiellement précancéreux. La prévention est celle du risque métabolique, le sevrage tabagique, la réduction de l’alcool, une alimentation équilibrée (pauvre en graisses saturées, riche en fruits/légumes).</t>
  </si>
  <si>
    <t xml:space="preserve">Negative </t>
  </si>
  <si>
    <t>DXA (masse musculaire)</t>
  </si>
  <si>
    <t>Le résidu après miction mesuré en échographie ne doit pas être supérieur à 100ml chez l'homme et 5ml chez la femme</t>
  </si>
  <si>
    <t>Le débit urinaire mictionnel moyen  ne doit pas être inférieur à 10ml/sec</t>
  </si>
  <si>
    <t>Spider-5-inter</t>
  </si>
  <si>
    <t>Spider-actuel-inter</t>
  </si>
  <si>
    <t>Scanner Thoracique</t>
  </si>
  <si>
    <t>Echographie rénale et vésicale</t>
  </si>
  <si>
    <t>Scanner abdomino-pelvien</t>
  </si>
  <si>
    <t>Scanner Coronnaire</t>
  </si>
  <si>
    <t>Echo-doppler vasculaire artériel</t>
  </si>
  <si>
    <t>IRM prostatique</t>
  </si>
  <si>
    <t>Mammographie</t>
  </si>
  <si>
    <t>Echographie prostatique et vésico-rénale</t>
  </si>
  <si>
    <t>Echographie pelvienne</t>
  </si>
  <si>
    <t>Echographie hépatique (splénique)</t>
  </si>
  <si>
    <t>Echographie thyroidienne</t>
  </si>
  <si>
    <t>Imagerie et Test fonctionnels</t>
  </si>
  <si>
    <t>Résidu postmictionnel (échographie)</t>
  </si>
  <si>
    <t>Débitmétrie mictionnelle</t>
  </si>
  <si>
    <t>Surface muscle Psoas en L3:</t>
  </si>
  <si>
    <t>Prénom</t>
  </si>
  <si>
    <t>Nom</t>
  </si>
  <si>
    <t>Langue</t>
  </si>
  <si>
    <t>Date de naissance</t>
  </si>
  <si>
    <t>Email</t>
  </si>
  <si>
    <t xml:space="preserve">Entreprise </t>
  </si>
  <si>
    <t>F4=&gt;70</t>
  </si>
  <si>
    <t>F337=Y</t>
  </si>
  <si>
    <t>TEXTE LIBRE</t>
  </si>
  <si>
    <t xml:space="preserve">F17=Plutôt positivement OU Plutôt négativement </t>
  </si>
  <si>
    <t>XX@XX.com</t>
  </si>
  <si>
    <t>F4=&lt;65</t>
  </si>
  <si>
    <t>F4=&gt;65 OU F18=Y OU F8=Y</t>
  </si>
  <si>
    <t>F4=&gt;60</t>
  </si>
  <si>
    <t>F4=&lt;45</t>
  </si>
  <si>
    <t>&lt;65ans OU F17=Ne me concerne pas</t>
  </si>
  <si>
    <t>F3=H et F22=Y</t>
  </si>
  <si>
    <t>F3=F et F22=Y</t>
  </si>
  <si>
    <t>F22=Y</t>
  </si>
  <si>
    <t>F3=H</t>
  </si>
  <si>
    <t>F3=F</t>
  </si>
  <si>
    <t>F194=N</t>
  </si>
  <si>
    <t>F194=N &amp; F4=≥65 ans</t>
  </si>
  <si>
    <t>F194=N &amp; (F4=≥  65 ans OU F94=Y OU F103=Y)</t>
  </si>
  <si>
    <t>F194=N &amp; (F4=≥65 ans OU F94=Y OU F103=Y)</t>
  </si>
  <si>
    <t>F194=N &amp; F4=entre11 à 24</t>
  </si>
  <si>
    <t>F194=N &amp; F4=&lt;65</t>
  </si>
  <si>
    <t>F194=N &amp; F4=entre11 à 26</t>
  </si>
  <si>
    <t>F68=Y</t>
  </si>
  <si>
    <t>F76=Y</t>
  </si>
  <si>
    <t>F76=Y &amp; F77=N, F78=N &amp; F342=N</t>
  </si>
  <si>
    <t>F93=Y</t>
  </si>
  <si>
    <t>F93=Y &amp; F3=H</t>
  </si>
  <si>
    <t>F93=Y &amp; F3=F &amp; F21=N</t>
  </si>
  <si>
    <t>F176=Y</t>
  </si>
  <si>
    <t>F108=Y</t>
  </si>
  <si>
    <t>F107=Y OU F108=Y</t>
  </si>
  <si>
    <t>F115=≥1</t>
  </si>
  <si>
    <t>F135=Y</t>
  </si>
  <si>
    <t>F150=Y</t>
  </si>
  <si>
    <t>F151=Y</t>
  </si>
  <si>
    <t>F158=Y</t>
  </si>
  <si>
    <t>F185=Y</t>
  </si>
  <si>
    <t>F58=N</t>
  </si>
  <si>
    <t>F3=F &amp; F4= &gt;40</t>
  </si>
  <si>
    <t>F194=N &amp; (F21=N OU (F3=F &amp; F4= &lt;40))</t>
  </si>
  <si>
    <t>F49=Y</t>
  </si>
  <si>
    <t>F195=Y</t>
  </si>
  <si>
    <t>F4=&gt;60  OU  IMC=&lt;0,18</t>
  </si>
  <si>
    <t>F4=&gt;40 ans</t>
  </si>
  <si>
    <t>F24=Y</t>
  </si>
  <si>
    <t>F23=Y</t>
  </si>
  <si>
    <t>F25=Y</t>
  </si>
  <si>
    <t>F26=Y</t>
  </si>
  <si>
    <t>F27=Y</t>
  </si>
  <si>
    <t>F28=Y</t>
  </si>
  <si>
    <t>F29=Y</t>
  </si>
  <si>
    <t>F30=Y</t>
  </si>
  <si>
    <t>F31=Y</t>
  </si>
  <si>
    <t>F32=Y</t>
  </si>
  <si>
    <t>F122=Y</t>
  </si>
  <si>
    <t>F123=Y</t>
  </si>
  <si>
    <t>F125=Y</t>
  </si>
  <si>
    <t>F121=Y</t>
  </si>
  <si>
    <t>F124=Y</t>
  </si>
  <si>
    <t>F130=Y</t>
  </si>
  <si>
    <t>F129=Y</t>
  </si>
  <si>
    <t>F126=Y</t>
  </si>
  <si>
    <t>F127=Y</t>
  </si>
  <si>
    <t>F254=Y</t>
  </si>
  <si>
    <t>F128=Y</t>
  </si>
  <si>
    <t>F131=Y</t>
  </si>
  <si>
    <t>F132=Y</t>
  </si>
  <si>
    <t>F36=Y</t>
  </si>
  <si>
    <t>F33=Y</t>
  </si>
  <si>
    <t>F39=Y</t>
  </si>
  <si>
    <t>F47=Y</t>
  </si>
  <si>
    <t>F43=Y</t>
  </si>
  <si>
    <t>F34=Y</t>
  </si>
  <si>
    <t>F35=Y</t>
  </si>
  <si>
    <t>F50=Y</t>
  </si>
  <si>
    <t>F51=Y</t>
  </si>
  <si>
    <t>F40=Y</t>
  </si>
  <si>
    <t>F38=Y</t>
  </si>
  <si>
    <t>F41=Y</t>
  </si>
  <si>
    <t>F42=Y</t>
  </si>
  <si>
    <t>F37=Y</t>
  </si>
  <si>
    <t>F177=Y</t>
  </si>
  <si>
    <t>F48=Y</t>
  </si>
  <si>
    <t>F178=Y</t>
  </si>
  <si>
    <t>F94=Y</t>
  </si>
  <si>
    <t>F95=Y</t>
  </si>
  <si>
    <t>F96=Y</t>
  </si>
  <si>
    <t>F97=Y</t>
  </si>
  <si>
    <t>F98=Y</t>
  </si>
  <si>
    <t>F99=Y</t>
  </si>
  <si>
    <t>F100=Y</t>
  </si>
  <si>
    <t>F101=Y</t>
  </si>
  <si>
    <t>F102=Y</t>
  </si>
  <si>
    <t>F103=Y</t>
  </si>
  <si>
    <t>F104=Y</t>
  </si>
  <si>
    <t>F106=Y</t>
  </si>
  <si>
    <t>F91=Y</t>
  </si>
  <si>
    <t>F44=Y</t>
  </si>
  <si>
    <t>F45=Y</t>
  </si>
  <si>
    <t>F46=Y</t>
  </si>
  <si>
    <t>F58=Y</t>
  </si>
  <si>
    <t>F186=Y</t>
  </si>
  <si>
    <t>F149=Y</t>
  </si>
  <si>
    <t>F328=Y</t>
  </si>
  <si>
    <t>F69=Y</t>
  </si>
  <si>
    <t>F71=Y</t>
  </si>
  <si>
    <t>F74=Y</t>
  </si>
  <si>
    <t>F72=Y</t>
  </si>
  <si>
    <t>F78=Y</t>
  </si>
  <si>
    <t>F79=Y</t>
  </si>
  <si>
    <r>
      <t xml:space="preserve">Quel est votre âge ? </t>
    </r>
    <r>
      <rPr>
        <b/>
        <sz val="14"/>
        <color theme="4"/>
        <rFont val="Calibri"/>
        <family val="2"/>
        <scheme val="minor"/>
      </rPr>
      <t>// Quelle est votre date de naissance ? (Données utilisées pour les courbes de référence médicale)</t>
    </r>
  </si>
  <si>
    <t>Chiffre libre</t>
  </si>
  <si>
    <t>Si vous deviez vivre le reste de votre vie avec votre état émotionnel ou nerveux actuel tel qu’il est maintenant, comment vous sentiriez-vous ?
(0 = Très satisfaisant ; 1 = Plutôt satisfaisant ; 2 = Peu satisfaisant ; 3 = Pas du tout satisfaisant)</t>
  </si>
  <si>
    <t>Option de réponses F237</t>
  </si>
  <si>
    <t>Infectiologie</t>
  </si>
  <si>
    <t>Dépistage</t>
  </si>
  <si>
    <t>Cancers du Sein</t>
  </si>
  <si>
    <t xml:space="preserve"> Pression artérielle systolique (mmHg) au repos debout</t>
  </si>
  <si>
    <t>Pression artérielle systolique (mmHg) à l'effort</t>
  </si>
  <si>
    <t>Pression artérielle diastolique (mmHg) à l'effort</t>
  </si>
  <si>
    <t xml:space="preserve"> Pression artérielle systolique (mmHg) à la récupération</t>
  </si>
  <si>
    <t>Pression artérielle diastolique (mmHg) à la récupération</t>
  </si>
  <si>
    <t>SpO2 au repos</t>
  </si>
  <si>
    <t xml:space="preserve">SpO2 à l'effort </t>
  </si>
  <si>
    <t>Ne me concerne pas</t>
  </si>
  <si>
    <t>Léa</t>
  </si>
  <si>
    <t>Soucaux</t>
  </si>
  <si>
    <t>FR</t>
  </si>
  <si>
    <t xml:space="preserve"> Vaccination grippe, </t>
  </si>
  <si>
    <t>Dépistage cancers cutanés</t>
  </si>
  <si>
    <t xml:space="preserve"> Dépistage cancers cutanés,</t>
  </si>
  <si>
    <t>Score symptômes maladie coronarienne en %</t>
  </si>
  <si>
    <t>Le score symptomes est basé sur le facteurs de risques et de la séméiologie des douleurs thoraciques (Winther S, Schmidt SE, Mayrhofer T, et al. Pre-test probability prediction in patients with suspected coronary artery disease: a contemporary approach)</t>
  </si>
  <si>
    <t>Anesthesistes</t>
  </si>
  <si>
    <t>Santé mentale</t>
  </si>
  <si>
    <t>Couverture vaccinale</t>
  </si>
  <si>
    <t>Couverture dépistage</t>
  </si>
  <si>
    <t>Appareil endocrinien et métabolique</t>
  </si>
  <si>
    <t>Charge sociale et mentale (100% aucune charge sociale)</t>
  </si>
  <si>
    <t xml:space="preserve"> Pollution aerienne(100% aucune pollution)</t>
  </si>
  <si>
    <t>Couverture Vaccins Score</t>
  </si>
  <si>
    <t>Couverture Dépistage</t>
  </si>
  <si>
    <t>Santé mentale et vieillissement cérébral</t>
  </si>
  <si>
    <t>Systéme sensoriel</t>
  </si>
  <si>
    <t>Système sensoriel</t>
  </si>
  <si>
    <t>Sein</t>
  </si>
  <si>
    <t>Col uterus</t>
  </si>
  <si>
    <t>&gt;50 ans</t>
  </si>
  <si>
    <t>NON/OUI</t>
  </si>
  <si>
    <t>NON/OUI/NSP</t>
  </si>
  <si>
    <t>Avez-vous eu une fracture ostéoporotique de la colonne vertébrale ou de la hanche ? (non=0, oui=1)</t>
  </si>
  <si>
    <r>
      <t>Acuité auditive</t>
    </r>
    <r>
      <rPr>
        <b/>
        <sz val="14"/>
        <color rgb="FFFF0000"/>
        <rFont val="Calibri"/>
        <family val="2"/>
        <scheme val="minor"/>
      </rPr>
      <t xml:space="preserve"> (options?? Pourquoi pas dans F? 0=non-fait, 1=Normale perte auditive en décibel &lt;20 dB, 2=Surdité légère perte auditive en décibel entre 21 et 40 dB, 3=Surdité perte auditive en décibel &gt; 40 dB)</t>
    </r>
  </si>
  <si>
    <t>Texte libre</t>
  </si>
  <si>
    <r>
      <t xml:space="preserve">Avez-vous un rôle d’aidant ou des personnes à charge à la maison (enfants, personnes en situation de handicap ou âgées) ? </t>
    </r>
    <r>
      <rPr>
        <b/>
        <sz val="14"/>
        <color rgb="FFFF0000"/>
        <rFont val="Calibri"/>
        <family val="2"/>
        <scheme val="minor"/>
      </rPr>
      <t xml:space="preserve"> (non=0, oui=1)</t>
    </r>
  </si>
  <si>
    <r>
      <t xml:space="preserve">En cas de besoin, pouvez-vous compter sur quelqu’un de votre entourage proche pour vous aider ?  </t>
    </r>
    <r>
      <rPr>
        <b/>
        <sz val="14"/>
        <color rgb="FFFF0000"/>
        <rFont val="Calibri"/>
        <family val="2"/>
        <scheme val="minor"/>
      </rPr>
      <t>(non=0, oui=1)</t>
    </r>
  </si>
  <si>
    <r>
      <t xml:space="preserve">Prévoyez-vous d’avoir un enfant dans les cinq prochaines années ? </t>
    </r>
    <r>
      <rPr>
        <b/>
        <sz val="14"/>
        <color rgb="FFFF0000"/>
        <rFont val="Calibri"/>
        <family val="2"/>
        <scheme val="minor"/>
      </rPr>
      <t>(oui=1, non=0, ne sais pas=2)</t>
    </r>
  </si>
  <si>
    <r>
      <t xml:space="preserve">Au cours des six derniers mois, avez-vous eu des contacts avec des proches ou des amis ? </t>
    </r>
    <r>
      <rPr>
        <b/>
        <sz val="14"/>
        <color rgb="FFFF0000"/>
        <rFont val="Calibri"/>
        <family val="2"/>
        <scheme val="minor"/>
      </rPr>
      <t>(non=0, oui=1)</t>
    </r>
  </si>
  <si>
    <r>
      <t xml:space="preserve">Vos conditions de vie ou de travail sont-elles physiquement exigeantes ?  </t>
    </r>
    <r>
      <rPr>
        <b/>
        <sz val="14"/>
        <color rgb="FFFF0000"/>
        <rFont val="Calibri"/>
        <family val="2"/>
        <scheme val="minor"/>
      </rPr>
      <t>(non=0, oui=1)</t>
    </r>
  </si>
  <si>
    <r>
      <t xml:space="preserve">Avez-vous un travail de nuit (entre 21h et 7h) ou en horaires décalés (en dehors de la tranche 7h-21h ou 3x8 ou 2x12) ?  </t>
    </r>
    <r>
      <rPr>
        <b/>
        <sz val="14"/>
        <color rgb="FFFF0000"/>
        <rFont val="Calibri"/>
        <family val="2"/>
        <scheme val="minor"/>
      </rPr>
      <t>(non=0, oui=1)</t>
    </r>
  </si>
  <si>
    <r>
      <t xml:space="preserve">Votre logement est-il adapté à votre état de santé ou de celle des personnes que vous accompagnez ?
(par ex. : accessible en cas de mobilité réduite, sécurisé pour prévenir les chutes chez les personnes âgées) </t>
    </r>
    <r>
      <rPr>
        <b/>
        <sz val="14"/>
        <color rgb="FFFF0000"/>
        <rFont val="Calibri"/>
        <family val="2"/>
        <scheme val="minor"/>
      </rPr>
      <t>(non=0, oui=1)</t>
    </r>
  </si>
  <si>
    <r>
      <t xml:space="preserve">Avez-vous des limitations physiques qui restreignent votre mobilité ou vos activités quotidiennes ? (handicap) </t>
    </r>
    <r>
      <rPr>
        <b/>
        <sz val="14"/>
        <color rgb="FFFF0000"/>
        <rFont val="Calibri"/>
        <family val="2"/>
        <scheme val="minor"/>
      </rPr>
      <t>(non=0, oui=1)</t>
    </r>
  </si>
  <si>
    <r>
      <t xml:space="preserve">Avez-vous déjà été victime de violences physiques, sexuelles ou psychologiques (menaces, chantage, humiliation, agression, mutilation), de harcèlement ou de discrimination ? </t>
    </r>
    <r>
      <rPr>
        <b/>
        <sz val="14"/>
        <color rgb="FFFF0000"/>
        <rFont val="Calibri"/>
        <family val="2"/>
        <scheme val="minor"/>
      </rPr>
      <t>(non=0, oui=1</t>
    </r>
    <r>
      <rPr>
        <b/>
        <sz val="14"/>
        <color theme="1"/>
        <rFont val="Calibri"/>
        <family val="2"/>
        <scheme val="minor"/>
      </rPr>
      <t>)</t>
    </r>
  </si>
  <si>
    <r>
      <t xml:space="preserve">Etes vous ménopausée? </t>
    </r>
    <r>
      <rPr>
        <b/>
        <sz val="14"/>
        <color rgb="FFFF0000"/>
        <rFont val="Calibri"/>
        <family val="2"/>
        <scheme val="minor"/>
      </rPr>
      <t>(non=0, oui=1)</t>
    </r>
  </si>
  <si>
    <r>
      <t>Avez-vous déjà eu un cancer ?</t>
    </r>
    <r>
      <rPr>
        <b/>
        <sz val="14"/>
        <color rgb="FFFF0000"/>
        <rFont val="Calibri"/>
        <family val="2"/>
        <scheme val="minor"/>
      </rPr>
      <t xml:space="preserve"> (non=0, oui=1)</t>
    </r>
  </si>
  <si>
    <r>
      <t xml:space="preserve">Avez-vous déjà eu un cancer de la prostate ? </t>
    </r>
    <r>
      <rPr>
        <b/>
        <sz val="14"/>
        <color rgb="FFFF0000"/>
        <rFont val="Calibri"/>
        <family val="2"/>
        <scheme val="minor"/>
      </rPr>
      <t>(non=0, oui=1)</t>
    </r>
  </si>
  <si>
    <r>
      <t xml:space="preserve">Avez-vous déjà eu un cancer du côlon ou des polypes du côlon ? </t>
    </r>
    <r>
      <rPr>
        <b/>
        <sz val="14"/>
        <color rgb="FFFF0000"/>
        <rFont val="Calibri"/>
        <family val="2"/>
        <scheme val="minor"/>
      </rPr>
      <t>(non=0, oui=1)</t>
    </r>
  </si>
  <si>
    <r>
      <t>Avez-vous déjà eu un mélanome ou un autre type de cancer de la peau ? (</t>
    </r>
    <r>
      <rPr>
        <b/>
        <sz val="14"/>
        <color rgb="FFFF0000"/>
        <rFont val="Calibri"/>
        <family val="2"/>
        <scheme val="minor"/>
      </rPr>
      <t>non=0, oui=1)</t>
    </r>
  </si>
  <si>
    <r>
      <t xml:space="preserve">Avez-vous déjà eu un cancer du poumon ? </t>
    </r>
    <r>
      <rPr>
        <b/>
        <sz val="14"/>
        <color rgb="FFFF0000"/>
        <rFont val="Calibri"/>
        <family val="2"/>
        <scheme val="minor"/>
      </rPr>
      <t>(non=0, oui=1)</t>
    </r>
  </si>
  <si>
    <r>
      <t xml:space="preserve">Avez-vous déjà eu un cancer du sein ? </t>
    </r>
    <r>
      <rPr>
        <b/>
        <sz val="14"/>
        <color rgb="FFFF0000"/>
        <rFont val="Calibri"/>
        <family val="2"/>
        <scheme val="minor"/>
      </rPr>
      <t>(non=0, oui=1)</t>
    </r>
  </si>
  <si>
    <r>
      <t xml:space="preserve">Avez-vous déjà eu un cancer gynécologique (utérus ou ovaires) ? </t>
    </r>
    <r>
      <rPr>
        <b/>
        <sz val="14"/>
        <color rgb="FFFF0000"/>
        <rFont val="Calibri"/>
        <family val="2"/>
        <scheme val="minor"/>
      </rPr>
      <t>(non=0, oui=1)</t>
    </r>
  </si>
  <si>
    <r>
      <t>Avez-vous déjà eu un cancer du rein ?</t>
    </r>
    <r>
      <rPr>
        <b/>
        <sz val="14"/>
        <color rgb="FFFF0000"/>
        <rFont val="Calibri"/>
        <family val="2"/>
        <scheme val="minor"/>
      </rPr>
      <t xml:space="preserve"> (non=0, oui=1)</t>
    </r>
  </si>
  <si>
    <r>
      <t>Avez-vous déjà eu un cancer de l’estomac ?</t>
    </r>
    <r>
      <rPr>
        <b/>
        <sz val="14"/>
        <color rgb="FFFF0000"/>
        <rFont val="Calibri"/>
        <family val="2"/>
        <scheme val="minor"/>
      </rPr>
      <t xml:space="preserve"> (non=0, oui=1)</t>
    </r>
  </si>
  <si>
    <r>
      <t xml:space="preserve">Avez-vous déjà eu un cancer ORL (langue, gorge, larynx, sinus) ? </t>
    </r>
    <r>
      <rPr>
        <b/>
        <sz val="14"/>
        <color rgb="FFFF0000"/>
        <rFont val="Calibri"/>
        <family val="2"/>
        <scheme val="minor"/>
      </rPr>
      <t>(non=0, oui=1)</t>
    </r>
  </si>
  <si>
    <r>
      <t xml:space="preserve">Avez-vous déjà eu une tumeur de la vessie ou de l’uretère (appareil urinaire) ? </t>
    </r>
    <r>
      <rPr>
        <b/>
        <sz val="14"/>
        <color rgb="FFFF0000"/>
        <rFont val="Calibri"/>
        <family val="2"/>
        <scheme val="minor"/>
      </rPr>
      <t>(non=0, oui=1)</t>
    </r>
  </si>
  <si>
    <r>
      <t xml:space="preserve">Avez-vous déjà eu un anévrisme ou une artériopathie des membres inférieurs ? </t>
    </r>
    <r>
      <rPr>
        <b/>
        <sz val="14"/>
        <color rgb="FFFF0000"/>
        <rFont val="Calibri"/>
        <family val="2"/>
        <scheme val="minor"/>
      </rPr>
      <t>(non=0, oui=1)</t>
    </r>
  </si>
  <si>
    <r>
      <t xml:space="preserve">Avez-vous eu des calculs biliaires ou une ablation de la vésicule biliaire ? </t>
    </r>
    <r>
      <rPr>
        <b/>
        <sz val="14"/>
        <color rgb="FFFF0000"/>
        <rFont val="Calibri"/>
        <family val="2"/>
        <scheme val="minor"/>
      </rPr>
      <t>(non=0, oui=1)</t>
    </r>
  </si>
  <si>
    <r>
      <t xml:space="preserve">Avez-vous déjà eu un ulcère de l’estomac ou du duodénum ? </t>
    </r>
    <r>
      <rPr>
        <b/>
        <sz val="14"/>
        <color rgb="FFFF0000"/>
        <rFont val="Calibri"/>
        <family val="2"/>
        <scheme val="minor"/>
      </rPr>
      <t>(non=0, oui=1)</t>
    </r>
  </si>
  <si>
    <r>
      <t xml:space="preserve">Avez-vous déjà eu une crise cardiaque ou un AVC (accident cardiovasculaire célébral) ? </t>
    </r>
    <r>
      <rPr>
        <b/>
        <sz val="14"/>
        <color rgb="FFFF0000"/>
        <rFont val="Calibri"/>
        <family val="2"/>
        <scheme val="minor"/>
      </rPr>
      <t>(non=0, oui=1)</t>
    </r>
  </si>
  <si>
    <r>
      <t xml:space="preserve">Avez-vous des problèmes de fertilité ? </t>
    </r>
    <r>
      <rPr>
        <b/>
        <sz val="14"/>
        <color rgb="FFFF0000"/>
        <rFont val="Calibri"/>
        <family val="2"/>
        <scheme val="minor"/>
      </rPr>
      <t>(non=0, oui=1)</t>
    </r>
  </si>
  <si>
    <r>
      <t xml:space="preserve">Avez-vous eu des calculs rénaux ou des coliques néphrétiques ? </t>
    </r>
    <r>
      <rPr>
        <b/>
        <sz val="14"/>
        <color rgb="FFFF0000"/>
        <rFont val="Calibri"/>
        <family val="2"/>
        <scheme val="minor"/>
      </rPr>
      <t>(non=0, oui=1)</t>
    </r>
  </si>
  <si>
    <r>
      <t xml:space="preserve">Avez-vous déjà eu des caillots sanguins (phlébite/thrombose ou embolie pulmonaire) ou une déficience en protéine S ? </t>
    </r>
    <r>
      <rPr>
        <b/>
        <sz val="14"/>
        <color rgb="FFFF0000"/>
        <rFont val="Calibri"/>
        <family val="2"/>
        <scheme val="minor"/>
      </rPr>
      <t>(non=0, oui=1)</t>
    </r>
  </si>
  <si>
    <r>
      <t xml:space="preserve">Avez-vous une maladie inflammatoire chronique de l’intestin (maladie de Crohn, rectocolite hémorragique) ? </t>
    </r>
    <r>
      <rPr>
        <b/>
        <sz val="14"/>
        <color rgb="FFFF0000"/>
        <rFont val="Calibri"/>
        <family val="2"/>
        <scheme val="minor"/>
      </rPr>
      <t>(non=0, oui=1)</t>
    </r>
  </si>
  <si>
    <r>
      <t xml:space="preserve">Souffrez-vous d’arthrose ou de maladie rhumatismale ? </t>
    </r>
    <r>
      <rPr>
        <b/>
        <sz val="14"/>
        <color rgb="FFFF0000"/>
        <rFont val="Calibri"/>
        <family val="2"/>
        <scheme val="minor"/>
      </rPr>
      <t>(non=0, oui=1)</t>
    </r>
  </si>
  <si>
    <r>
      <t>Avez-vous déjà eu une maladie respiratoire (comme l’asthme ou la BPCO) ou des allergies respiratoires, telles qu’une pollinose (par exemple le rhume des foins) ?</t>
    </r>
    <r>
      <rPr>
        <b/>
        <sz val="14"/>
        <color rgb="FFFF0000"/>
        <rFont val="Calibri"/>
        <family val="2"/>
        <scheme val="minor"/>
      </rPr>
      <t xml:space="preserve"> (non=0, oui=1)</t>
    </r>
  </si>
  <si>
    <r>
      <t>Avez-vous déjà eu une atopie ou des allergies cutanées (par exemple aux métaux, au latex) ?</t>
    </r>
    <r>
      <rPr>
        <b/>
        <sz val="14"/>
        <color rgb="FFFF0000"/>
        <rFont val="Calibri"/>
        <family val="2"/>
        <scheme val="minor"/>
      </rPr>
      <t xml:space="preserve"> (non=0, oui=1)</t>
    </r>
  </si>
  <si>
    <r>
      <t xml:space="preserve">Avez-vous une allergie au latex ou à des aliments (par exemple kiwi, avocat, châtaigne, sarrasin) ? </t>
    </r>
    <r>
      <rPr>
        <b/>
        <sz val="14"/>
        <color rgb="FFFF0000"/>
        <rFont val="Calibri"/>
        <family val="2"/>
        <scheme val="minor"/>
      </rPr>
      <t>(non=0, oui=1)</t>
    </r>
  </si>
  <si>
    <r>
      <t>Avez-vous des varices aux jambes ?</t>
    </r>
    <r>
      <rPr>
        <b/>
        <sz val="14"/>
        <color rgb="FFFF0000"/>
        <rFont val="Calibri"/>
        <family val="2"/>
        <scheme val="minor"/>
      </rPr>
      <t xml:space="preserve"> (non=0, oui=1)</t>
    </r>
  </si>
  <si>
    <r>
      <t>Avez-vous une intolérance alimentaire (gluten ou lactose) ?</t>
    </r>
    <r>
      <rPr>
        <b/>
        <sz val="14"/>
        <color rgb="FFFF0000"/>
        <rFont val="Calibri"/>
        <family val="2"/>
        <scheme val="minor"/>
      </rPr>
      <t xml:space="preserve"> (non=0, oui=1)</t>
    </r>
  </si>
  <si>
    <r>
      <t xml:space="preserve">Avez-vous déjà eu une infection sexuellement transmissible (IST) ? </t>
    </r>
    <r>
      <rPr>
        <b/>
        <sz val="14"/>
        <color rgb="FFFF0000"/>
        <rFont val="Calibri"/>
        <family val="2"/>
        <scheme val="minor"/>
      </rPr>
      <t>(non=0, oui=1)</t>
    </r>
  </si>
  <si>
    <r>
      <t>Avez-vous déjà subi une intervention chirurgicale ?</t>
    </r>
    <r>
      <rPr>
        <b/>
        <sz val="14"/>
        <color rgb="FFFF0000"/>
        <rFont val="Calibri"/>
        <family val="2"/>
        <scheme val="minor"/>
      </rPr>
      <t xml:space="preserve"> (non=0, oui=1)</t>
    </r>
  </si>
  <si>
    <r>
      <t xml:space="preserve">Avez-vous eu un reflux gastro-œsophagien (RGO) ou une œsophagite ? </t>
    </r>
    <r>
      <rPr>
        <b/>
        <sz val="14"/>
        <color rgb="FFFF0000"/>
        <rFont val="Calibri"/>
        <family val="2"/>
        <scheme val="minor"/>
      </rPr>
      <t>(non=0, oui=1)</t>
    </r>
  </si>
  <si>
    <r>
      <t xml:space="preserve">Avez-vous eu une hépatite virale A ou B ? </t>
    </r>
    <r>
      <rPr>
        <b/>
        <sz val="14"/>
        <color rgb="FFFF0000"/>
        <rFont val="Calibri"/>
        <family val="2"/>
        <scheme val="minor"/>
      </rPr>
      <t>(non=0, oui=1)</t>
    </r>
  </si>
  <si>
    <r>
      <t xml:space="preserve">Au cours des deux dernières années, avez-vous passé un scanner thoracique ou une radiographie des poumons ? </t>
    </r>
    <r>
      <rPr>
        <b/>
        <sz val="14"/>
        <color rgb="FFFF0000"/>
        <rFont val="Calibri"/>
        <family val="2"/>
        <scheme val="minor"/>
      </rPr>
      <t>(non=0, oui=1)</t>
    </r>
  </si>
  <si>
    <r>
      <t xml:space="preserve">Au cours des deux dernières années, avez-vous passé une IRM de la prostate ? </t>
    </r>
    <r>
      <rPr>
        <b/>
        <sz val="14"/>
        <color rgb="FFFF0000"/>
        <rFont val="Calibri"/>
        <family val="2"/>
        <scheme val="minor"/>
      </rPr>
      <t>(non=0, oui=1)</t>
    </r>
  </si>
  <si>
    <r>
      <t>Au cours des deux dernières années, avez-vous effectué un dépistage du cancer du sein par mammographie ?</t>
    </r>
    <r>
      <rPr>
        <b/>
        <sz val="14"/>
        <color rgb="FFFF0000"/>
        <rFont val="Calibri"/>
        <family val="2"/>
        <scheme val="minor"/>
      </rPr>
      <t xml:space="preserve"> (non=0, oui=1)</t>
    </r>
  </si>
  <si>
    <r>
      <t xml:space="preserve">Au cours des cinq dernières années, avez-vous effectué un dépistage du cancer du col de l’utérus ou été vacciné(e) contre le HPV ? </t>
    </r>
    <r>
      <rPr>
        <b/>
        <sz val="14"/>
        <color rgb="FFFF0000"/>
        <rFont val="Calibri"/>
        <family val="2"/>
        <scheme val="minor"/>
      </rPr>
      <t>(non=0, oui=1)</t>
    </r>
  </si>
  <si>
    <r>
      <t xml:space="preserve">Au cours des deux dernières années, avez-vous réalisé une épreuve d’effort ou un scanner coronaire ? </t>
    </r>
    <r>
      <rPr>
        <b/>
        <sz val="14"/>
        <color rgb="FFFF0000"/>
        <rFont val="Calibri"/>
        <family val="2"/>
        <scheme val="minor"/>
      </rPr>
      <t>(non=0, oui=1)</t>
    </r>
  </si>
  <si>
    <r>
      <t>Au cours des deux dernières années, avez-vous passé un scanner abdominal ou une échographie abdominale ?</t>
    </r>
    <r>
      <rPr>
        <b/>
        <sz val="14"/>
        <color rgb="FFFF0000"/>
        <rFont val="Calibri"/>
        <family val="2"/>
        <scheme val="minor"/>
      </rPr>
      <t xml:space="preserve">  (non=0, oui=1)</t>
    </r>
  </si>
  <si>
    <r>
      <t xml:space="preserve">Au cours des deux dernières années, avez-vous effectué un dépistage du cancer colorectal (coloscopie ou test de sang dans les selles) ? </t>
    </r>
    <r>
      <rPr>
        <b/>
        <sz val="14"/>
        <color rgb="FFFF0000"/>
        <rFont val="Calibri"/>
        <family val="2"/>
        <scheme val="minor"/>
      </rPr>
      <t>(non=0, oui=1)</t>
    </r>
  </si>
  <si>
    <r>
      <t xml:space="preserve">Avez-vous consulté un dentiste au cours des 12 derniers mois ? </t>
    </r>
    <r>
      <rPr>
        <b/>
        <sz val="14"/>
        <color rgb="FFFF0000"/>
        <rFont val="Calibri"/>
        <family val="2"/>
        <scheme val="minor"/>
      </rPr>
      <t>(non=0, oui=1)</t>
    </r>
  </si>
  <si>
    <r>
      <t>Avez-vous réalisé une analyse de sang ou d’urine au cours des 12 derniers mois ?</t>
    </r>
    <r>
      <rPr>
        <b/>
        <sz val="14"/>
        <color rgb="FFFF0000"/>
        <rFont val="Calibri"/>
        <family val="2"/>
        <scheme val="minor"/>
      </rPr>
      <t xml:space="preserve"> (non=0, oui=1)</t>
    </r>
  </si>
  <si>
    <r>
      <t xml:space="preserve">Avez-vous été vacciné(e) contre la grippe cette année ou l’année dernière ? </t>
    </r>
    <r>
      <rPr>
        <b/>
        <sz val="14"/>
        <color rgb="FFFF0000"/>
        <rFont val="Calibri"/>
        <family val="2"/>
        <scheme val="minor"/>
      </rPr>
      <t>(non=0, oui=1)</t>
    </r>
  </si>
  <si>
    <r>
      <t xml:space="preserve">Avez-vous reçu le vaccin contre le zona ? </t>
    </r>
    <r>
      <rPr>
        <b/>
        <sz val="14"/>
        <color rgb="FFFF0000"/>
        <rFont val="Calibri"/>
        <family val="2"/>
        <scheme val="minor"/>
      </rPr>
      <t xml:space="preserve"> (oui=1, non=0, ne sais pas=2)</t>
    </r>
  </si>
  <si>
    <r>
      <t xml:space="preserve">Êtes-vous à jour dans vos vaccinations et rappels contre le tétanos (un rappel est recommandé tous les 10 ans) ?  </t>
    </r>
    <r>
      <rPr>
        <b/>
        <sz val="14"/>
        <color rgb="FFFF0000"/>
        <rFont val="Calibri"/>
        <family val="2"/>
        <scheme val="minor"/>
      </rPr>
      <t>(oui=1, non=0, ne sais pas=2</t>
    </r>
    <r>
      <rPr>
        <b/>
        <sz val="14"/>
        <rFont val="Calibri"/>
        <family val="2"/>
        <scheme val="minor"/>
      </rPr>
      <t>)</t>
    </r>
  </si>
  <si>
    <r>
      <t>Avez-vous consulté un gynécologue ou un urologue au cours des 12 derniers mois ?</t>
    </r>
    <r>
      <rPr>
        <b/>
        <sz val="14"/>
        <color rgb="FFFF0000"/>
        <rFont val="Calibri"/>
        <family val="2"/>
        <scheme val="minor"/>
      </rPr>
      <t xml:space="preserve"> (non=0, oui=1)</t>
    </r>
  </si>
  <si>
    <r>
      <t xml:space="preserve">Avez-vous été vacciné(e) contre l’hépatite B ? </t>
    </r>
    <r>
      <rPr>
        <b/>
        <sz val="14"/>
        <color rgb="FFFF0000"/>
        <rFont val="Calibri"/>
        <family val="2"/>
        <scheme val="minor"/>
      </rPr>
      <t xml:space="preserve"> (oui=1, non=0, ne sais pas=2)</t>
    </r>
  </si>
  <si>
    <r>
      <t xml:space="preserve">Etes vous vacciné contre la COVID 19 l'an dernier ? </t>
    </r>
    <r>
      <rPr>
        <b/>
        <sz val="14"/>
        <color rgb="FFFF0000"/>
        <rFont val="Calibri"/>
        <family val="2"/>
        <scheme val="minor"/>
      </rPr>
      <t xml:space="preserve"> (oui=1, non=0)</t>
    </r>
  </si>
  <si>
    <r>
      <t xml:space="preserve">Fumez-vous des cigarettes, des cigares ou la pipe ?
</t>
    </r>
    <r>
      <rPr>
        <b/>
        <sz val="14"/>
        <color rgb="FFFF0000"/>
        <rFont val="Calibri"/>
        <family val="2"/>
        <scheme val="minor"/>
      </rPr>
      <t>(Non-fumeur·se "0" // Fumeur·se actuel·le ou ancien·ne  fumeur·se depuis moins de 5 ans "1" // Ancien·ne fumeur·se depuis plus de 5 ans "0")</t>
    </r>
  </si>
  <si>
    <r>
      <t xml:space="preserve">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t>
    </r>
    <r>
      <rPr>
        <b/>
        <sz val="14"/>
        <color rgb="FFFF0000"/>
        <rFont val="Calibri"/>
        <family val="2"/>
        <scheme val="minor"/>
      </rPr>
      <t>(non=0, oui=1)</t>
    </r>
  </si>
  <si>
    <r>
      <t xml:space="preserve">Votre logement est-il humide ou affecté par des moisissures ? </t>
    </r>
    <r>
      <rPr>
        <b/>
        <sz val="14"/>
        <color rgb="FFFF0000"/>
        <rFont val="Calibri"/>
        <family val="2"/>
        <scheme val="minor"/>
      </rPr>
      <t>(non=0, oui=1)</t>
    </r>
  </si>
  <si>
    <r>
      <t xml:space="preserve">Prenez-vous de la vitamine D régulièrement ou pendant l’hiver ? </t>
    </r>
    <r>
      <rPr>
        <b/>
        <sz val="14"/>
        <color rgb="FFFF0000"/>
        <rFont val="Calibri"/>
        <family val="2"/>
        <scheme val="minor"/>
      </rPr>
      <t>(non=0, oui=1)</t>
    </r>
  </si>
  <si>
    <r>
      <t>Suivez-vous un régime végan ? (Exclut tous les produits d’origine animale : pas de viande, poisson, produits laitiers, œufs, ni miel)</t>
    </r>
    <r>
      <rPr>
        <b/>
        <sz val="14"/>
        <color rgb="FFFF0000"/>
        <rFont val="Calibri"/>
        <family val="2"/>
        <scheme val="minor"/>
      </rPr>
      <t xml:space="preserve"> (non=0, oui=1)</t>
    </r>
  </si>
  <si>
    <r>
      <t>Avez-vous la peau très claire qui bronze difficilement ou qui présente facilement des taches de rousseur ?</t>
    </r>
    <r>
      <rPr>
        <b/>
        <sz val="14"/>
        <color rgb="FFFF0000"/>
        <rFont val="Calibri"/>
        <family val="2"/>
        <scheme val="minor"/>
      </rPr>
      <t xml:space="preserve"> (non=0, oui=1)</t>
    </r>
  </si>
  <si>
    <r>
      <t xml:space="preserve">Avez-vous déjà eu des coups de soleil sévères avec cloques douloureuses ? </t>
    </r>
    <r>
      <rPr>
        <b/>
        <sz val="14"/>
        <color rgb="FFFF0000"/>
        <rFont val="Calibri"/>
        <family val="2"/>
        <scheme val="minor"/>
      </rPr>
      <t>(non=0, oui=1)</t>
    </r>
  </si>
  <si>
    <r>
      <t>Avez-vous plus de 20 grains de beauté au total sur les bras ?</t>
    </r>
    <r>
      <rPr>
        <b/>
        <sz val="14"/>
        <color rgb="FFFF0000"/>
        <rFont val="Calibri"/>
        <family val="2"/>
        <scheme val="minor"/>
      </rPr>
      <t xml:space="preserve"> (non=0, oui=1)</t>
    </r>
  </si>
  <si>
    <r>
      <t xml:space="preserve">Avez-vous vécu plus d’un an dans un pays fortement ensoleillé ? (ex. : Afrique, Moyen-Orient, DOM-TOM, sud des États-Unis, Australie, etc.) </t>
    </r>
    <r>
      <rPr>
        <b/>
        <sz val="14"/>
        <color rgb="FFFF0000"/>
        <rFont val="Calibri"/>
        <family val="2"/>
        <scheme val="minor"/>
      </rPr>
      <t>(non=0, oui=1)</t>
    </r>
  </si>
  <si>
    <r>
      <t>Votre partenaire sexuel·le a-t-il/elle été diagnostiqué·e avec une infection sexuellement transmissible (par exemple : VIH, chlamydia, gonorrhée, syphilis) au cours des 12 derniers mois ?</t>
    </r>
    <r>
      <rPr>
        <b/>
        <sz val="14"/>
        <color rgb="FFFF0000"/>
        <rFont val="Calibri"/>
        <family val="2"/>
        <scheme val="minor"/>
      </rPr>
      <t xml:space="preserve"> (non=0, oui=1)</t>
    </r>
  </si>
  <si>
    <r>
      <t xml:space="preserve">Avez-vous eu plus d’un·e partenaire sexuel·le au cours des 12 derniers mois ? </t>
    </r>
    <r>
      <rPr>
        <b/>
        <sz val="14"/>
        <color rgb="FFFF0000"/>
        <rFont val="Calibri"/>
        <family val="2"/>
        <scheme val="minor"/>
      </rPr>
      <t>(non=0, oui=1)</t>
    </r>
  </si>
  <si>
    <r>
      <t>Souhaitez-vous aborder votre sexualité ?</t>
    </r>
    <r>
      <rPr>
        <b/>
        <sz val="14"/>
        <color rgb="FFFF0000"/>
        <rFont val="Calibri"/>
        <family val="2"/>
        <scheme val="minor"/>
      </rPr>
      <t xml:space="preserve"> (non=0, oui=1)</t>
    </r>
  </si>
  <si>
    <r>
      <t>Au cours des 12 derniers mois, avez-vous misé de l’argent dans des jeux d’argent (par ex. : loto, poker, paris sportifs, courses hippiques) ?</t>
    </r>
    <r>
      <rPr>
        <b/>
        <sz val="14"/>
        <color rgb="FFFF0000"/>
        <rFont val="Calibri"/>
        <family val="2"/>
        <scheme val="minor"/>
      </rPr>
      <t xml:space="preserve"> (non=0, oui=1)</t>
    </r>
  </si>
  <si>
    <r>
      <t>Au cours des 12 derniers mois, avez-vous consommé des substances récréatives telles que du cannabis (haschisch, marijuana, weed, joints) ou d’autres drogues (par ex. : ecstasy, cocaïne, héroïne) ?</t>
    </r>
    <r>
      <rPr>
        <b/>
        <sz val="14"/>
        <color rgb="FFFF0000"/>
        <rFont val="Calibri"/>
        <family val="2"/>
        <scheme val="minor"/>
      </rPr>
      <t xml:space="preserve"> (non=0, oui=1)</t>
    </r>
  </si>
  <si>
    <r>
      <t xml:space="preserve">Consommez-vous régulièrement au moins cinq portions de fruits et légumes par jour ? (Exemples : 1 tomate, 1 poignée de haricots verts, 1 bol de soupe, 2 abricots, 5 fraises) </t>
    </r>
    <r>
      <rPr>
        <b/>
        <sz val="14"/>
        <color rgb="FFFF0000"/>
        <rFont val="Calibri"/>
        <family val="2"/>
        <scheme val="minor"/>
      </rPr>
      <t>(non=0, oui=1)</t>
    </r>
  </si>
  <si>
    <r>
      <t xml:space="preserve">Pratiquez-vous une activité physique (par ex. : sport, marche rapide) pendant plus de 30 minutes, plus de deux fois par semaine, ou bien marchez-vous en moyenne plus de 8 000 pas par jour ? </t>
    </r>
    <r>
      <rPr>
        <b/>
        <sz val="14"/>
        <color rgb="FFFF0000"/>
        <rFont val="Calibri"/>
        <family val="2"/>
        <scheme val="minor"/>
      </rPr>
      <t>(non=0, oui=1)</t>
    </r>
  </si>
  <si>
    <r>
      <t xml:space="preserve">Consommez-vous régulièrement plus d’un demi verre de vin ou plus de deux bières par jour ? </t>
    </r>
    <r>
      <rPr>
        <b/>
        <sz val="14"/>
        <color rgb="FFFF0000"/>
        <rFont val="Calibri"/>
        <family val="2"/>
        <scheme val="minor"/>
      </rPr>
      <t>(non=0, oui=1)</t>
    </r>
  </si>
  <si>
    <r>
      <t xml:space="preserve">Suivez-vous actuellement un traitement médical, y compris des compléments alimentaires, des médicaments en vente libre ou des remèdes à base de plantes ? </t>
    </r>
    <r>
      <rPr>
        <b/>
        <sz val="14"/>
        <color rgb="FFFF0000"/>
        <rFont val="Calibri"/>
        <family val="2"/>
        <scheme val="minor"/>
      </rPr>
      <t>(non=0, oui=1)</t>
    </r>
  </si>
  <si>
    <r>
      <t xml:space="preserve">Prenez-vous un traitement pour le diabète ? </t>
    </r>
    <r>
      <rPr>
        <b/>
        <sz val="14"/>
        <color rgb="FFFF0000"/>
        <rFont val="Calibri"/>
        <family val="2"/>
        <scheme val="minor"/>
      </rPr>
      <t>(non=0, oui=1)</t>
    </r>
  </si>
  <si>
    <r>
      <t xml:space="preserve">Prenez-vous un traitement pour faire baisser votre cholestérol ? </t>
    </r>
    <r>
      <rPr>
        <b/>
        <sz val="14"/>
        <color rgb="FFFF0000"/>
        <rFont val="Calibri"/>
        <family val="2"/>
        <scheme val="minor"/>
      </rPr>
      <t>(non=0, oui=1)</t>
    </r>
  </si>
  <si>
    <r>
      <t>Prenez-vous un traitement pour prévenir les caillots sanguins (par exemple : aspirine, anticoagulants) ?</t>
    </r>
    <r>
      <rPr>
        <b/>
        <sz val="14"/>
        <color rgb="FFFF0000"/>
        <rFont val="Calibri"/>
        <family val="2"/>
        <scheme val="minor"/>
      </rPr>
      <t xml:space="preserve"> (non=0, oui=1)</t>
    </r>
  </si>
  <si>
    <r>
      <t xml:space="preserve">Prenez-vous un traitement pour faire baisser votre tension artérielle ? </t>
    </r>
    <r>
      <rPr>
        <b/>
        <sz val="14"/>
        <color rgb="FFFF0000"/>
        <rFont val="Calibri"/>
        <family val="2"/>
        <scheme val="minor"/>
      </rPr>
      <t>(non=0, oui=1)</t>
    </r>
  </si>
  <si>
    <r>
      <t>Prenez-vous un traitement pour améliorer les troubles de l’érection (inhibiteurs de la PDE5) ?</t>
    </r>
    <r>
      <rPr>
        <b/>
        <sz val="14"/>
        <color rgb="FFFF0000"/>
        <rFont val="Calibri"/>
        <family val="2"/>
        <scheme val="minor"/>
      </rPr>
      <t xml:space="preserve"> (non=0, oui=1)</t>
    </r>
  </si>
  <si>
    <r>
      <t>Utilisez-vous une contraception hormonale (par exemple : pilule contraceptive) ?</t>
    </r>
    <r>
      <rPr>
        <b/>
        <sz val="14"/>
        <color rgb="FFFF0000"/>
        <rFont val="Calibri"/>
        <family val="2"/>
        <scheme val="minor"/>
      </rPr>
      <t xml:space="preserve"> (non=0, oui=1)</t>
    </r>
  </si>
  <si>
    <r>
      <t xml:space="preserve">Prenez-vous un traitement hormonal substitutif pour la ménopause ou l’andropause ? </t>
    </r>
    <r>
      <rPr>
        <b/>
        <sz val="14"/>
        <color rgb="FFFF0000"/>
        <rFont val="Calibri"/>
        <family val="2"/>
        <scheme val="minor"/>
      </rPr>
      <t>(non=0, oui=1)</t>
    </r>
  </si>
  <si>
    <r>
      <t>Prenez-vous l’un des médicaments suivants : Dutastéride ou Finastéride (5-ARI) ?</t>
    </r>
    <r>
      <rPr>
        <b/>
        <sz val="14"/>
        <color rgb="FFFF0000"/>
        <rFont val="Calibri"/>
        <family val="2"/>
        <scheme val="minor"/>
      </rPr>
      <t xml:space="preserve"> (non=0, oui=1)</t>
    </r>
  </si>
  <si>
    <r>
      <t xml:space="preserve">Avez-vous un parent (mère, père, sœur, frère) qui a eu une dégénérescence maculaire liée à l'âge ? </t>
    </r>
    <r>
      <rPr>
        <b/>
        <sz val="14"/>
        <color rgb="FFFF0000"/>
        <rFont val="Calibri"/>
        <family val="2"/>
        <scheme val="minor"/>
      </rPr>
      <t>(non=0, oui=1, ne sais pas=2)</t>
    </r>
  </si>
  <si>
    <r>
      <t xml:space="preserve">Avez-vous un parent (mère, père, sœur, frère) qui a eu une dépression  grave (traitement psychiatrique) ? </t>
    </r>
    <r>
      <rPr>
        <b/>
        <sz val="14"/>
        <color rgb="FFFF0000"/>
        <rFont val="Calibri"/>
        <family val="2"/>
        <scheme val="minor"/>
      </rPr>
      <t>(non=0, oui=1, ne sais pas=2)</t>
    </r>
  </si>
  <si>
    <r>
      <t xml:space="preserve">Avez-vous un parent (mère, père, sœur, frère) qui a eu un rhumatisme inflamatoire (polyarthrite ou spondylarthrite) ?  </t>
    </r>
    <r>
      <rPr>
        <b/>
        <sz val="14"/>
        <color rgb="FFFF0000"/>
        <rFont val="Calibri"/>
        <family val="2"/>
        <scheme val="minor"/>
      </rPr>
      <t>(non=0, oui=1, ne sais pas=2)</t>
    </r>
  </si>
  <si>
    <r>
      <t xml:space="preserve">Un membre de votre famille proche (mère, père, sœur, frère biologiques) a-t-il eu une maladie respiratoire (comme l’asthme ou la BPCO) ou des allergies respiratoires, telles qu’une pollinose (par exemple le rhume des foins) ?  </t>
    </r>
    <r>
      <rPr>
        <b/>
        <sz val="14"/>
        <color rgb="FFFF0000"/>
        <rFont val="Calibri"/>
        <family val="2"/>
        <scheme val="minor"/>
      </rPr>
      <t>(non=0, oui=1, ne sais pas=2)</t>
    </r>
  </si>
  <si>
    <r>
      <t xml:space="preserve">Avez-vous une mère ou sœur, frère) qui a eu une endometriose ou un syndrome des ovaires polykystiques ?  </t>
    </r>
    <r>
      <rPr>
        <b/>
        <sz val="14"/>
        <color rgb="FFFF0000"/>
        <rFont val="Calibri"/>
        <family val="2"/>
        <scheme val="minor"/>
      </rPr>
      <t>(non=0, oui=1, ne sais pas=2)</t>
    </r>
  </si>
  <si>
    <r>
      <t xml:space="preserve">Avez-vous un parent (mère, père, sœur, frère) qui a eu une une dyslipidémie (cholestérol ou triglycérides) ?  </t>
    </r>
    <r>
      <rPr>
        <b/>
        <sz val="14"/>
        <color rgb="FFFF0000"/>
        <rFont val="Calibri"/>
        <family val="2"/>
        <scheme val="minor"/>
      </rPr>
      <t>(non=0, oui=1, ne sais pas=2)</t>
    </r>
  </si>
  <si>
    <r>
      <t xml:space="preserve">Avez-vous un parent (mère, père, sœur, frère) qui a eu un diabète avant 70 ans ? </t>
    </r>
    <r>
      <rPr>
        <b/>
        <sz val="14"/>
        <color rgb="FFFF0000"/>
        <rFont val="Calibri"/>
        <family val="2"/>
        <scheme val="minor"/>
      </rPr>
      <t xml:space="preserve"> (non=0, oui=1, ne sais pas=2)</t>
    </r>
  </si>
  <si>
    <r>
      <t xml:space="preserve">Avez-vous un parent (mère, père, sœur, frère) qui a eu une phlébite ou une embolie pulmonaire ? </t>
    </r>
    <r>
      <rPr>
        <b/>
        <sz val="14"/>
        <color rgb="FFFF0000"/>
        <rFont val="Calibri"/>
        <family val="2"/>
        <scheme val="minor"/>
      </rPr>
      <t xml:space="preserve"> (non=0, oui=1, ne sais pas=2)</t>
    </r>
  </si>
  <si>
    <r>
      <t xml:space="preserve">Avez-vous un parent (mère, père, sœur, frère) qui a eu un ou des calcul(s) urinaires ? </t>
    </r>
    <r>
      <rPr>
        <b/>
        <sz val="14"/>
        <color rgb="FFFF0000"/>
        <rFont val="Calibri"/>
        <family val="2"/>
        <scheme val="minor"/>
      </rPr>
      <t xml:space="preserve"> (non=0, oui=1, ne sais pas=2)</t>
    </r>
  </si>
  <si>
    <r>
      <t xml:space="preserve">Avez-vous un parent (mère, père, sœur, frère) qui a eu des troubles du rythme cardiaque (arythmie) ?  </t>
    </r>
    <r>
      <rPr>
        <b/>
        <sz val="14"/>
        <color rgb="FFFF0000"/>
        <rFont val="Calibri"/>
        <family val="2"/>
        <scheme val="minor"/>
      </rPr>
      <t>(non=0, oui=1, ne sais pas=2)</t>
    </r>
  </si>
  <si>
    <r>
      <t xml:space="preserve">Avez-vous un parent (mère, père, sœur, frère) qui a eu un infarctus ou un accident vasculaire avant 75 ans ?  </t>
    </r>
    <r>
      <rPr>
        <b/>
        <sz val="14"/>
        <color rgb="FFFF0000"/>
        <rFont val="Calibri"/>
        <family val="2"/>
        <scheme val="minor"/>
      </rPr>
      <t>(non=0, oui=1, ne sais pas=2)</t>
    </r>
  </si>
  <si>
    <r>
      <t xml:space="preserve">Avez-vous un parent (mère, père, sœur, frère) qui a eu un ou des calcul(s) de la vésicule biliaire ou une ablation de la vésicule biliaire ? </t>
    </r>
    <r>
      <rPr>
        <b/>
        <sz val="14"/>
        <color rgb="FFFF0000"/>
        <rFont val="Calibri"/>
        <family val="2"/>
        <scheme val="minor"/>
      </rPr>
      <t xml:space="preserve">  (non=0, oui=1, ne sais pas=2)</t>
    </r>
  </si>
  <si>
    <r>
      <t xml:space="preserve">Combien de soeur(s) ou frére(s) ont eu un cancer du colon ? </t>
    </r>
    <r>
      <rPr>
        <b/>
        <sz val="14"/>
        <color rgb="FFFF0000"/>
        <rFont val="Calibri"/>
        <family val="2"/>
        <scheme val="minor"/>
      </rPr>
      <t>(0=0, 1=1, 2=2ou plus)</t>
    </r>
  </si>
  <si>
    <r>
      <t xml:space="preserve">Combien de soeur(s) ou frére(s) ont eu un cancer du rein ? </t>
    </r>
    <r>
      <rPr>
        <b/>
        <sz val="14"/>
        <color rgb="FFFF0000"/>
        <rFont val="Calibri"/>
        <family val="2"/>
        <scheme val="minor"/>
      </rPr>
      <t>(0=0, 1=1, 2=2ou plus)</t>
    </r>
  </si>
  <si>
    <r>
      <t xml:space="preserve">Combien de soeur(s) ou frére(s) ont eu un mélanome ? </t>
    </r>
    <r>
      <rPr>
        <b/>
        <sz val="14"/>
        <color rgb="FFFF0000"/>
        <rFont val="Calibri"/>
        <family val="2"/>
        <scheme val="minor"/>
      </rPr>
      <t>(0=0, 1=1, 2=2ou plus)</t>
    </r>
  </si>
  <si>
    <r>
      <t>Combien de soeur(s) ou frére(s) ont eu un cancer du sein ou de sœurs un cancer de l'ovaire ou de l'utérus ?</t>
    </r>
    <r>
      <rPr>
        <b/>
        <sz val="14"/>
        <color rgb="FFFF0000"/>
        <rFont val="Calibri"/>
        <family val="2"/>
        <scheme val="minor"/>
      </rPr>
      <t xml:space="preserve"> (0=0, 1=1, 2=2ou plus)</t>
    </r>
  </si>
  <si>
    <r>
      <t xml:space="preserve">Combien de frére(s) ont eu un cancer de la prostate ? </t>
    </r>
    <r>
      <rPr>
        <b/>
        <sz val="14"/>
        <color rgb="FFFF0000"/>
        <rFont val="Calibri"/>
        <family val="2"/>
        <scheme val="minor"/>
      </rPr>
      <t>(0=0, 1=1, 2=2ou plus)</t>
    </r>
  </si>
  <si>
    <r>
      <t>Combien de fréres et sœurs ont eu un cancer ?</t>
    </r>
    <r>
      <rPr>
        <b/>
        <sz val="14"/>
        <color rgb="FFFF0000"/>
        <rFont val="Calibri"/>
        <family val="2"/>
        <scheme val="minor"/>
      </rPr>
      <t xml:space="preserve">  (0=0, 1=1, 2=2ou plus)</t>
    </r>
  </si>
  <si>
    <r>
      <t xml:space="preserve">Combien de fréres et sœurs de plus de 35 ans avez-vous ? </t>
    </r>
    <r>
      <rPr>
        <b/>
        <sz val="14"/>
        <color rgb="FFFF0000"/>
        <rFont val="Calibri"/>
        <family val="2"/>
        <scheme val="minor"/>
      </rPr>
      <t>(0=0, 1=1, 2=2ou plus)</t>
    </r>
  </si>
  <si>
    <r>
      <t xml:space="preserve">Votre père ou votre mére ont-ils eu un cancer du rein avant l'âge de 50 ans ? </t>
    </r>
    <r>
      <rPr>
        <b/>
        <sz val="14"/>
        <color rgb="FFFF0000"/>
        <rFont val="Calibri"/>
        <family val="2"/>
        <scheme val="minor"/>
      </rPr>
      <t xml:space="preserve"> (non=0, oui=1)</t>
    </r>
  </si>
  <si>
    <r>
      <t xml:space="preserve">Votre mére a-t-elle eu un cancer du sein, de l'utérus ou des ovaires avant l'âge de 50 ans ? </t>
    </r>
    <r>
      <rPr>
        <b/>
        <sz val="14"/>
        <color rgb="FFFF0000"/>
        <rFont val="Calibri"/>
        <family val="2"/>
        <scheme val="minor"/>
      </rPr>
      <t xml:space="preserve"> (non=0, oui=1)</t>
    </r>
  </si>
  <si>
    <r>
      <t>Votre père ou votre mère  ont-il eu un mélanome ?</t>
    </r>
    <r>
      <rPr>
        <b/>
        <sz val="14"/>
        <color rgb="FFFF0000"/>
        <rFont val="Calibri"/>
        <family val="2"/>
        <scheme val="minor"/>
      </rPr>
      <t xml:space="preserve"> (non=0, oui=1)</t>
    </r>
  </si>
  <si>
    <r>
      <t>Votre père ou votre mère  ont-il eu un cancer du colon avant l'âge de 70 ans ?</t>
    </r>
    <r>
      <rPr>
        <b/>
        <sz val="14"/>
        <color rgb="FFFF0000"/>
        <rFont val="Calibri"/>
        <family val="2"/>
        <scheme val="minor"/>
      </rPr>
      <t xml:space="preserve"> (non=0, oui=1)</t>
    </r>
  </si>
  <si>
    <r>
      <t xml:space="preserve">Votre père a-t-il eu un cancer de la prostate avant l'âge de 70 ans ? </t>
    </r>
    <r>
      <rPr>
        <b/>
        <sz val="14"/>
        <color rgb="FFFF0000"/>
        <rFont val="Calibri"/>
        <family val="2"/>
        <scheme val="minor"/>
      </rPr>
      <t>(non=0, oui=1)</t>
    </r>
  </si>
  <si>
    <r>
      <t xml:space="preserve">Votre père  il eu un cancer ? </t>
    </r>
    <r>
      <rPr>
        <b/>
        <sz val="14"/>
        <color rgb="FFFF0000"/>
        <rFont val="Calibri"/>
        <family val="2"/>
        <scheme val="minor"/>
      </rPr>
      <t>(non=0, oui=1, ne sais pas=2)</t>
    </r>
  </si>
  <si>
    <r>
      <t xml:space="preserve">Votre mère a t elle eu un cancer ? </t>
    </r>
    <r>
      <rPr>
        <b/>
        <sz val="14"/>
        <color rgb="FFFF0000"/>
        <rFont val="Calibri"/>
        <family val="2"/>
        <scheme val="minor"/>
      </rPr>
      <t>(non=0, oui=1, ne sais pas=2)</t>
    </r>
  </si>
  <si>
    <r>
      <t xml:space="preserve">Prenez-vous un traitement pour un trouble de la thyroïde ? </t>
    </r>
    <r>
      <rPr>
        <b/>
        <sz val="14"/>
        <color rgb="FFFF0000"/>
        <rFont val="Calibri"/>
        <family val="2"/>
        <scheme val="minor"/>
      </rPr>
      <t>(non=0, oui=1)</t>
    </r>
  </si>
  <si>
    <r>
      <t xml:space="preserve">Avez-vous suivi un traitement par corticoïdes pendant plus de trois mois ? </t>
    </r>
    <r>
      <rPr>
        <b/>
        <sz val="14"/>
        <color rgb="FFFF0000"/>
        <rFont val="Calibri"/>
        <family val="2"/>
        <scheme val="minor"/>
      </rPr>
      <t>(non=0, oui=1)</t>
    </r>
  </si>
  <si>
    <r>
      <t>Prenez-vous un traitement contre l’anxiété ou la dépression ?</t>
    </r>
    <r>
      <rPr>
        <b/>
        <sz val="14"/>
        <color rgb="FFFF0000"/>
        <rFont val="Calibri"/>
        <family val="2"/>
        <scheme val="minor"/>
      </rPr>
      <t xml:space="preserve"> (non=0, oui=1)</t>
    </r>
  </si>
  <si>
    <r>
      <t xml:space="preserve">Prenez-vous un traitement qui diminue l’activité du système immunitaire (dans le cas de maladies auto-immunes ou de transplantation d’organe) ? </t>
    </r>
    <r>
      <rPr>
        <b/>
        <sz val="14"/>
        <color rgb="FFFF0000"/>
        <rFont val="Calibri"/>
        <family val="2"/>
        <scheme val="minor"/>
      </rPr>
      <t>(non=0, oui=1)</t>
    </r>
  </si>
  <si>
    <r>
      <t>Prenez-vous un traitement pour les troubles du rythme cardiaque (arythmie) ?</t>
    </r>
    <r>
      <rPr>
        <b/>
        <sz val="14"/>
        <color rgb="FFFF0000"/>
        <rFont val="Calibri"/>
        <family val="2"/>
        <scheme val="minor"/>
      </rPr>
      <t xml:space="preserve"> (non=0, oui=1)</t>
    </r>
  </si>
  <si>
    <r>
      <t xml:space="preserve">Combien d'heures en moyenne dormez vous : </t>
    </r>
    <r>
      <rPr>
        <b/>
        <sz val="14"/>
        <color rgb="FFFF0000"/>
        <rFont val="Calibri"/>
        <family val="2"/>
        <scheme val="minor"/>
      </rPr>
      <t>0- 10h ou plus par nuit
1- Entre 6h et 10h par nuit
2-  Moins de 6h par nuit</t>
    </r>
  </si>
  <si>
    <r>
      <t xml:space="preserve">Vous endormez-vous facilement devant la télévision ou lors d’un spectacle ? </t>
    </r>
    <r>
      <rPr>
        <b/>
        <sz val="14"/>
        <color rgb="FFFF0000"/>
        <rFont val="Calibri"/>
        <family val="2"/>
        <scheme val="minor"/>
      </rPr>
      <t>(non=0, oui=1)</t>
    </r>
  </si>
  <si>
    <r>
      <t xml:space="preserve">Avez-vous tendance à somnoler dans la journée, même pendant des activités quotidiennes ? </t>
    </r>
    <r>
      <rPr>
        <b/>
        <sz val="14"/>
        <color rgb="FFFF0000"/>
        <rFont val="Calibri"/>
        <family val="2"/>
        <scheme val="minor"/>
      </rPr>
      <t xml:space="preserve"> (non=0, oui=1)</t>
    </r>
  </si>
  <si>
    <r>
      <t xml:space="preserve">Vous sentiez-vous fatigué·e ou sans énergie au réveil ? </t>
    </r>
    <r>
      <rPr>
        <b/>
        <sz val="14"/>
        <color rgb="FFFF0000"/>
        <rFont val="Calibri"/>
        <family val="2"/>
        <scheme val="minor"/>
      </rPr>
      <t>(non=0, oui=1)</t>
    </r>
  </si>
  <si>
    <r>
      <t xml:space="preserve">Avez-vous tendance à ronfler ? </t>
    </r>
    <r>
      <rPr>
        <b/>
        <sz val="14"/>
        <color rgb="FFFF0000"/>
        <rFont val="Calibri"/>
        <family val="2"/>
        <scheme val="minor"/>
      </rPr>
      <t xml:space="preserve"> (non=0, oui=1)</t>
    </r>
  </si>
  <si>
    <r>
      <t xml:space="preserve">Vous réveillez-vous fréquemment ou avez-vous un sommeil agité ?  </t>
    </r>
    <r>
      <rPr>
        <b/>
        <sz val="14"/>
        <color rgb="FFFF0000"/>
        <rFont val="Calibri"/>
        <family val="2"/>
        <scheme val="minor"/>
      </rPr>
      <t>(non=0, oui=1)</t>
    </r>
  </si>
  <si>
    <r>
      <t xml:space="preserve">Vous endormez-vous souvent après le dîner ?  </t>
    </r>
    <r>
      <rPr>
        <b/>
        <sz val="14"/>
        <color rgb="FFFF0000"/>
        <rFont val="Calibri"/>
        <family val="2"/>
        <scheme val="minor"/>
      </rPr>
      <t>(non=0, oui=1)</t>
    </r>
  </si>
  <si>
    <r>
      <t xml:space="preserve">Prenez-vous régulièrement (plusieurs fois par semaine) des somnifères ?  </t>
    </r>
    <r>
      <rPr>
        <b/>
        <sz val="14"/>
        <color rgb="FFFF0000"/>
        <rFont val="Calibri"/>
        <family val="2"/>
        <scheme val="minor"/>
      </rPr>
      <t>(non=0, oui=1)</t>
    </r>
  </si>
  <si>
    <r>
      <t xml:space="preserve">Diriez-vous que vous avez des troubles du sommeil ? </t>
    </r>
    <r>
      <rPr>
        <b/>
        <sz val="14"/>
        <color rgb="FFFF0000"/>
        <rFont val="Calibri"/>
        <family val="2"/>
        <scheme val="minor"/>
      </rPr>
      <t xml:space="preserve"> (non=0, oui=1)</t>
    </r>
  </si>
  <si>
    <r>
      <t xml:space="preserve">Votre poids a-t-il changé (perte ou prise de poids) au cours des six derniers mois ?  </t>
    </r>
    <r>
      <rPr>
        <b/>
        <sz val="14"/>
        <color rgb="FFFF0000"/>
        <rFont val="Calibri"/>
        <family val="2"/>
        <scheme val="minor"/>
      </rPr>
      <t>(non=0, oui=1)</t>
    </r>
  </si>
  <si>
    <r>
      <t xml:space="preserve">Devez-vous vous arrêter parce que vous êtes essoufflé(e) lorsque vous montez trois étages ou moins ?  </t>
    </r>
    <r>
      <rPr>
        <b/>
        <sz val="14"/>
        <color rgb="FFFF0000"/>
        <rFont val="Calibri"/>
        <family val="2"/>
        <scheme val="minor"/>
      </rPr>
      <t>(non=0, oui=1)</t>
    </r>
  </si>
  <si>
    <r>
      <t xml:space="preserve">Toussez-vous souvent (tous les jours) ? </t>
    </r>
    <r>
      <rPr>
        <b/>
        <sz val="14"/>
        <color rgb="FFFF0000"/>
        <rFont val="Calibri"/>
        <family val="2"/>
        <scheme val="minor"/>
      </rPr>
      <t xml:space="preserve"> (non=0, oui=1)</t>
    </r>
  </si>
  <si>
    <r>
      <t xml:space="preserve">Avez-vous l’impression de voir moins bien (difficultés pour lire, pour voir de loin…) ?  </t>
    </r>
    <r>
      <rPr>
        <b/>
        <sz val="14"/>
        <color rgb="FFFF0000"/>
        <rFont val="Calibri"/>
        <family val="2"/>
        <scheme val="minor"/>
      </rPr>
      <t>(non=0, oui=1)</t>
    </r>
  </si>
  <si>
    <r>
      <t xml:space="preserve">Avez-vous l’impression que votre audition s’est détériorée et/ou votre entourage a-t-il remarqué une baisse de votre audition ?  </t>
    </r>
    <r>
      <rPr>
        <b/>
        <sz val="14"/>
        <color rgb="FFFF0000"/>
        <rFont val="Calibri"/>
        <family val="2"/>
        <scheme val="minor"/>
      </rPr>
      <t>(non=0, oui=1)</t>
    </r>
  </si>
  <si>
    <r>
      <t xml:space="preserve">Avez-vous des bouffées de chaleur ou des sueurs nocturnes ? </t>
    </r>
    <r>
      <rPr>
        <b/>
        <sz val="14"/>
        <color rgb="FFFF0000"/>
        <rFont val="Calibri"/>
        <family val="2"/>
        <scheme val="minor"/>
      </rPr>
      <t xml:space="preserve"> (non=0, oui=1)</t>
    </r>
  </si>
  <si>
    <r>
      <t xml:space="preserve">Avez-vous l’impression d’oublier des choses ? </t>
    </r>
    <r>
      <rPr>
        <b/>
        <sz val="14"/>
        <color rgb="FFFF0000"/>
        <rFont val="Calibri"/>
        <family val="2"/>
        <scheme val="minor"/>
      </rPr>
      <t xml:space="preserve"> (non=0, oui=1)</t>
    </r>
  </si>
  <si>
    <r>
      <t xml:space="preserve">Avez-vous remarqué un gonflement important ou inhabituel des chevilles ou des jambes ? </t>
    </r>
    <r>
      <rPr>
        <b/>
        <sz val="14"/>
        <color rgb="FFFF0000"/>
        <rFont val="Calibri"/>
        <family val="2"/>
        <scheme val="minor"/>
      </rPr>
      <t xml:space="preserve"> (non=0, oui=1)</t>
    </r>
  </si>
  <si>
    <r>
      <t xml:space="preserve">Au cours des 12 derniers mois, avez-vous eu des douleurs, raideurs ou gênes au niveau du cou, du dos, des épaules ou des mains qui affectent votre vie quotidienne ?  </t>
    </r>
    <r>
      <rPr>
        <b/>
        <sz val="14"/>
        <color rgb="FFFF0000"/>
        <rFont val="Calibri"/>
        <family val="2"/>
        <scheme val="minor"/>
      </rPr>
      <t>(non=0, oui=1)</t>
    </r>
  </si>
  <si>
    <r>
      <t xml:space="preserve">Ressentez-vous parfois des douleurs dans la poitrine notamment à l'effort ? </t>
    </r>
    <r>
      <rPr>
        <b/>
        <sz val="14"/>
        <color rgb="FFFF0000"/>
        <rFont val="Calibri"/>
        <family val="2"/>
        <scheme val="minor"/>
      </rPr>
      <t xml:space="preserve"> (non=0, oui=1)</t>
    </r>
  </si>
  <si>
    <r>
      <t xml:space="preserve">Avez-vous des douleurs importantes dans le bas-ventre ou la région génitale ?  </t>
    </r>
    <r>
      <rPr>
        <b/>
        <sz val="14"/>
        <color rgb="FFFF0000"/>
        <rFont val="Calibri"/>
        <family val="2"/>
        <scheme val="minor"/>
      </rPr>
      <t>(non=0, oui=1)</t>
    </r>
  </si>
  <si>
    <r>
      <t xml:space="preserve">Souffrez-vous régulièrement de constipation (depuis plus de six mois) ?  </t>
    </r>
    <r>
      <rPr>
        <b/>
        <sz val="14"/>
        <color rgb="FFFF0000"/>
        <rFont val="Calibri"/>
        <family val="2"/>
        <scheme val="minor"/>
      </rPr>
      <t>(non=0, oui=1)</t>
    </r>
  </si>
  <si>
    <r>
      <t xml:space="preserve">Avez-vous des diarrhées, des selles molles ou glaireuses plusieurs fois par semaine, ou d’autres modifications des selles comme la présence de sang ?  </t>
    </r>
    <r>
      <rPr>
        <b/>
        <sz val="14"/>
        <color rgb="FFFF0000"/>
        <rFont val="Calibri"/>
        <family val="2"/>
        <scheme val="minor"/>
      </rPr>
      <t>(non=0, oui=1)</t>
    </r>
  </si>
  <si>
    <r>
      <t xml:space="preserve">Vous sentez-vous chroniquement fatigué(e) tout au long de la journée (depuis plus de six mois) sans effort particulier ?  </t>
    </r>
    <r>
      <rPr>
        <b/>
        <sz val="14"/>
        <color rgb="FFFF0000"/>
        <rFont val="Calibri"/>
        <family val="2"/>
        <scheme val="minor"/>
      </rPr>
      <t>(non=0, oui=1)</t>
    </r>
  </si>
  <si>
    <r>
      <t xml:space="preserve">Avez-vous régulièrement une sensation de fièvre de fébrilité, surtout le soir, pendant une période prolongée (plus de six semaines consécutives) ? </t>
    </r>
    <r>
      <rPr>
        <b/>
        <sz val="14"/>
        <color rgb="FFFF0000"/>
        <rFont val="Calibri"/>
        <family val="2"/>
        <scheme val="minor"/>
      </rPr>
      <t xml:space="preserve"> (non=0, oui=1)</t>
    </r>
  </si>
  <si>
    <r>
      <t xml:space="preserve">Avez-vous des tremblements des mains au repos ou lors de gestes précis ? </t>
    </r>
    <r>
      <rPr>
        <b/>
        <sz val="14"/>
        <color rgb="FFFF0000"/>
        <rFont val="Calibri"/>
        <family val="2"/>
        <scheme val="minor"/>
      </rPr>
      <t xml:space="preserve"> (non=0, oui=1)</t>
    </r>
  </si>
  <si>
    <r>
      <t xml:space="preserve">Avez-vous des douleurs dans la partie supérieure de l’abdomen (région épigastrique) ou une sensation de brûlure remontant vers la poitrine ? </t>
    </r>
    <r>
      <rPr>
        <b/>
        <sz val="14"/>
        <color rgb="FFFF0000"/>
        <rFont val="Calibri"/>
        <family val="2"/>
        <scheme val="minor"/>
      </rPr>
      <t xml:space="preserve"> (non=0, oui=1)</t>
    </r>
  </si>
  <si>
    <r>
      <t xml:space="preserve">Avez-vous des saignements prolongés (par exemple des gencives), des bleus spontanés ou un trouble de la coagulation (hémophilie, maladie de von Willebrand, déficit en facteur V) ? </t>
    </r>
    <r>
      <rPr>
        <b/>
        <sz val="14"/>
        <color rgb="FFFF0000"/>
        <rFont val="Calibri"/>
        <family val="2"/>
        <scheme val="minor"/>
      </rPr>
      <t xml:space="preserve"> (non=0, oui=1)</t>
    </r>
  </si>
  <si>
    <r>
      <t xml:space="preserve">Avez-vous des douleurs anales, des hémorroïdes ou une fissure anale ? </t>
    </r>
    <r>
      <rPr>
        <b/>
        <sz val="14"/>
        <color rgb="FFFF0000"/>
        <rFont val="Calibri"/>
        <family val="2"/>
        <scheme val="minor"/>
      </rPr>
      <t xml:space="preserve"> (non=0, oui=1)</t>
    </r>
  </si>
  <si>
    <r>
      <t xml:space="preserve">Avez-vous déjà eu des idées suicidaires ou fait une tentative de suicide ?  </t>
    </r>
    <r>
      <rPr>
        <b/>
        <sz val="14"/>
        <color rgb="FFFF0000"/>
        <rFont val="Calibri"/>
        <family val="2"/>
        <scheme val="minor"/>
      </rPr>
      <t>(non=0, oui=1)</t>
    </r>
  </si>
  <si>
    <r>
      <t xml:space="preserve">Vous sentez-vous régulièrement découragé(e) ou triste ? </t>
    </r>
    <r>
      <rPr>
        <b/>
        <sz val="14"/>
        <color rgb="FFFF0000"/>
        <rFont val="Calibri"/>
        <family val="2"/>
        <scheme val="minor"/>
      </rPr>
      <t xml:space="preserve"> (non=0, oui=1)</t>
    </r>
  </si>
  <si>
    <r>
      <t xml:space="preserve">Avez-vous régulièrement des sensations désagréables ou des douleurs dans les jambes la nuit qui disparaissent lorsque vous marchez ?  </t>
    </r>
    <r>
      <rPr>
        <b/>
        <sz val="14"/>
        <color rgb="FFFF0000"/>
        <rFont val="Calibri"/>
        <family val="2"/>
        <scheme val="minor"/>
      </rPr>
      <t>(non=0, oui=1)</t>
    </r>
  </si>
  <si>
    <r>
      <t xml:space="preserve">Avez-vous régulièrement des douleurs dans les jambes qui limitent votre marche à moins de 100 mètres (moins de 5 minutes) et qui disparaissent au repos ? </t>
    </r>
    <r>
      <rPr>
        <b/>
        <sz val="14"/>
        <color rgb="FFFF0000"/>
        <rFont val="Calibri"/>
        <family val="2"/>
        <scheme val="minor"/>
      </rPr>
      <t xml:space="preserve"> (non=0, oui=1)</t>
    </r>
  </si>
  <si>
    <r>
      <t xml:space="preserve">Vous sentez-vous frustré·e ou démotivé·e par votre travail ? </t>
    </r>
    <r>
      <rPr>
        <b/>
        <sz val="14"/>
        <color rgb="FFFF0000"/>
        <rFont val="Calibri"/>
        <family val="2"/>
        <scheme val="minor"/>
      </rPr>
      <t xml:space="preserve"> (non=0, oui=1)</t>
    </r>
  </si>
  <si>
    <r>
      <t xml:space="preserve">Un membre de votre famille proche (parents ou frères/sœurs) a-t-il déjà eu un cancer ? </t>
    </r>
    <r>
      <rPr>
        <b/>
        <sz val="14"/>
        <color rgb="FFFF0000"/>
        <rFont val="Calibri"/>
        <family val="2"/>
        <scheme val="minor"/>
      </rPr>
      <t xml:space="preserve"> (non=0, oui=1)</t>
    </r>
  </si>
  <si>
    <r>
      <t xml:space="preserve">Avez-vous déjà eu une infection urinaire, une cystite, une prostatite ou une pyélonéphrite ? </t>
    </r>
    <r>
      <rPr>
        <b/>
        <sz val="14"/>
        <color rgb="FFFF0000"/>
        <rFont val="Calibri"/>
        <family val="2"/>
        <scheme val="minor"/>
      </rPr>
      <t xml:space="preserve"> (non=0, oui=1)</t>
    </r>
  </si>
  <si>
    <r>
      <t xml:space="preserve">Avez-vous déjà eu une maladie infectieuse chronique nécessitant un traitement antibiotique de plus de 3 mois (comme la tuberculose, la brucellose ou l’endocardite) ?  </t>
    </r>
    <r>
      <rPr>
        <b/>
        <sz val="14"/>
        <color rgb="FFFF0000"/>
        <rFont val="Calibri"/>
        <family val="2"/>
        <scheme val="minor"/>
      </rPr>
      <t>(non=0, oui=1)</t>
    </r>
  </si>
  <si>
    <r>
      <t xml:space="preserve">Avez-vous reçu le vaccin contre le pneumocoque ?  </t>
    </r>
    <r>
      <rPr>
        <b/>
        <sz val="14"/>
        <color rgb="FFFF0000"/>
        <rFont val="Calibri"/>
        <family val="2"/>
        <scheme val="minor"/>
      </rPr>
      <t>(non=0, oui=1, ne sais pas =2)</t>
    </r>
  </si>
  <si>
    <r>
      <t xml:space="preserve">Avez-vous réalisé un dépistage dermatologique du cancer de la peau au cours des deux dernières années ? </t>
    </r>
    <r>
      <rPr>
        <b/>
        <sz val="14"/>
        <color rgb="FFFF0000"/>
        <rFont val="Calibri"/>
        <family val="2"/>
        <scheme val="minor"/>
      </rPr>
      <t xml:space="preserve"> (non=0, oui=1)</t>
    </r>
  </si>
  <si>
    <r>
      <t xml:space="preserve">Quelqu’un vous a-t-il déjà dit que vous arrêtiez de respirer pendant la nuit ? </t>
    </r>
    <r>
      <rPr>
        <b/>
        <sz val="14"/>
        <color rgb="FFFF0000"/>
        <rFont val="Calibri"/>
        <family val="2"/>
        <scheme val="minor"/>
      </rPr>
      <t xml:space="preserve"> (non=0, oui=1)</t>
    </r>
  </si>
  <si>
    <r>
      <t xml:space="preserve">Vos douleurs thoraciques sont-elles aggravées par le stress émotionnel ou l’effort physique ?  </t>
    </r>
    <r>
      <rPr>
        <b/>
        <sz val="14"/>
        <color rgb="FFFF0000"/>
        <rFont val="Calibri"/>
        <family val="2"/>
        <scheme val="minor"/>
      </rPr>
      <t>(non=0, oui=1)</t>
    </r>
  </si>
  <si>
    <r>
      <t xml:space="preserve">Vos douleurs thoraciques s’améliorent-elles avec le repos et/ou après avoir pris des nitrés (comme la nitroglycérine), dans un délai de 5 minutes ?  </t>
    </r>
    <r>
      <rPr>
        <b/>
        <sz val="14"/>
        <color rgb="FFFF0000"/>
        <rFont val="Calibri"/>
        <family val="2"/>
        <scheme val="minor"/>
      </rPr>
      <t>(non=0, oui=1)</t>
    </r>
  </si>
  <si>
    <r>
      <t xml:space="preserve">Avez-vous des allergies ou des intolérances alimentaires ?  </t>
    </r>
    <r>
      <rPr>
        <b/>
        <sz val="14"/>
        <color rgb="FFFF0000"/>
        <rFont val="Calibri"/>
        <family val="2"/>
        <scheme val="minor"/>
      </rPr>
      <t>(non=0, oui=1)</t>
    </r>
  </si>
  <si>
    <r>
      <t xml:space="preserve">Avez-vous une coloscopie dans les 10 ans ? </t>
    </r>
    <r>
      <rPr>
        <b/>
        <sz val="14"/>
        <color rgb="FFFF0000"/>
        <rFont val="Calibri"/>
        <family val="2"/>
        <scheme val="minor"/>
      </rPr>
      <t xml:space="preserve"> (non=0, oui=1)</t>
    </r>
  </si>
  <si>
    <r>
      <t xml:space="preserve">Au cours des cinq dernières années, avez-vous réalisé un test de densité osseuse (comme une ostéodensitométrie ou DXA) ? </t>
    </r>
    <r>
      <rPr>
        <b/>
        <sz val="14"/>
        <color rgb="FFFF0000"/>
        <rFont val="Calibri"/>
        <family val="2"/>
        <scheme val="minor"/>
      </rPr>
      <t xml:space="preserve"> (non=0, oui=1)</t>
    </r>
  </si>
  <si>
    <r>
      <t xml:space="preserve">Avez-vous été vacciné(e) contre la varicelle (chickenpox) ?  </t>
    </r>
    <r>
      <rPr>
        <b/>
        <sz val="14"/>
        <color rgb="FFFF0000"/>
        <rFont val="Calibri"/>
        <family val="2"/>
        <scheme val="minor"/>
      </rPr>
      <t>(non=0, oui=1, ne sais pas =2)</t>
    </r>
  </si>
  <si>
    <r>
      <t xml:space="preserve">Avez-vous reçu le vaccin ROR (rougeole, oreillons, rubéole) ? </t>
    </r>
    <r>
      <rPr>
        <b/>
        <sz val="14"/>
        <color rgb="FFFF0000"/>
        <rFont val="Calibri"/>
        <family val="2"/>
        <scheme val="minor"/>
      </rPr>
      <t xml:space="preserve"> (non=0, oui=1, ne sais pas =2)</t>
    </r>
  </si>
  <si>
    <r>
      <t xml:space="preserve">Avez-vous reçu le vaccin contre l’encéphalite à tiques (FSME) ?  </t>
    </r>
    <r>
      <rPr>
        <b/>
        <sz val="14"/>
        <color rgb="FFFF0000"/>
        <rFont val="Calibri"/>
        <family val="2"/>
        <scheme val="minor"/>
      </rPr>
      <t>(non=0, oui=1, ne sais pas =2)</t>
    </r>
  </si>
  <si>
    <r>
      <t xml:space="preserve">Avez-vous reçu le vaccin contre l'hémophilus ?  </t>
    </r>
    <r>
      <rPr>
        <b/>
        <sz val="14"/>
        <color rgb="FFFF0000"/>
        <rFont val="Calibri"/>
        <family val="2"/>
        <scheme val="minor"/>
      </rPr>
      <t>(non=0, oui=1, ne sais pas =2)</t>
    </r>
  </si>
  <si>
    <r>
      <t xml:space="preserve">Êtes-vous à jour dans vos vaccinations ? (référence :  calendrier vaccinal de santé publique) </t>
    </r>
    <r>
      <rPr>
        <b/>
        <sz val="14"/>
        <color theme="4"/>
        <rFont val="Calibri"/>
        <family val="2"/>
        <scheme val="minor"/>
      </rPr>
      <t xml:space="preserve"> </t>
    </r>
    <r>
      <rPr>
        <b/>
        <sz val="14"/>
        <color rgb="FFFF0000"/>
        <rFont val="Calibri"/>
        <family val="2"/>
        <scheme val="minor"/>
      </rPr>
      <t xml:space="preserve"> (non=0, oui=1, ne sais pas =2)</t>
    </r>
  </si>
  <si>
    <r>
      <t xml:space="preserve">Avez-vous déjà eu une anesthésie générale ? </t>
    </r>
    <r>
      <rPr>
        <b/>
        <sz val="14"/>
        <color rgb="FFFF0000"/>
        <rFont val="Calibri"/>
        <family val="2"/>
        <scheme val="minor"/>
      </rPr>
      <t xml:space="preserve"> (non=0, oui=1)</t>
    </r>
  </si>
  <si>
    <r>
      <t xml:space="preserve">Avez-vous eu des problémes lors de précédentes anesthésies générale (nausées ou vomissements) ? </t>
    </r>
    <r>
      <rPr>
        <b/>
        <sz val="14"/>
        <color rgb="FFFF0000"/>
        <rFont val="Calibri"/>
        <family val="2"/>
        <scheme val="minor"/>
      </rPr>
      <t xml:space="preserve"> (non=0, oui=1)</t>
    </r>
  </si>
  <si>
    <r>
      <t xml:space="preserve">Avez-vous une myasthénie ou ou myopathie ?  </t>
    </r>
    <r>
      <rPr>
        <b/>
        <sz val="14"/>
        <color rgb="FFFF0000"/>
        <rFont val="Calibri"/>
        <family val="2"/>
        <scheme val="minor"/>
      </rPr>
      <t xml:space="preserve"> (non=0, oui=1)</t>
    </r>
  </si>
  <si>
    <r>
      <t xml:space="preserve">Avez-vous eu une épilepsie, Maladie de Parkinson, Slécore latérale amyotrophique, autre maladie du système nerveux ?  </t>
    </r>
    <r>
      <rPr>
        <b/>
        <sz val="14"/>
        <color rgb="FFFF0000"/>
        <rFont val="Calibri"/>
        <family val="2"/>
        <scheme val="minor"/>
      </rPr>
      <t>(non=0, oui=1)</t>
    </r>
  </si>
  <si>
    <r>
      <t xml:space="preserve">Avez-vous un Glaucome ? </t>
    </r>
    <r>
      <rPr>
        <b/>
        <sz val="14"/>
        <color rgb="FFFF0000"/>
        <rFont val="Calibri"/>
        <family val="2"/>
        <scheme val="minor"/>
      </rPr>
      <t xml:space="preserve"> (non=0, oui=1)</t>
    </r>
  </si>
  <si>
    <r>
      <t xml:space="preserve">Etes vous enceinte ? </t>
    </r>
    <r>
      <rPr>
        <b/>
        <sz val="14"/>
        <color rgb="FFFF0000"/>
        <rFont val="Calibri"/>
        <family val="2"/>
        <scheme val="minor"/>
      </rPr>
      <t xml:space="preserve"> (non=0, oui=1)</t>
    </r>
  </si>
  <si>
    <r>
      <t xml:space="preserve">Avez-vous eu des accouchements compliqués (forceps, césarienne) ? </t>
    </r>
    <r>
      <rPr>
        <b/>
        <sz val="14"/>
        <color rgb="FFFF0000"/>
        <rFont val="Calibri"/>
        <family val="2"/>
        <scheme val="minor"/>
      </rPr>
      <t xml:space="preserve"> (non=0, oui=1)</t>
    </r>
  </si>
  <si>
    <r>
      <t xml:space="preserve">Etes vous porteur d'une valve cardiaque artificielle ou bioprothése ?  </t>
    </r>
    <r>
      <rPr>
        <b/>
        <sz val="14"/>
        <color rgb="FFFF0000"/>
        <rFont val="Calibri"/>
        <family val="2"/>
        <scheme val="minor"/>
      </rPr>
      <t>(non=0, oui=1)</t>
    </r>
  </si>
  <si>
    <r>
      <t xml:space="preserve">Etes vous porteur d'un pace-maker ou défibrilateur implantable ?  </t>
    </r>
    <r>
      <rPr>
        <b/>
        <sz val="14"/>
        <color rgb="FFFF0000"/>
        <rFont val="Calibri"/>
        <family val="2"/>
        <scheme val="minor"/>
      </rPr>
      <t>(non=0, oui=1)</t>
    </r>
  </si>
  <si>
    <r>
      <t xml:space="preserve">Etes vous porteur d'une prothése ou appareil dentaire ?  </t>
    </r>
    <r>
      <rPr>
        <b/>
        <sz val="14"/>
        <color rgb="FFFF0000"/>
        <rFont val="Calibri"/>
        <family val="2"/>
        <scheme val="minor"/>
      </rPr>
      <t>(non=0, oui=1)</t>
    </r>
  </si>
  <si>
    <r>
      <t xml:space="preserve">Etes vous porteur de prothéses articulaires (hanche, genou, épaule….) ?  </t>
    </r>
    <r>
      <rPr>
        <b/>
        <sz val="14"/>
        <color rgb="FFFF0000"/>
        <rFont val="Calibri"/>
        <family val="2"/>
        <scheme val="minor"/>
      </rPr>
      <t>(non=0, oui=1)</t>
    </r>
  </si>
  <si>
    <r>
      <t>Ouverture de Bouche</t>
    </r>
    <r>
      <rPr>
        <b/>
        <sz val="14"/>
        <color rgb="FFFF0000"/>
        <rFont val="Calibri"/>
        <family val="2"/>
        <scheme val="minor"/>
      </rPr>
      <t xml:space="preserve"> (0=&lt;20, 1=35, 2=&gt;35)</t>
    </r>
  </si>
  <si>
    <r>
      <t>Distance Thyro-mentonniére</t>
    </r>
    <r>
      <rPr>
        <b/>
        <sz val="14"/>
        <color rgb="FFFF0000"/>
        <rFont val="Calibri"/>
        <family val="2"/>
        <scheme val="minor"/>
      </rPr>
      <t xml:space="preserve"> (0=&lt;65mm, 1=&gt;65mm)</t>
    </r>
  </si>
  <si>
    <r>
      <t xml:space="preserve">Abord vasculaire veineux compliqué ?  </t>
    </r>
    <r>
      <rPr>
        <b/>
        <sz val="14"/>
        <color rgb="FFFF0000"/>
        <rFont val="Calibri"/>
        <family val="2"/>
        <scheme val="minor"/>
      </rPr>
      <t>(non=0, oui=1)</t>
    </r>
  </si>
  <si>
    <r>
      <t xml:space="preserve">Décubitus dorsal compliqué (ex: Scoliose…..) ?  </t>
    </r>
    <r>
      <rPr>
        <b/>
        <sz val="14"/>
        <color rgb="FFFF0000"/>
        <rFont val="Calibri"/>
        <family val="2"/>
        <scheme val="minor"/>
      </rPr>
      <t>(non=0, oui=1)</t>
    </r>
  </si>
  <si>
    <t>Pression artérielle systolique (mmHg) au repos (position couché ou assis)</t>
  </si>
  <si>
    <t>Pression artérielle diastolique (mmHg) au repos (position couché ou assis)</t>
  </si>
  <si>
    <r>
      <t xml:space="preserve">Tension oculaire </t>
    </r>
    <r>
      <rPr>
        <b/>
        <sz val="14"/>
        <color rgb="FFFF0000"/>
        <rFont val="Arial"/>
        <family val="2"/>
      </rPr>
      <t>(non fait=0, normale=2 ou anormale=1)</t>
    </r>
  </si>
  <si>
    <r>
      <t xml:space="preserve">Examen de la rétine </t>
    </r>
    <r>
      <rPr>
        <b/>
        <sz val="14"/>
        <color rgb="FFFF0000"/>
        <rFont val="Arial"/>
        <family val="2"/>
      </rPr>
      <t>(non fait=0, normale=2 ou anormale=1)</t>
    </r>
  </si>
  <si>
    <r>
      <t xml:space="preserve">Test DMLA AMSLER : </t>
    </r>
    <r>
      <rPr>
        <b/>
        <sz val="12"/>
        <color rgb="FFFF0000"/>
        <rFont val="Arial"/>
        <family val="2"/>
      </rPr>
      <t>(non fait=0, normale=2 ou anormale=1)</t>
    </r>
  </si>
  <si>
    <r>
      <t xml:space="preserve">Vitesse de marche &gt;0,8 m/s </t>
    </r>
    <r>
      <rPr>
        <b/>
        <sz val="14"/>
        <color rgb="FFFF0000"/>
        <rFont val="Arial"/>
        <family val="2"/>
      </rPr>
      <t>(non fait=0, normale=2 ou anormale=1)</t>
    </r>
  </si>
  <si>
    <r>
      <t xml:space="preserve">Dynamométrie  &gt;27 kg (H) / &gt;16 kg (F) </t>
    </r>
    <r>
      <rPr>
        <b/>
        <sz val="14"/>
        <color rgb="FFFF0000"/>
        <rFont val="Arial"/>
        <family val="2"/>
      </rPr>
      <t>(non fait=0, normale=2 ou anormale=1)</t>
    </r>
  </si>
  <si>
    <r>
      <t xml:space="preserve">Surface muscle Psoas en L3:  L500 mm²/taille-m² (H) &gt; 385 mm²/taille-m² (F) </t>
    </r>
    <r>
      <rPr>
        <b/>
        <sz val="14"/>
        <color rgb="FFFF0000"/>
        <rFont val="Arial"/>
        <family val="2"/>
      </rPr>
      <t>(non fait=0, normale=2 ou anormale=1)</t>
    </r>
  </si>
  <si>
    <r>
      <t xml:space="preserve">Appui Unipodal &gt; 10sec </t>
    </r>
    <r>
      <rPr>
        <b/>
        <sz val="14"/>
        <color rgb="FFFF0000"/>
        <rFont val="Arial"/>
        <family val="2"/>
      </rPr>
      <t>(non fait=0, normale=2 ou anormale=1)</t>
    </r>
  </si>
  <si>
    <r>
      <t xml:space="preserve">DXA (masse musculaire) </t>
    </r>
    <r>
      <rPr>
        <b/>
        <sz val="14"/>
        <color rgb="FFFF0000"/>
        <rFont val="Calibri"/>
        <family val="2"/>
        <scheme val="minor"/>
      </rPr>
      <t>(non fait=0, normale=2 ou anormale=1)</t>
    </r>
  </si>
  <si>
    <r>
      <t xml:space="preserve">Résidu postmictionnel (échographie) ml &gt; 100ml (H), &lt; 5ml (F) </t>
    </r>
    <r>
      <rPr>
        <b/>
        <sz val="14"/>
        <color rgb="FFFF0000"/>
        <rFont val="Calibri"/>
        <family val="2"/>
        <scheme val="minor"/>
      </rPr>
      <t>(non fait=0, normale=2 ou anormale=1)</t>
    </r>
  </si>
  <si>
    <r>
      <t xml:space="preserve">Débitmétrie mictionnelle (ml/sec) moyen &gt; 10ml /sec </t>
    </r>
    <r>
      <rPr>
        <b/>
        <sz val="14"/>
        <color rgb="FFFF0000"/>
        <rFont val="Calibri"/>
        <family val="2"/>
        <scheme val="minor"/>
      </rPr>
      <t>(non fait=0, normale=2 ou anormale=1)</t>
    </r>
  </si>
  <si>
    <r>
      <t xml:space="preserve">Combien de cigarettes fumez-vous / avez-vous fumé par jour ? </t>
    </r>
    <r>
      <rPr>
        <b/>
        <sz val="14"/>
        <color rgb="FFFF0000"/>
        <rFont val="Calibri"/>
        <family val="2"/>
        <scheme val="minor"/>
      </rPr>
      <t xml:space="preserve">Réponse dans colonne F? </t>
    </r>
  </si>
  <si>
    <r>
      <t xml:space="preserve">Utilisez-vous des cigarettes électroniques (vapotage) ou d’autres produits à base de nicotine ? </t>
    </r>
    <r>
      <rPr>
        <b/>
        <sz val="14"/>
        <color rgb="FFFF0000"/>
        <rFont val="Calibri"/>
        <family val="2"/>
        <scheme val="minor"/>
      </rPr>
      <t>(non=0, oui=1)</t>
    </r>
  </si>
  <si>
    <r>
      <t xml:space="preserve">Un membre de votre famille a-t-il eu une maladie de la thyroide ?  </t>
    </r>
    <r>
      <rPr>
        <b/>
        <sz val="14"/>
        <color rgb="FFFF0000"/>
        <rFont val="Calibri"/>
        <family val="2"/>
        <scheme val="minor"/>
      </rPr>
      <t>(non=0, oui=1)</t>
    </r>
  </si>
  <si>
    <r>
      <t xml:space="preserve">Combien de sœur, frère ont  eu un cancer du poumon ?  </t>
    </r>
    <r>
      <rPr>
        <b/>
        <sz val="14"/>
        <color rgb="FFFF0000"/>
        <rFont val="Calibri"/>
        <family val="2"/>
        <scheme val="minor"/>
      </rPr>
      <t>(0=0, 1=1, 2=2ou plus)</t>
    </r>
  </si>
  <si>
    <r>
      <t xml:space="preserve">Votre mère ou votre père, ont-ils  eu un cancer du poumon ?   </t>
    </r>
    <r>
      <rPr>
        <b/>
        <sz val="14"/>
        <color rgb="FFFF0000"/>
        <rFont val="Calibri"/>
        <family val="2"/>
        <scheme val="minor"/>
      </rPr>
      <t>(non=0, oui=1)</t>
    </r>
  </si>
  <si>
    <r>
      <t>Ressentez-vous un essoufflement au repos ?</t>
    </r>
    <r>
      <rPr>
        <b/>
        <sz val="14"/>
        <color rgb="FFFF0000"/>
        <rFont val="Calibri"/>
        <family val="2"/>
        <scheme val="minor"/>
      </rPr>
      <t xml:space="preserve"> (non=0, oui=1)</t>
    </r>
  </si>
  <si>
    <r>
      <t xml:space="preserve">Toussez-vous avec des crachats (mucosités) ? </t>
    </r>
    <r>
      <rPr>
        <b/>
        <sz val="14"/>
        <color rgb="FFFF0000"/>
        <rFont val="Calibri"/>
        <family val="2"/>
        <scheme val="minor"/>
      </rPr>
      <t>(non=0, oui=1)</t>
    </r>
  </si>
  <si>
    <r>
      <t xml:space="preserve">À l’approche de la retraite (ou depuis le passage à la retraite), envisagez-vous de nouveaux projets (passe-temps, sorties, associations, …) ?
</t>
    </r>
    <r>
      <rPr>
        <b/>
        <sz val="14"/>
        <color rgb="FFFF0000"/>
        <rFont val="Calibri"/>
        <family val="2"/>
        <scheme val="minor"/>
      </rPr>
      <t>Oui, et j’ai déjà mis en place ces projets (2)
Oui, j’ai des projets prévus mais je ne les ai pas encore concrétisés (1)
Non, je ne sais pas encore quels seront mes projets (0)</t>
    </r>
  </si>
  <si>
    <r>
      <t>Avez-vous des difficultés à réaliser certains gestes de la vie quotidienne ? </t>
    </r>
    <r>
      <rPr>
        <b/>
        <sz val="14"/>
        <color rgb="FFFF0000"/>
        <rFont val="Calibri"/>
        <family val="2"/>
        <scheme val="minor"/>
      </rPr>
      <t>(non=0, oui=1)</t>
    </r>
  </si>
  <si>
    <r>
      <t xml:space="preserve">Avez-vous des difficultés à quitter votre lit et/ou se coucher seul, manger seul  ou aller seul aux toilettes ? </t>
    </r>
    <r>
      <rPr>
        <b/>
        <sz val="14"/>
        <color rgb="FFFF0000"/>
        <rFont val="Calibri"/>
        <family val="2"/>
        <scheme val="minor"/>
      </rPr>
      <t>(non=0, oui=1)</t>
    </r>
  </si>
  <si>
    <r>
      <t xml:space="preserve">Avez-vous des difficultés à vous vêtir et/ou vous dévêtir seule ou faire votre toilette seul(e) ? </t>
    </r>
    <r>
      <rPr>
        <b/>
        <sz val="14"/>
        <color rgb="FFFF0000"/>
        <rFont val="Calibri"/>
        <family val="2"/>
        <scheme val="minor"/>
      </rPr>
      <t>(non=0, oui=1)</t>
    </r>
  </si>
  <si>
    <r>
      <t xml:space="preserve">Avez-vous des difficultés à marcher seul(e) avec ou sans béquille, canne… ou à utiliser seul(e) un moyen de transport (transports en commun, voiture….) ? </t>
    </r>
    <r>
      <rPr>
        <b/>
        <sz val="14"/>
        <color rgb="FFFF0000"/>
        <rFont val="Calibri"/>
        <family val="2"/>
        <scheme val="minor"/>
      </rPr>
      <t>(non=0, oui=1)</t>
    </r>
  </si>
  <si>
    <r>
      <t xml:space="preserve">Souhaitez-vous arrêter l’utilisation du préservatif avec votre nouveau ou votre nouvelle partenaire ? </t>
    </r>
    <r>
      <rPr>
        <b/>
        <sz val="14"/>
        <color rgb="FFFF0000"/>
        <rFont val="Calibri"/>
        <family val="2"/>
        <scheme val="minor"/>
      </rPr>
      <t>(non=0, oui=1)</t>
    </r>
  </si>
  <si>
    <r>
      <t xml:space="preserve">Avez-vous été vacciné(e) contre le papillomavirus ? </t>
    </r>
    <r>
      <rPr>
        <b/>
        <sz val="14"/>
        <color rgb="FFFF0000"/>
        <rFont val="Calibri"/>
        <family val="2"/>
        <scheme val="minor"/>
      </rPr>
      <t xml:space="preserve"> (non=0, oui=1, ne sais pas =2)</t>
    </r>
  </si>
  <si>
    <r>
      <t xml:space="preserve">Avez-vous eu des rapports sexuels au cours des 12 derniers mois sans être concerné(e) par l’une des situations mentionnées ci-dessus ? </t>
    </r>
    <r>
      <rPr>
        <b/>
        <sz val="14"/>
        <color rgb="FFFF0000"/>
        <rFont val="Calibri"/>
        <family val="2"/>
        <scheme val="minor"/>
      </rPr>
      <t>(non=0, oui=1)</t>
    </r>
  </si>
  <si>
    <t>Européen(ne) ou Hispanique</t>
  </si>
  <si>
    <t>Ne souhaite pas répondre</t>
  </si>
  <si>
    <t xml:space="preserve">Asiatique ou Indien(ne) </t>
  </si>
  <si>
    <t>Africain(e) ou AfroCarribéen(ne)</t>
  </si>
  <si>
    <t>Origine</t>
  </si>
  <si>
    <r>
      <t xml:space="preserve">Vous habitez : 
</t>
    </r>
    <r>
      <rPr>
        <b/>
        <sz val="14"/>
        <color rgb="FFFF0000"/>
        <rFont val="Calibri"/>
        <family val="2"/>
        <scheme val="minor"/>
      </rPr>
      <t>(0=Seul·e; 1=Avec vos parents ou votre famille ; 1=Avec un·e partenaire ; 1=En colocation / logement partagé ; 1=Autre)</t>
    </r>
  </si>
  <si>
    <t>Étudiant·e (1</t>
  </si>
  <si>
    <t>Salarié·e</t>
  </si>
  <si>
    <t>Indépendant·e</t>
  </si>
  <si>
    <t>En congé (parental, médical, sabbatique)</t>
  </si>
  <si>
    <t>Étudiant·e et salarié·e</t>
  </si>
  <si>
    <t>Sans emploi (en recherche)</t>
  </si>
  <si>
    <t>Retraité·e (4)</t>
  </si>
  <si>
    <t>Parent au foyer / aidant·e</t>
  </si>
  <si>
    <t xml:space="preserve"> Autre</t>
  </si>
  <si>
    <t xml:space="preserve">Occupation </t>
  </si>
  <si>
    <t>Seul·e</t>
  </si>
  <si>
    <t>Avec un·e partenaire</t>
  </si>
  <si>
    <t>En colocation / logement partagé</t>
  </si>
  <si>
    <t>Avec vos parents ou votre famille</t>
  </si>
  <si>
    <t>Habitation</t>
  </si>
  <si>
    <t>Sentiement retraite</t>
  </si>
  <si>
    <t>Plutôt positivement</t>
  </si>
  <si>
    <t>Plutôt négativement</t>
  </si>
  <si>
    <r>
      <t>Comment ressentez-vous le fait d’être à la retraite ou d’approcher de la retraite ?</t>
    </r>
    <r>
      <rPr>
        <b/>
        <sz val="14"/>
        <color rgb="FFFF0000"/>
        <rFont val="Calibri"/>
        <family val="2"/>
        <scheme val="minor"/>
      </rPr>
      <t xml:space="preserve"> (Plutôt positivement=1 / Plutôt négativement=0 / Ne me concerne pas=2)</t>
    </r>
  </si>
  <si>
    <t xml:space="preserve">Une fois par mois ou jamais </t>
  </si>
  <si>
    <t xml:space="preserve">Plusieurs fois par semaine </t>
  </si>
  <si>
    <t>0 à 1 fois par semaine</t>
  </si>
  <si>
    <t>2 à 3 fois par semaine</t>
  </si>
  <si>
    <t>4 à 6 fois par semaine</t>
  </si>
  <si>
    <t>Une fois par jour ou plus</t>
  </si>
  <si>
    <t>Moins d’1 heure</t>
  </si>
  <si>
    <t xml:space="preserve"> Entre 1 et 2 heures</t>
  </si>
  <si>
    <t>Fréquence mois/semaine/jour (nutrition)</t>
  </si>
  <si>
    <t>Fréquence par semaine (lait)</t>
  </si>
  <si>
    <t>Fréquence heures (écran)</t>
  </si>
  <si>
    <t>Fréquence heures (sédentaire)</t>
  </si>
  <si>
    <t>Nombre frères/sœurs</t>
  </si>
  <si>
    <t>Satisfaction (qualité de vie)</t>
  </si>
  <si>
    <t>Très satisfaisant</t>
  </si>
  <si>
    <t>Plutôt satisfaisant</t>
  </si>
  <si>
    <t>Peu satisfaisant</t>
  </si>
  <si>
    <t>Pas du tout satisfaisant</t>
  </si>
  <si>
    <t>Heure sommeil</t>
  </si>
  <si>
    <t>Fréquence semaine (fuite)</t>
  </si>
  <si>
    <t>Moins d’une fois par semaine</t>
  </si>
  <si>
    <t>Plusieurs fois par jour)</t>
  </si>
  <si>
    <t>Fréquence minute (urine)</t>
  </si>
  <si>
    <t>Plus de 15 minutes</t>
  </si>
  <si>
    <t>De 6 à 15 minutes</t>
  </si>
  <si>
    <t>De 1 à 5 minutes</t>
  </si>
  <si>
    <t>Moins de 1 minute</t>
  </si>
  <si>
    <t>Ouverture bouche</t>
  </si>
  <si>
    <t>20-35</t>
  </si>
  <si>
    <t>&gt;35</t>
  </si>
  <si>
    <t>&lt;65mm</t>
  </si>
  <si>
    <t>&gt;65mm)</t>
  </si>
  <si>
    <t>Distance Thyro-mentonniére</t>
  </si>
  <si>
    <t>normale</t>
  </si>
  <si>
    <t>non fait</t>
  </si>
  <si>
    <t>anormale</t>
  </si>
  <si>
    <t>Normal/anormale</t>
  </si>
  <si>
    <t>Projet retraite</t>
  </si>
  <si>
    <t xml:space="preserve">Oui, et j’ai déjà mis en place ces projets </t>
  </si>
  <si>
    <r>
      <t>Consommez-vous du porc, du bœuf, du veau, de l’agneau ou du mouton ?</t>
    </r>
    <r>
      <rPr>
        <b/>
        <sz val="14"/>
        <color rgb="FFFF0000"/>
        <rFont val="Calibri"/>
        <family val="2"/>
        <scheme val="minor"/>
      </rPr>
      <t xml:space="preserve"> (0 = Une fois par mois ou jamais ; 1 = Une fois par semaine ; 2 = Plusieurs fois par semaine ; 3 = Plusieurs fois par jour)</t>
    </r>
  </si>
  <si>
    <r>
      <t xml:space="preserve">À quelle fréquence consommez-vous des aliments salés (par exemple : charcuterie, chips) ? </t>
    </r>
    <r>
      <rPr>
        <b/>
        <sz val="14"/>
        <color rgb="FFFF0000"/>
        <rFont val="Calibri"/>
        <family val="2"/>
        <scheme val="minor"/>
      </rPr>
      <t>(0 = Une fois par mois ou jamais ; 1 = Une fois par semaine ; 2 = Plusieurs fois par semaine ; 3 = Plusieurs fois par jour)</t>
    </r>
  </si>
  <si>
    <r>
      <t xml:space="preserve">Consommez-vous des produits laitiers ? (1 portion = 1 yaourt, 1 dessert lacté ou 1 verre de lait (150 ml)) 
</t>
    </r>
    <r>
      <rPr>
        <b/>
        <sz val="14"/>
        <color rgb="FFFF0000"/>
        <rFont val="Calibri"/>
        <family val="2"/>
        <scheme val="minor"/>
      </rPr>
      <t>(0 = 0 à 1 fois par semaine 1 = 2 à 3 fois par semaine 2 = 4 à 6 fois par semaine 3 = Une fois par jour ou plus</t>
    </r>
  </si>
  <si>
    <r>
      <t xml:space="preserve">Combien de temps par jour passez-vous devant un écran en dehors du travail (téléphone, télévision, ordinateur) ? 
</t>
    </r>
    <r>
      <rPr>
        <b/>
        <sz val="14"/>
        <color rgb="FFFF0000"/>
        <rFont val="Calibri"/>
        <family val="2"/>
        <scheme val="minor"/>
      </rPr>
      <t>(0 = Moins d’1 heure ; 1 = Entre 1 et 2 heures ; 2 = Entre 2 et 4 heures ; 3 = Plus de 4 heures)</t>
    </r>
  </si>
  <si>
    <r>
      <t xml:space="preserve">Combien de temps par jour passez-vous assis·e ou allongé·e (hors sommeil) ? 
</t>
    </r>
    <r>
      <rPr>
        <b/>
        <sz val="14"/>
        <color rgb="FFFF0000"/>
        <rFont val="Calibri"/>
        <family val="2"/>
        <scheme val="minor"/>
      </rPr>
      <t>(0 = Moins de 2 heures ; 1 = Entre 2 et 4 heures ; 2 = Entre 4 et 7 heures ; 3 = Plus de 7 heures)</t>
    </r>
  </si>
  <si>
    <r>
      <t xml:space="preserve">À quelle fréquence consommez-vous des aliments sucrés (par exemple : sodas, bonbons, pâtisseries, glaces) ? 
</t>
    </r>
    <r>
      <rPr>
        <b/>
        <sz val="14"/>
        <color rgb="FFFF0000"/>
        <rFont val="Calibri"/>
        <family val="2"/>
        <scheme val="minor"/>
      </rPr>
      <t>(0 = Une fois par mois ou jamais ; 1 = Une fois par semaine ; 2 = Plusieurs fois par semaine ; 3 = Plusieurs fois par jour)</t>
    </r>
  </si>
  <si>
    <r>
      <t xml:space="preserve">À quelle fréquence consommez-vous des aliments gras (par exemple : burgers de fast-food, viennoiseries au beurre, pain beurré) ?
</t>
    </r>
    <r>
      <rPr>
        <b/>
        <sz val="14"/>
        <color rgb="FFFF0000"/>
        <rFont val="Calibri"/>
        <family val="2"/>
        <scheme val="minor"/>
      </rPr>
      <t>(0 = Une fois par mois ou jamais ; 1 = Une fois par semaine ; 2 = Plusieurs fois par semaine ; 3 = Plusieurs fois par jour)</t>
    </r>
  </si>
  <si>
    <r>
      <t xml:space="preserve">Si vous deviez vivre le reste de votre vie avec votre état urinaire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</si>
  <si>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sexuel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</si>
  <si>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digestif actuel tel qu’il est maintenant, comment vous sentiriez-vous ?
</t>
    </r>
    <r>
      <rPr>
        <b/>
        <sz val="14"/>
        <color rgb="FFFF0000"/>
        <rFont val="Calibri"/>
        <family val="2"/>
        <scheme val="minor"/>
      </rPr>
      <t>(0 = Très satisfaisant ; 1 = Plutôt satisfaisant ; 2 = Peu satisfaisant ; 3 = Pas du tout satisfaisant)</t>
    </r>
  </si>
  <si>
    <r>
      <t xml:space="preserve">Si vous deviez vivre le reste de votre vie avec votre état musculo-squelettique actuel tel qu’il est maintenant, comment vous sentiriez-vous ?
</t>
    </r>
    <r>
      <rPr>
        <b/>
        <sz val="14"/>
        <color rgb="FFFF0000"/>
        <rFont val="Calibri"/>
        <family val="2"/>
        <scheme val="minor"/>
      </rPr>
      <t>(0 = Très satisfaisant ; 1 = Plutôt satisfaisant ; 2 = Peu satisfaisant ; 3 = Pas du tout satisfaisant)</t>
    </r>
  </si>
  <si>
    <r>
      <t xml:space="preserve">Au cours des quatre dernières semaines, avez-vous eu des fuites urinaires lors d’un effort physique ?
</t>
    </r>
    <r>
      <rPr>
        <b/>
        <sz val="14"/>
        <color rgb="FFFF0000"/>
        <rFont val="Calibri"/>
        <family val="2"/>
        <scheme val="minor"/>
      </rPr>
      <t>(0 = Jamais ; 1 = Moins d’une fois par semaine ; 2 = Plusieurs fois par semaine ; 3 = Plusieurs fois par jour)</t>
    </r>
  </si>
  <si>
    <r>
      <t xml:space="preserve">Lorsque vous avez un besoin urgent d'uriner, combien de temps en moyenne pouvez-vous vous retenir ? </t>
    </r>
    <r>
      <rPr>
        <b/>
        <sz val="14"/>
        <color rgb="FFFF0000"/>
        <rFont val="Calibri"/>
        <family val="2"/>
        <scheme val="minor"/>
      </rPr>
      <t>(0=Plus de 15 minutes;  1=De 6 à 15 minutes; 2=De 1 à 5 minutes; 3=Moins de 1 minute)</t>
    </r>
  </si>
  <si>
    <r>
      <t xml:space="preserve">Pendant combien d’années avez-vous fumé ? Réponse dans colonne F? </t>
    </r>
    <r>
      <rPr>
        <b/>
        <sz val="14"/>
        <color rgb="FFFF0000"/>
        <rFont val="Calibri"/>
        <family val="2"/>
        <scheme val="minor"/>
      </rPr>
      <t xml:space="preserve"> Réponse dans colonne F? </t>
    </r>
  </si>
  <si>
    <r>
      <t>Avez-vous des palpitations (sensation de battements rapides, irréguliers ou forts du cœur) ?</t>
    </r>
    <r>
      <rPr>
        <b/>
        <sz val="14"/>
        <color rgb="FFFF0000"/>
        <rFont val="Calibri"/>
        <family val="2"/>
        <scheme val="minor"/>
      </rPr>
      <t xml:space="preserve"> (non=0, oui=1)</t>
    </r>
  </si>
  <si>
    <r>
      <t xml:space="preserve">Quelle est votre origine ethnique principale ? </t>
    </r>
    <r>
      <rPr>
        <b/>
        <sz val="14"/>
        <color rgb="FFFF0000"/>
        <rFont val="Calibri"/>
        <family val="2"/>
        <scheme val="minor"/>
      </rPr>
      <t>(Européen(ne) ou Hispanique "0" , Asiatique ou Indien(ne) "1", Africain(e) ou AfroCarribéen(ne) "2", Ne souhaite pas répondre (défaut "0")</t>
    </r>
    <r>
      <rPr>
        <b/>
        <sz val="14"/>
        <rFont val="Calibri"/>
        <family val="2"/>
        <scheme val="minor"/>
      </rPr>
      <t>) (Données utilisées pour les courbes de référence médicale)</t>
    </r>
  </si>
  <si>
    <t>Thématique</t>
  </si>
  <si>
    <t>Explications</t>
  </si>
  <si>
    <t>Résultats</t>
  </si>
  <si>
    <t>Environnement &amp; habitude de vies</t>
  </si>
  <si>
    <t>Sommeil</t>
  </si>
  <si>
    <t>Nutrition</t>
  </si>
  <si>
    <t>Addiction</t>
  </si>
  <si>
    <t>Exposition IST</t>
  </si>
  <si>
    <t>Couverture vaccinale &amp; dépistage</t>
  </si>
  <si>
    <t>Pollution aerienne</t>
  </si>
  <si>
    <t>Medications</t>
  </si>
  <si>
    <t xml:space="preserve">Cholestérol Total et fractions HDL et LDL, Triglycérides, </t>
  </si>
  <si>
    <t>QV sexuelle</t>
  </si>
  <si>
    <t>QV digestive</t>
  </si>
  <si>
    <t>QV Locomoteur</t>
  </si>
  <si>
    <t>QV urinaire</t>
  </si>
  <si>
    <t>QV nerveuse &amp; emotionnelle</t>
  </si>
  <si>
    <t>QV vision</t>
  </si>
  <si>
    <t>QV audition</t>
  </si>
  <si>
    <t>Quel est votre sexe assigné à la naissance ? (Données utilisées pour les courbes de référence médicale)  "H"=1;"F"=0</t>
  </si>
  <si>
    <r>
      <t>Quelle est votre occupation ?</t>
    </r>
    <r>
      <rPr>
        <b/>
        <sz val="14"/>
        <color rgb="FFFF0000"/>
        <rFont val="Calibri"/>
        <family val="2"/>
        <scheme val="minor"/>
      </rPr>
      <t xml:space="preserve"> Étudiant·e (0) ; Salarié·e (1) ; Indépendant·e (1); En congé (parental, médical, sabbatique) (1) ; Étudiant·e et salarié·e (1) ; Sans emploi (en recherche) (2) ; Retraité·e (3) ; Parent au foyer / aidant·e (4); Autre (5)</t>
    </r>
  </si>
  <si>
    <t>Homme/Femme</t>
  </si>
  <si>
    <t>600 UI</t>
  </si>
  <si>
    <t>Fréquence cardiaque au repos couché ou assis (P0)</t>
  </si>
  <si>
    <t>Fréquence cardiaque à l'effort (P1) (après 30 flexions complètes de jambes en 45 secondes, bras tendus)</t>
  </si>
  <si>
    <t>Fréquence cardiaque de récupération après 1 minute (P2)</t>
  </si>
  <si>
    <t>Symptômes te Etat général</t>
  </si>
  <si>
    <t>Tabagisme en Paquets années</t>
  </si>
  <si>
    <t>Le paquet-année (PA) est une unité de mesure de la consommation de tabac fumé en cigarettes. Le risque de cancer augmente avec l'intensité de la consommation tabagique mais plus encore avec sa durée. A partir de 20 paquets-années dépistage des maladies associées au tabagisme est proposé.</t>
  </si>
  <si>
    <r>
      <t>Tenez vous en  équilibre sur une jambe plus de 10 secondes (tester les 2 jambes)</t>
    </r>
    <r>
      <rPr>
        <b/>
        <sz val="14"/>
        <color rgb="FFFF0000"/>
        <rFont val="Calibri"/>
        <family val="2"/>
        <scheme val="minor"/>
      </rPr>
      <t xml:space="preserve"> (non-fait=0 , non=2, oui=1)</t>
    </r>
  </si>
  <si>
    <t>Fréquence cardiaque debout</t>
  </si>
  <si>
    <t>Pression artérielle systolique debout</t>
  </si>
  <si>
    <t>syndrome de tachycardie orthostatique posturale (STOP) </t>
  </si>
  <si>
    <t>Delta FC assis debout</t>
  </si>
  <si>
    <t>Delta pression artérielle systolique assis debout</t>
  </si>
  <si>
    <t>Une hypotension orthostatique peut être suspectée si la différence de PA systolique assis-debour est supérieure à 20mmHg</t>
  </si>
  <si>
    <t>Un syndrome de tachycardie orthostatique posturale peut être suspecté si la différence de FC assis debout est supérieure à 30 pulsations / minutes</t>
  </si>
  <si>
    <t>Fréquence cardiaque repos</t>
  </si>
  <si>
    <t>Delta FC assis-debout</t>
  </si>
  <si>
    <t>Acuité visuele</t>
  </si>
  <si>
    <t>SP02</t>
  </si>
  <si>
    <t>Test DMLA  (AMSLER)</t>
  </si>
  <si>
    <t>Presion artérielle systolique repos</t>
  </si>
  <si>
    <t>Presion artérielle diastolique repos</t>
  </si>
  <si>
    <t>Delta PA systolique  assis-debout</t>
  </si>
  <si>
    <t>Test appui unipodal</t>
  </si>
  <si>
    <t>SP02 au repos</t>
  </si>
  <si>
    <t> Le taux d’oxygène dans le sang doit être compris entre 95 et 100%</t>
  </si>
  <si>
    <t>Détection fibrillation atriale au repos ou à l'effort (non fait=0, normale=2 ou anormale=1)</t>
  </si>
  <si>
    <t>Détection valvulopathieau repos ou à l'effort (non fait=0, normale=2 ou anormale=1)</t>
  </si>
  <si>
    <r>
      <t xml:space="preserve">Avez-vous reçu le vaccin contre les méningocoques ACWY ? </t>
    </r>
    <r>
      <rPr>
        <b/>
        <sz val="14"/>
        <color rgb="FFFF0000"/>
        <rFont val="Calibri"/>
        <family val="2"/>
        <scheme val="minor"/>
      </rPr>
      <t xml:space="preserve"> (non=0, oui=1, ne sais pas =2)</t>
    </r>
  </si>
  <si>
    <r>
      <t xml:space="preserve">Avez-vous reçu le vaccin contre les méningocoques  B ? </t>
    </r>
    <r>
      <rPr>
        <b/>
        <sz val="14"/>
        <color rgb="FFFF0000"/>
        <rFont val="Calibri"/>
        <family val="2"/>
        <scheme val="minor"/>
      </rPr>
      <t xml:space="preserve"> (non=0, oui=1, ne sais pas =2)</t>
    </r>
  </si>
  <si>
    <t>Vaccin contre le ménigoccoque ACWY</t>
  </si>
  <si>
    <t>Vaccin contre le ménigoccoque B</t>
  </si>
  <si>
    <t>Dépendance Autonomie (100% pas de dépendance)</t>
  </si>
  <si>
    <t>Dépendance</t>
  </si>
  <si>
    <t>Dépendance Autonomie</t>
  </si>
  <si>
    <t xml:space="preserve">Vaccination Tetanos (diphtérie, coqueluche, polio), ou Test IgG, </t>
  </si>
  <si>
    <t xml:space="preserve">Vaccination Pneumoccoque, </t>
  </si>
  <si>
    <t xml:space="preserve">Vaccination COVID, </t>
  </si>
  <si>
    <t xml:space="preserve">Vaccination hepatite, </t>
  </si>
  <si>
    <t xml:space="preserve">Vaccination ROR, </t>
  </si>
  <si>
    <t xml:space="preserve">Vaccination E. Tiques, </t>
  </si>
  <si>
    <t xml:space="preserve">Vaccination méningoccoque ACWY, </t>
  </si>
  <si>
    <t xml:space="preserve">Vaccination méningoccoque B, </t>
  </si>
  <si>
    <t xml:space="preserve">Vaccination hémophilus, </t>
  </si>
  <si>
    <t xml:space="preserve">Dépistage  cancer du sein, </t>
  </si>
  <si>
    <t xml:space="preserve">Score ROMA (Ovaire), </t>
  </si>
  <si>
    <t>SI RR &gt;par systéme</t>
  </si>
  <si>
    <t>SI RR&gt;2 global</t>
  </si>
  <si>
    <t>Score K cutanés</t>
  </si>
  <si>
    <t>Vegane</t>
  </si>
  <si>
    <r>
      <t>Avez-vous déjà réalisé un test de dépistage d’infections sexuellement transmissibles au cours des 12 derniers mois?</t>
    </r>
    <r>
      <rPr>
        <b/>
        <sz val="14"/>
        <color rgb="FFFF0000"/>
        <rFont val="Calibri"/>
        <family val="2"/>
        <scheme val="minor"/>
      </rPr>
      <t xml:space="preserve"> (non=0, oui=1)</t>
    </r>
  </si>
  <si>
    <t>Score Visionmetrc</t>
  </si>
  <si>
    <t>Acuité visuelle (non fait=0, normale=2 ou anormale=1)</t>
  </si>
  <si>
    <t xml:space="preserve"> cardiaque BNP</t>
  </si>
  <si>
    <t>addiction Tabac&gt;5/j</t>
  </si>
  <si>
    <t>Date</t>
  </si>
  <si>
    <t>Taille</t>
  </si>
  <si>
    <t>Poids</t>
  </si>
  <si>
    <t xml:space="preserve">Tabac (paquets années) : </t>
  </si>
  <si>
    <t>Cartographie des systèmes</t>
  </si>
  <si>
    <t>Score mixte</t>
  </si>
  <si>
    <t>Légende</t>
  </si>
  <si>
    <t>Suivi</t>
  </si>
  <si>
    <t>Vigilance</t>
  </si>
  <si>
    <t>Sensibilisation</t>
  </si>
  <si>
    <t>Descriptif</t>
  </si>
  <si>
    <t>Système cardiovasculaire</t>
  </si>
  <si>
    <t>Systéme endocrinien et métabolique</t>
  </si>
  <si>
    <t>Systéme digestif</t>
  </si>
  <si>
    <t>Systéme du foie et des voies biliaires</t>
  </si>
  <si>
    <t>Système génital</t>
  </si>
  <si>
    <t>Systéme locomoteur</t>
  </si>
  <si>
    <t>Système nerveux et mental</t>
  </si>
  <si>
    <t>Systéme respiratoire</t>
  </si>
  <si>
    <t>Digestion</t>
  </si>
  <si>
    <t>Muscles et articulation</t>
  </si>
  <si>
    <t>Vos demandes</t>
  </si>
  <si>
    <t>Données cliniques et biologiques</t>
  </si>
  <si>
    <t>Cartographie environnement et habitudes de vies</t>
  </si>
  <si>
    <t>Description</t>
  </si>
  <si>
    <t>Activité physique</t>
  </si>
  <si>
    <t>Addictions &amp; consommations</t>
  </si>
  <si>
    <t>Dépendance et autonomie</t>
  </si>
  <si>
    <t>Médications</t>
  </si>
  <si>
    <t>Pollution aérienne</t>
  </si>
  <si>
    <t>Santé et charge mentale</t>
  </si>
  <si>
    <t>Sensibilité cutanée (UV)</t>
  </si>
  <si>
    <t>Poids corporel idéal</t>
  </si>
  <si>
    <t>Poids corporel idéal à 12 mois </t>
  </si>
  <si>
    <t>Apport en protéines (g/jour)</t>
  </si>
  <si>
    <t xml:space="preserve">Sel (g/jour) </t>
  </si>
  <si>
    <t>FCmax estimé (bpm) HOMME</t>
  </si>
  <si>
    <t>FCmax estimé (bpm) FEMME</t>
  </si>
  <si>
    <t>FCcible estimé (bpm) HOMME - 70%</t>
  </si>
  <si>
    <t>FCcible estimé (bpm) FEMME - 70%</t>
  </si>
  <si>
    <t>Biologie</t>
  </si>
  <si>
    <t xml:space="preserve">Compléments </t>
  </si>
  <si>
    <t>B12</t>
  </si>
  <si>
    <t>Ubiquinol</t>
  </si>
  <si>
    <t>B6</t>
  </si>
  <si>
    <t>Dans la norme</t>
  </si>
  <si>
    <t>Qualité de vie réduite</t>
  </si>
  <si>
    <t>Qualité de vie à améliorer</t>
  </si>
  <si>
    <t>Bonne qualité perçue</t>
  </si>
  <si>
    <t>Faire apparaitre dans rapport (IMC)</t>
  </si>
  <si>
    <t>Faire apparaitre dans rapport (H vs F)</t>
  </si>
  <si>
    <t xml:space="preserve">Apnée du sommeil </t>
  </si>
  <si>
    <t>Conseils nutritionnels</t>
  </si>
  <si>
    <t>Dépistage(s) recommandé(s)</t>
  </si>
  <si>
    <t>Conseils pour une bonne condition physique</t>
  </si>
  <si>
    <t>Conseil pour une morphologie optimale</t>
  </si>
  <si>
    <t xml:space="preserve">Calories quotidiennes à consommer pour perdre du poids à hauteur de 0.25kg / semaine (kcal) </t>
  </si>
  <si>
    <t xml:space="preserve">Calories quotidiennes à consommer pour gagner du poids à hauteur de 0.25kg / semaine (kcal) </t>
  </si>
  <si>
    <t>Conseils sur la consommation de tabac</t>
  </si>
  <si>
    <t>Conseils sur la consommation d’alcool</t>
  </si>
  <si>
    <t>Consultation(s) de routine recommandée(s)</t>
  </si>
  <si>
    <t>Libellé</t>
  </si>
  <si>
    <t>Elements additionnels</t>
  </si>
  <si>
    <t>Delta fréquence cardiaque assis debout</t>
  </si>
  <si>
    <t>&lt;p&gt;La &lt;strong&gt;pression systolique&lt;/strong&gt; correspond à la pression du sang lors de la contraction du cœur. Repères usuels : inférieure à 90 (basse) · 90 à 120 (souhaitable) · 120 à 140 (intermédiaire) · supérieure à 140 (élevée).&lt;/p&gt;</t>
  </si>
  <si>
    <t>&lt;p&gt;La &lt;strong&gt;pression diastolique&lt;/strong&gt; correspond à la pression du sang entre deux battements du cœur. Repères usuels : inférieure à 60 (basse) · 60 à 80 (souhaitable) · 80 à 90 (intermédiaire) · supérieure à 90 (élevée).&lt;/p&gt;</t>
  </si>
  <si>
    <t>&lt;p&gt;La &lt;strong&gt;fréquence cardiaque&lt;/strong&gt; au repos correspond au nombre de battements par minute. Repères usuels chez l'adulte : 50 à 85 bpm au repos. Une fréquence plus basse peut s'observer chez les personnes très entraînées ; une fréquence plus élevée peut être liée à un manque d'activité physique ou à d'autres facteurs.&lt;/p&gt;</t>
  </si>
  <si>
    <t>&lt;p&gt;Le &lt;strong&gt;cholestérol&lt;/strong&gt; circule dans le sang sous deux formes principales : le LDL et le HDL. Sa lecture se fait en tenant compte de ces deux fractions, et non du seul cholestérol total. Repères usuels pour le cholestérol total : inférieur à 2 g/L (souhaitable) · 2 à 2,39 g/L (intermédiaire) · 2,40 g/L ou plus (élevé). Des valeurs supérieures à la plage normale indiquent la nécessité d'une analyse quantitative du profil des lipoprotéines avec un professionnel de santé.&lt;/p&gt;</t>
  </si>
  <si>
    <t>&lt;p&gt;La &lt;strong&gt;SpO2&lt;/strong&gt; mesure le taux d'oxygène dans le sang. Repère usuel : entre 95 et 100 %.&lt;/p&gt;</t>
  </si>
  <si>
    <t>&lt;p&gt;La &lt;strong&gt;glycémie à jeun&lt;/strong&gt; mesure le taux de sucre dans le sang. Repère usuel à jeun : entre 0,70 et 1,10 g/L. Une valeur en dehors de cette plage s'interprète avec un professionnel de santé, qui pourra proposer une mesure de contrôle si nécessaire.&lt;/p&gt;</t>
  </si>
  <si>
    <t>&lt;p&gt;L'&lt;strong&gt;HbA1c&lt;/strong&gt; reflète la glycémie moyenne des trois derniers mois. Repère usuel : inférieure à 5,7 %. Cette mesure doit être confirmée par une mesure de contrôle.&lt;/p&gt;</t>
  </si>
  <si>
    <t>&lt;p&gt;Le &lt;strong&gt;débit de filtration glomérulaire&lt;/strong&gt; évalue le fonctionnement des reins. Sa valeur dépend notamment de l'âge, du sexe et de la masse musculaire.&lt;/p&gt;</t>
  </si>
  <si>
    <t>&lt;p&gt;L'&lt;strong&gt;acuité visuelle&lt;/strong&gt; mesure la précision de la vision. Une anomalie justifie un examen ophtalmologique plus approfondi.&lt;/p&gt;</t>
  </si>
  <si>
    <t>&lt;p&gt;Le &lt;strong&gt;test d'Amsler&lt;/strong&gt; est un test simple de la vision centrale. Si le résultat est à vérifier, un examen auprès d'un ophtalmologue permet de faire le point.&lt;/p&gt;</t>
  </si>
  <si>
    <t>&lt;p&gt;Examens cliniques et biologiques types de prévention. Les repères sont indicatifs et s'interprètent toujours avec un professionnel de santé.&lt;/p&gt;</t>
  </si>
  <si>
    <t>&lt;p&gt;Le &lt;strong&gt;système cardiovasculaire&lt;/strong&gt; assure l'oxygénation de vos organes et la régulation de vos constantes sanguines. Préserver votre cœur et vos vaisseaux aide à maintenir votre endurance et à prévenir la fatigue.&lt;/p&gt;</t>
  </si>
  <si>
    <t>&lt;p&gt;Le &lt;strong&gt;métabolisme&lt;/strong&gt; est le moteur de votre énergie ; il régule votre poids, votre glycémie et vos hormones. Veiller à son bon fonctionnement aide à prévenir la fatigue et à maintenir votre vitalité.&lt;/p&gt;</t>
  </si>
  <si>
    <t>&lt;p&gt;Le &lt;strong&gt;système digestif&lt;/strong&gt; est responsable de l'assimilation des nutriments et de l'élimination des déchets. Son bon fonctionnement est un pilier de votre niveau d'énergie et de votre immunité globale.&lt;/p&gt;</t>
  </si>
  <si>
    <t>&lt;p&gt;Le &lt;strong&gt;foie&lt;/strong&gt; filtre et transforme tout ce que vous consommez ; il joue un rôle clé dans la digestion et l'élimination. Le préserver est important car il se manifeste tardivement, ce qui rend la prévention d'autant plus utile.&lt;/p&gt;</t>
  </si>
  <si>
    <t>&lt;p&gt;La &lt;strong&gt;sphère intime et reproductive&lt;/strong&gt; gère la dimension intime ou reproductive. Son équilibre participe pleinement à votre bien-être global et à votre qualité de vie.&lt;/p&gt;</t>
  </si>
  <si>
    <t>&lt;p&gt;Le &lt;strong&gt;système locomoteur&lt;/strong&gt; — os, articulations et muscles — forme l'architecture de votre corps. Un système locomoteur préservé soutient votre mobilité, votre confort physique et votre autonomie au fil du temps.&lt;/p&gt;</t>
  </si>
  <si>
    <t>&lt;p&gt;Le &lt;strong&gt;système nerveux et mental&lt;/strong&gt; englobe votre équilibre émotionnel, votre gestion du stress et vos fonctions cognitives. En prendre soin contribue à une bonne qualité de vie au quotidien.&lt;/p&gt;</t>
  </si>
  <si>
    <t>&lt;p&gt;Le &lt;strong&gt;système respiratoire&lt;/strong&gt; oxygène l'ensemble de votre corps et filtre l'air ambiant. Maintenir une bonne capacité respiratoire soutient votre résistance à l'effort et votre vitalité globale.&lt;/p&gt;</t>
  </si>
  <si>
    <t>&lt;p&gt;Le &lt;strong&gt;système sensoriel&lt;/strong&gt; conditionne votre perception, votre autonomie et votre lien aux autres. Préserver vision et audition contribue à votre confort quotidien et à votre énergie sur la durée.&lt;/p&gt;</t>
  </si>
  <si>
    <t>&lt;p&gt;Les &lt;strong&gt;reins&lt;/strong&gt; filtrent en permanence votre sang et participent à la régulation de la tension. Maintenir leur bon fonctionnement aide à protéger durablement votre équilibre interne et votre énergie.&lt;/p&gt;</t>
  </si>
  <si>
    <t>&lt;p&gt;La &lt;strong&gt;prévention et le dépistage précoce&lt;/strong&gt; sont des leviers efficaces face au cancer. Connaître les dépistages adaptés à votre profil et à votre âge est une façon d'agir tôt.&lt;/p&gt;</t>
  </si>
  <si>
    <t>&lt;p&gt; Continuez votre suivi habituel et signalez à votre médecin tout changement perçu.&lt;/p&gt;</t>
  </si>
  <si>
    <t>&lt;p&gt;Points de vigilance à aborder en priorité.&lt;/p&gt;</t>
  </si>
  <si>
    <t>&lt;p&gt;Point d'attention pouvant bénéficier d'ajustements de votre hygiène de vie ou de surveillance sur le long terme.&lt;/p&gt;</t>
  </si>
  <si>
    <t>&lt;p&gt; Maintenez vos bonnes habitudes actuelles.&lt;/p&gt;</t>
  </si>
  <si>
    <t>&lt;p&gt;Vous déclarez avoir un inconfort majeur. Ce ressenti est un indicateur important à prendre en compte dans votre suivi.&lt;/p&gt;</t>
  </si>
  <si>
    <t>&lt;p&gt;Vous déclarez avoir quelques inconforts qui ponctuent votre quotidien. Y prêter attention et faire de simples ajustements de votre hygiène de vie sont de bons réflexes de prévention.&lt;/p&gt;</t>
  </si>
  <si>
    <t>&lt;p&gt; Vous déclarez avoir un ressenti positif. C'est un précieux capital qui soutient votre équilibre global.&lt;/p&gt;</t>
  </si>
  <si>
    <t>&lt;p&gt;Sujets à aborder en priorité&lt;/p&gt;</t>
  </si>
  <si>
    <t>&lt;p&gt; Votre ressenti est un indicateur de santé à part entière, complémentaire des données cliniques. Cette section reflète votre qualité de vie perçue dans plusieurs dimensions du quotidien (physique et mentale).&lt;/p&gt;</t>
  </si>
  <si>
    <t>&lt;p&gt;La prévention en santé consiste à repérer des facteurs connus pour agir sur la santé des individus. Cette analyse met en évidence plusieurs axes de prévention qui vous sont propres, comparés aux tendances observées dans des bases de données populationnelles.&lt;/p&gt;</t>
  </si>
  <si>
    <t>&lt;p&gt;Votre niveau d'&lt;strong&gt;activité physique&lt;/strong&gt; et votre temps en position assise ou allongée se situent en dessous des repères recommandés pour votre sexe et âge. Bouger régulièrement soutient le cœur, le métabolisme, l'humeur et la mobilité : c'est l'un des leviers de prévention à tout âge. (réf. 2.2 Repères officiels)&lt;/p&gt;</t>
  </si>
  <si>
    <t>&lt;p&gt;Votre &lt;strong&gt;couverture vaccinale et vos dépistages&lt;/strong&gt; déclarés ne sont pas en adéquation avec les recommandations en vigueur pour votre tranche d'âge. Maintenir cette protection à jour est l'un des leviers de prévention pour éviter certaines maladies graves et détecter tôt celles qui se traitent mieux à un stade précoce. (réf. 2.2 Repères officiels)&lt;/p&gt;</t>
  </si>
  <si>
    <t>&lt;p&gt;Vous déclarez que certains gestes du quotidien sont devenus difficiles ou nécessitent une aide. Maintenir son &lt;strong&gt;autonomie&lt;/strong&gt; est un enjeu central pour la qualité de vie ; activité physique adaptée, lien social et aménagement du logement en sont les piliers.&lt;/p&gt;</t>
  </si>
  <si>
    <t>&lt;p&gt;Vous déclarez des situations qui peuvent justifier un dépistage des &lt;strong&gt;infections sexuellement transmissibles (IST)&lt;/strong&gt;. Ces infections concernent toutes les tranches d'âge et restent sous-dépistées. Une protection régulière et un dépistage périodique sont des réflexes de prévention efficaces.&lt;/p&gt;</t>
  </si>
  <si>
    <t>&lt;p&gt;Vous déclarez prendre plusieurs traitements simultanément. La &lt;strong&gt;polymédication&lt;/strong&gt; peut augmenter le risque d'interactions et générer fatigue ou effets indésirables ; une revue régulière des traitements est un pilier du suivi. Un échange avec votre pharmacien sur l'observance (par exemple via le questionnaire Girerd) peut aider à faire le point.&lt;/p&gt;</t>
  </si>
  <si>
    <t>&lt;p&gt;Vos &lt;strong&gt;habitudes alimentaires&lt;/strong&gt; actuelles diffèrent des repères recommandés (par exemple : excès de sel, sucre et graisses ou déficit en fruits &amp;amp; légumes ou protéines). L'alimentation est un déterminant majeur de votre santé cardiovasculaire, métabolique et digestive sur le long terme. (réf. 2.2 Repères officiels)&lt;/p&gt;</t>
  </si>
  <si>
    <t>&lt;p&gt;Vous déclarez une exposition possible à plusieurs sources de &lt;strong&gt;pollution aérienne&lt;/strong&gt; (tabac, vapotage, trafic routier, émanations de produits ménagers, environnement de travail). Une exposition prolongée à ces sources peut avoir un impact sur la santé respiratoire et cardiovasculaire. Aérer régulièrement les espaces de vie reste un geste simple.&lt;/p&gt;</t>
  </si>
  <si>
    <t>&lt;p&gt;Vous déclarez des éléments qui peuvent peser sur votre quotidien. Préserver l'&lt;strong&gt;équilibre psychologique&lt;/strong&gt; est aussi important que la santé physique, et des solutions d'accompagnement existent (médecin traitant, psychologue, lignes d'écoute).&lt;/p&gt;</t>
  </si>
  <si>
    <t>&lt;p&gt;Vous déclarez une exposition solaire fréquente, peu de protection, et/ou une peau sensible. La &lt;strong&gt;peau&lt;/strong&gt; est l'organe le plus exposé aux agressions extérieures, et la sensibilité aux UV varie selon le type de peau. Une protection adaptée (écran solaire, vêtements, éviction des heures à risque) fait partie des gestes de prévention recommandés par Santé publique France pour préserver la santé cutanée à long terme.&lt;/p&gt;</t>
  </si>
  <si>
    <t>&lt;p&gt;Vous déclarez rencontrer quelques perturbations du &lt;strong&gt;sommeil&lt;/strong&gt;. Les sources peuvent être multiples (stress, exposition aux écrans, sédentarité, habitudes de consommation ou éventuels troubles respiratoires). Un sommeil de qualité contribue à la récupération, à l'équilibre émotionnel et à l'énergie au quotidien.&lt;/p&gt;</t>
  </si>
  <si>
    <t>&lt;p&gt;De simples ajustements progressifs dans votre quotidien peuvent durablement améliorer votre énergie et votre santé métabolique. Retrouvez ici les repères officiels des instances de santé publiques pour optimiser vos habitudes et votre hygiène de vie. Ces objectifs sont donnés à titre indicatif et peuvent être adaptés à votre rythme avec l'aide d’un professionnel de santé.&lt;/p&gt;</t>
  </si>
  <si>
    <t>&lt;ul&gt;
  &lt;li&gt;Complétion du questionnaire Fagerström&lt;/li&gt;
  &lt;li&gt;Entretien sur le tabagisme avec votre pharmacien&lt;/li&gt;
&lt;/ul&gt;
&lt;p&gt;(&lt;a href="https://www.ameli.fr/assure/sante/themes/tabac"&gt;AMELI — Tabac&lt;/a&gt;)&lt;/p&gt;</t>
  </si>
  <si>
    <t>&lt;ul&gt;
  &lt;li&gt;Complétion du questionnaire AUDIT&lt;/li&gt;
  &lt;li&gt;Limiter la consommation d'alcool à 2 verres/jour et 10 verres/semaine maximum&lt;/li&gt;
&lt;/ul&gt;
&lt;p&gt;(&lt;a href="https://www.ameli.fr/assure/sante/themes/alcool-sante/definition-reperes-consommation"&gt;AMELI — alcool&lt;/a&gt;)&lt;/p&gt;</t>
  </si>
  <si>
    <t>&lt;p&gt;La &lt;strong&gt;vitamine D&lt;/strong&gt; contribue au maintien d'une ossature normale et au fonctionnement normal du système immunitaire.&lt;/p&gt;</t>
  </si>
  <si>
    <t>&lt;p&gt;Selon les bonnes pratiques professionnelles, certains nutriments peuvent contribuer au bon fonctionnement de l'organisme. Cette section présente, à titre informatif, des compléments alimentaires fréquemment évoqués en prévention. &lt;em&gt;Important : ces informations vous sont données à titre indicatif et ne remplacent pas un avis professionnel. En cas de traitement médical en cours, consultez toujours votre médecin ou votre pharmacien avant toute prise.&lt;/em&gt;&lt;/p&gt;</t>
  </si>
  <si>
    <t>&gt;1.2 et &lt;3</t>
  </si>
  <si>
    <t>&gt;1 et =&lt;1.2</t>
  </si>
  <si>
    <t>&gt;3</t>
  </si>
  <si>
    <t>Pression artérielle systolique (mmHg) Au repos, couché ou assis</t>
  </si>
  <si>
    <t>Pression artérielle diastolique (mmHg) Au repos, couché ou assis</t>
  </si>
  <si>
    <t>Fréquence cardiaque (bpm) Au repos, couché ou assis</t>
  </si>
  <si>
    <t>Cholestérol total (mmol/L)
LDL-cholestérol (mmol/L)
HDL-cholestérol (mmol/L)
+ 60 ans ou profil sensible</t>
  </si>
  <si>
    <t>Saturation en oxygène SpO2 (%) Au repos</t>
  </si>
  <si>
    <t>Glycémie capillaire à jeun (g/L)</t>
  </si>
  <si>
    <t>Hémoglobine glyquée HbA1c (%)</t>
  </si>
  <si>
    <t>Débit de filtration glomérulaire (ml/min/1,73m²)</t>
  </si>
  <si>
    <t xml:space="preserve">Acuité visuelle </t>
  </si>
  <si>
    <t>Test d’Amsler (DMLA)
+ 50 ans</t>
  </si>
  <si>
    <t>&lt;p&gt;Vous déclarez une &lt;strong&gt;consommation&lt;/strong&gt; ({=H107}) qui diffère des repères recommandés. Au-delà du plaisir ou du confort qu'elles peuvent procurer, ces consommations agissent sur de multiples systèmes (cœur, foie, système nerveux, sommeil) et leur impact se cumule dans le temps. (réf. 2.2 Repères officiels)&lt;/p&gt;</t>
  </si>
  <si>
    <t>&lt;p&gt;L'analyse de vos réponses; mises en regard de référentiels publics (&lt;strong&gt;HAS&lt;/strong&gt;; &lt;strong&gt;Santé publique France&lt;/strong&gt;); permet de structurer les déterminants de santé que vous avez signalés. Elle identifie les points satisfaisants et ceux nécessitant une attention particulière dans une démarche de prévention. Ce document n'établit aucun diagnostic et ne constitue pas une évaluation clinique de votre état de santé.&lt;/p&gt;</t>
  </si>
  <si>
    <t>Elements additionnels2</t>
  </si>
  <si>
    <t>Elements additionnels3</t>
  </si>
  <si>
    <t>PHOSPHORÉMIE</t>
  </si>
  <si>
    <t>mg/dL</t>
  </si>
  <si>
    <t>Phosphorométrie</t>
  </si>
  <si>
    <t>REFERENCES</t>
  </si>
  <si>
    <t>PROFIL</t>
  </si>
  <si>
    <t>Test d'aptitude fréquence cardiaque à l'effort (Indice de Ruffier-Dickson)</t>
  </si>
  <si>
    <t xml:space="preserve">Légende </t>
  </si>
  <si>
    <t xml:space="preserve">Description  </t>
  </si>
  <si>
    <t>CARTO_SYSTEMES</t>
  </si>
  <si>
    <t>Mon arthrose</t>
  </si>
  <si>
    <t>QUALITE_VIE</t>
  </si>
  <si>
    <t>DEMANDES</t>
  </si>
  <si>
    <t>DONNEES</t>
  </si>
  <si>
    <t xml:space="preserve">Autres déterminants : </t>
  </si>
  <si>
    <t>Dépendances identifiées</t>
  </si>
  <si>
    <t>CARTO_HABITUDES-ENVIR</t>
  </si>
  <si>
    <t>Recommandation à faire apparaitre dans le rapport en plus des informations sur la nutrition, la morphologie et l'activité physique (comme non-vide)</t>
  </si>
  <si>
    <t>Faire apparaitre dans rapport (OUI VS NON)</t>
  </si>
  <si>
    <t>REPERES_OFFICIELS</t>
  </si>
  <si>
    <t>COMPLEMENTS</t>
  </si>
  <si>
    <t>&lt;p&gt;Voici les dépistages organisés recommandés pour vous mettre à jour : {B204}{B205}&lt;/p&gt;
&lt;p&gt;(&lt;a href="https://www.ameli.fr/assure/sante/themes/cancers/depistage-prevention"&gt;AMELI — dépistages&lt;/a&gt;)&lt;/p&gt;</t>
  </si>
  <si>
    <t>&lt;ul&gt;
  &lt;li&gt;Faire au moins 30 minutes d'activités physiques dynamiques par jour (sport, marche rapide, monter d'escaliers, jardinage…)&lt;/li&gt;
  &lt;li&gt;Adapter votre niveau d'activité physique sur la fréquence cardiaque maximale à l'effort (FCmax) vs votre fréquence cardiaque à l'entraînement (FCcible)
    &lt;ul&gt;
      &lt;li&gt;FCmax estimé (bpm) : {B177}{B178}&lt;/li&gt;
      &lt;li&gt;FCcible estimé (bpm) : {B179}{B180}&lt;/li&gt;
    &lt;/ul&gt;
  &lt;/li&gt;
  &lt;li&gt;Réduire le temps passé en position assise ou allongée au quotidien : marcher un peu toutes les 2 heures&lt;/li&gt;
&lt;/ul&gt;
&lt;p&gt;(&lt;a href="https://www.has-sante.fr/upload/docs/application/pdf/2022-08/guide_connaissance_ap_sedentarite_vf.pdf"&gt;Haute Autorité de Santé — sédentarité&lt;/a&gt;)&lt;/p&gt;</t>
  </si>
  <si>
    <t>&lt;ul&gt;
  &lt;li&gt;Complétion d'un questionnaire nutritionnel&lt;/li&gt;
  &lt;li&gt;Consommer 5+ portions de fruits et légumes par jour&lt;/li&gt;
  &lt;li&gt;Réduire les sucres et graisses animales&lt;/li&gt;
  &lt;li&gt;Ajuster l'apport en protéines à la morphologie (g/jour) : {B169}&lt;/li&gt;
  &lt;li&gt;Limiter le sel à (g/jour) : {B170}&lt;/li&gt;
  &lt;li&gt;Quantité d'eau à boire quotidiennement (litres) : {B171}&lt;/li&gt;
&lt;/ul&gt;
&lt;p&gt;(&lt;a href="https://www.mangerbouger.fr/manger-mieux/a-tout-age-et-a-chaque-etape-de-la-vie/les-recommandations-alimentaires-pour-les-adultes"&gt;Programme national nutrition santé — PNNS&lt;/a&gt;)&lt;/p&gt;</t>
  </si>
  <si>
    <t>&lt;ul&gt;
  &lt;li&gt;Objectif de poids corporel à 12 mois (kg) : {B160}
    &lt;ul&gt;&lt;li&gt;Le poids corporel de référence étant de (kg) : {B159}&lt;/li&gt;&lt;/ul&gt;
  &lt;/li&gt;
  &lt;li&gt;{A161}{A162}{A163} : {B161}{B162}{B163}&lt;/li&gt;
&lt;/ul&gt;
&lt;p&gt;(&lt;a href="https://www.ameli.fr/assure/sante/themes/surpoids-obesite-adulte/calcul-imc-bilan-medical"&gt;AMELI — surpoids et obésité&lt;/a&gt; &amp;amp; &lt;a href="https://www.has-sante.fr/jcms/c_964938/fr/surpoids-et-obesite-de-l-adulte-prise-en-charge-medicale-de-premier-recours#toc_1_7"&gt;HAS — prise en charge&lt;/a&gt;)&lt;/p&gt;</t>
  </si>
  <si>
    <t>&lt;p&gt;Les recommandations officielles suggèrent de consulter régulièrement certains professionnels de santé. Voici les consultations de suivi recommandées :&lt;/p&gt;
&lt;p&gt;{B211}&lt;/p&gt;</t>
  </si>
  <si>
    <t>&lt;p&gt;Voici les vaccinations organisées recommandées pour mettre à jour votre couverture vaccinale : {B198}&lt;/p&gt;
&lt;p&gt;(&lt;a href="https://sante.gouv.fr/prevention-en-sante/preserver-sa-sante/vaccination/calendrier-vaccinal"&gt;Ministère de la Santé — calendrier vaccinal&lt;/a&gt;)&lt;/p&gt;</t>
  </si>
  <si>
    <t>&lt;p&gt;&lt;strong&gt;L'indice de masse corporelle (IMC)&lt;/strong&gt; est un indicateur permettant d'estimer la corpulence et d'évaluer le risque de maladies associées à un excès de masse grasse.&lt;/p&gt;
&lt;p&gt;&lt;strong&gt;Repères usuels :&lt;/strong&gt; Insuffisance pondérale : inférieure à 18,5 · Normale : 18,5 à 24,9 · Surpoids : 25,0 à 29,9 · Obésité : 30,0 et plus.&lt;/p&gt;</t>
  </si>
  <si>
    <t>&lt;p&gt;&lt;strong&gt;Le paquet-année (PA)&lt;/strong&gt; est une unité de mesure de la consommation de tabac. Le risque de cancer augmente avec l'intensité de la consommation tabagique, mais plus encore avec sa durée.&lt;/p&gt;
&lt;p&gt;&lt;strong&gt;Repère usuel :&lt;/strong&gt; À partir de 20 paquets-années, un dépistage des maladies associées au tabagisme est recommandé.&lt;/p&gt;</t>
  </si>
  <si>
    <t>&lt;p&gt;&lt;strong&gt;Le test des flexions&lt;/strong&gt; évalue l'aptitude de la fréquence cardiaque à l'effort.&lt;/p&gt;
&lt;p&gt;&lt;strong&gt;Repères usuels :&lt;/strong&gt; Excellent ou très bon : inférieur à 2 · Bon : 2 à 4 · Moyen : 4 à 6 · Faible : 6 à 8 · Très faible ou médiocre : supérieur à 8.&lt;/p&gt;</t>
  </si>
  <si>
    <t>&lt;p&gt;&lt;strong&gt;Le tour de taille&lt;/strong&gt; aide à dépister les risques pour la santé liés au surpoids et à l'obésité.&lt;/p&gt;
&lt;p&gt;&lt;strong&gt;Repères usuels :&lt;/strong&gt; Le risque augmente avec un tour de taille supérieur à 102 cm chez l'homme et à 88 cm chez la femme.&lt;/p&gt;</t>
  </si>
  <si>
    <t>&lt;p&gt;&lt;strong&gt;Le tour de cou&lt;/strong&gt; est un indicateur utilisé notamment dans le dépistage du syndrome d'apnée du sommeil.&lt;/p&gt;
&lt;p&gt;&lt;strong&gt;Repères usuels :&lt;/strong&gt; Normal si inférieur à 41 cm chez l'homme et à 36 cm chez la femme.&lt;/p&gt;</t>
  </si>
  <si>
    <t>&lt;p&gt;&lt;strong&gt;Le test orthostatique de fréquence cardiaque&lt;/strong&gt; permet de dépister un syndrome de tachycardie orthostatique posturale.&lt;/p&gt;
&lt;p&gt;&lt;strong&gt;Repère usuel :&lt;/strong&gt; Un syndrome peut être suspecté si la différence de fréquence cardiaque assis-debout est supérieure à 30 pulsations par minute.&lt;/p&gt;</t>
  </si>
  <si>
    <t>&lt;p&gt;&lt;strong&gt;Le test orthostatique de pression artérielle&lt;/strong&gt; permet de dépister une hypotension orthostatique.&lt;/p&gt;
&lt;p&gt;&lt;strong&gt;Repère usuel :&lt;/strong&gt; Une hypotension orthostatique peut être suspectée si la différence de pression artérielle systolique assis-debout est supérieure à 20 mmHg.&lt;/p&gt;</t>
  </si>
  <si>
    <t>&lt;p&gt;Un apport suffisant en &lt;strong&gt;ubiquinol&lt;/strong&gt; contribue au bon fonctionnement du métabolisme énergétique et au soutien de la vitalité cardiovasculaire.&lt;/p&gt;</t>
  </si>
  <si>
    <t>Traitement en cours</t>
  </si>
  <si>
    <t>Faire apparaitre ou non</t>
  </si>
  <si>
    <t xml:space="preserve">Traitements : </t>
  </si>
  <si>
    <t>Vaccination &amp; dépistages</t>
  </si>
  <si>
    <t>Troubles du sommeil</t>
  </si>
  <si>
    <t>Vaccinations à vérifier</t>
  </si>
  <si>
    <t>&lt;p&gt;La &lt;strong&gt;vitamine B12&lt;/strong&gt; contribue au fonctionnement normal du système nerveux; à la formation normale de globules rouges et à réduire la fatigue.&lt;/p&gt;
&lt;p&gt;&lt;strong&gt;La vitamine B12&lt;/strong&gt; contribue au fonctionnement normal du système nerveux, à la formation normale des globules rouges et à la réduction de la fatigue. Une supplémentation est généralement recommandée en cas de régime végan.&lt;/p&gt;</t>
  </si>
  <si>
    <t>&lt;p&gt;&lt;strong&gt;La vitamine B6&lt;/strong&gt; contribue au fonctionnement normal du système immunitaire, à une régulation normale de l'activité hormonale et à la réduction de la fatigue. Une supplémentation est généralement recommandée en cas de régime végan.&lt;/p&gt;</t>
  </si>
  <si>
    <t>&lt;25%(H) &lt;35%(F)</t>
  </si>
  <si>
    <t>&gt;0,8</t>
  </si>
  <si>
    <t>&gt;27(H) &gt;16(F)</t>
  </si>
  <si>
    <t>&gt;500(H) &gt;385(F)</t>
  </si>
  <si>
    <t>&gt;10sec</t>
  </si>
  <si>
    <t>&gt;7(H) &gt;5,5(F)</t>
  </si>
  <si>
    <t>&gt;25%(H) &gt;35%(F)</t>
  </si>
  <si>
    <t>&lt;27(H) &lt;16(F)</t>
  </si>
  <si>
    <t>&lt;500(H) &lt;385(F)</t>
  </si>
  <si>
    <t>&gt;70</t>
  </si>
  <si>
    <t>64-83</t>
  </si>
  <si>
    <t>8-12%</t>
  </si>
  <si>
    <t>&gt;15</t>
  </si>
  <si>
    <t>&lt;1,0</t>
  </si>
  <si>
    <t>2,5-7,5</t>
  </si>
  <si>
    <t>30-120</t>
  </si>
  <si>
    <t>&lt;17</t>
  </si>
  <si>
    <t>5000-12000</t>
  </si>
  <si>
    <t>0,3-1</t>
  </si>
  <si>
    <t>3,1-6,8</t>
  </si>
  <si>
    <t>70-130</t>
  </si>
  <si>
    <t>1,6-2,6</t>
  </si>
  <si>
    <t>200-900</t>
  </si>
  <si>
    <t>0,5-1,7</t>
  </si>
  <si>
    <t>Négatif</t>
  </si>
  <si>
    <t>Positif</t>
  </si>
  <si>
    <t>Anormal</t>
  </si>
  <si>
    <t>&gt;0,4</t>
  </si>
  <si>
    <t>&lt;10%</t>
  </si>
  <si>
    <t>&gt;10%</t>
  </si>
  <si>
    <t>&lt;100(H) &lt;5(F)</t>
  </si>
  <si>
    <t>&gt;100(H) &gt;5(F)</t>
  </si>
  <si>
    <t>0,9-1,5</t>
  </si>
  <si>
    <t>0,8-0,9</t>
  </si>
  <si>
    <t>&lt;0,8 ou &gt;1,5</t>
  </si>
  <si>
    <t>0-1</t>
  </si>
  <si>
    <t>Hormone thyroïdienne active valeurs normales usuelles 3,1–6,8 pmol/L</t>
  </si>
  <si>
    <t xml:space="preserve">Prohormone thyroïdienne valeurs normales usuelles 12–22 pmol/L </t>
  </si>
  <si>
    <t>Le phosphore est, avec le calcium, le composant le plus abondant du squelette. Il joue un rôle clé dans le métabolisme cellulaire (synthèse d'ATP, phospholipides membranaires). La phosphatémie varie avec l'âge et le sexe et présente des variations nycthémérales (prélèvement à jeun recommandé). Valeurs normales adulte : 0,9 à 1,5 mmol/l (28 à 46 mg/l). Une hypophosphorémie (&lt;0,8 mmol/l) peut être liée à une perte rénale, un déficit d'absorption digestive ou une redistribution intracellulaire. Une hyperphosphorémie (&gt;1,5 mmol/l) est le plus souvent causée par l'insuffisance rénale. L'excrétion urinaire normale est de 25 à 65 mmol/24h.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</si>
</sst>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0.00\x"/>
    <numFmt numFmtId="166" formatCode="m/d/yyyy\ h:mm:ss"/>
    <numFmt numFmtId="167" formatCode="0.000"/>
    <numFmt numFmtId="168" formatCode="0.0"/>
  </numFmts>
  <fonts count="16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b/>
      <sz val="18"/>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4"/>
      <color rgb="FFFF0000"/>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
      <b/>
      <sz val="11"/>
      <color theme="4" tint="-0.249977111117893"/>
      <name val="Aptos"/>
      <family val="2"/>
    </font>
    <font>
      <b/>
      <sz val="11"/>
      <color theme="4" tint="-0.249977111117893"/>
      <name val="Calibri"/>
      <family val="2"/>
      <scheme val="minor"/>
    </font>
    <font>
      <b/>
      <sz val="14"/>
      <color theme="4" tint="-0.249977111117893"/>
      <name val="Arial"/>
      <family val="2"/>
    </font>
    <font>
      <b/>
      <u/>
      <sz val="11"/>
      <color theme="1"/>
      <name val="Calibri"/>
      <family val="2"/>
    </font>
    <font>
      <b/>
      <u/>
      <sz val="11"/>
      <color rgb="FF000000"/>
      <name val="Calibri"/>
      <family val="2"/>
    </font>
    <font>
      <b/>
      <sz val="11"/>
      <color rgb="FFFF0000"/>
      <name val="Aptos"/>
      <family val="2"/>
    </font>
    <font>
      <b/>
      <sz val="11"/>
      <color rgb="FF000000"/>
      <name val="Aptos"/>
      <family val="2"/>
    </font>
    <font>
      <b/>
      <sz val="11"/>
      <color theme="1"/>
      <name val="Aptos"/>
      <family val="2"/>
    </font>
    <font>
      <sz val="11"/>
      <color theme="1"/>
      <name val="Calibri"/>
      <family val="2"/>
    </font>
    <font>
      <b/>
      <sz val="11"/>
      <color rgb="FF000000"/>
      <name val="Calibri"/>
      <family val="2"/>
      <scheme val="minor"/>
    </font>
    <font>
      <sz val="11"/>
      <color rgb="FF000000"/>
      <name val="Calibri"/>
      <family val="2"/>
      <scheme val="minor"/>
    </font>
    <font>
      <sz val="11"/>
      <color rgb="FF004072"/>
      <name val="Calibri"/>
      <family val="2"/>
      <scheme val="minor"/>
    </font>
    <font>
      <b/>
      <sz val="14"/>
      <color rgb="FF000000"/>
      <name val="Calibri"/>
      <family val="2"/>
      <scheme val="minor"/>
    </font>
    <font>
      <b/>
      <sz val="14"/>
      <name val="Calibri"/>
      <family val="2"/>
      <scheme val="minor"/>
    </font>
    <font>
      <b/>
      <sz val="10"/>
      <color rgb="FF000000"/>
      <name val="Calibri"/>
      <family val="2"/>
      <scheme val="minor"/>
    </font>
    <font>
      <b/>
      <sz val="10"/>
      <name val="Calibri"/>
      <family val="2"/>
      <scheme val="minor"/>
    </font>
    <font>
      <sz val="6"/>
      <color rgb="FF000000"/>
      <name val="Segoe UI"/>
      <family val="2"/>
    </font>
    <font>
      <sz val="8"/>
      <color rgb="FFA4AAE5"/>
      <name val="Aeonik"/>
    </font>
    <font>
      <sz val="8"/>
      <color rgb="FF000000"/>
      <name val="Arial"/>
      <family val="2"/>
    </font>
    <font>
      <sz val="9.9"/>
      <color rgb="FF000000"/>
      <name val="Arial"/>
      <family val="2"/>
    </font>
    <font>
      <b/>
      <sz val="9.9"/>
      <color rgb="FF000000"/>
      <name val="Arial"/>
      <family val="2"/>
    </font>
    <font>
      <sz val="9.9"/>
      <color rgb="FFFF0000"/>
      <name val="Arial"/>
      <family val="2"/>
    </font>
    <font>
      <b/>
      <sz val="14"/>
      <color rgb="FF303030"/>
      <name val="Calibri"/>
      <family val="2"/>
      <scheme val="minor"/>
    </font>
    <font>
      <sz val="14"/>
      <color theme="1"/>
      <name val="Aptos"/>
      <family val="2"/>
    </font>
    <font>
      <sz val="10"/>
      <color theme="1"/>
      <name val="Calibri"/>
      <family val="2"/>
      <scheme val="minor"/>
    </font>
    <font>
      <sz val="10"/>
      <color rgb="FF040C28"/>
      <name val="Arial"/>
      <family val="2"/>
    </font>
    <font>
      <sz val="10"/>
      <color rgb="FF1F1F1F"/>
      <name val="Arial"/>
      <family val="2"/>
    </font>
    <font>
      <b/>
      <sz val="11"/>
      <color rgb="FF003366"/>
      <name val="Calibri"/>
      <family val="2"/>
      <scheme val="minor"/>
    </font>
    <font>
      <b/>
      <sz val="11"/>
      <color rgb="FF001D35"/>
      <name val="Calibri"/>
      <family val="2"/>
      <scheme val="minor"/>
    </font>
    <font>
      <b/>
      <sz val="11"/>
      <color rgb="FFFF0000"/>
      <name val="Calibri"/>
      <family val="2"/>
      <scheme val="minor"/>
    </font>
    <font>
      <b/>
      <sz val="11"/>
      <color rgb="FF0A0A0A"/>
      <name val="Calibri"/>
      <family val="2"/>
      <scheme val="minor"/>
    </font>
    <font>
      <b/>
      <sz val="14"/>
      <color theme="0"/>
      <name val="Calibri"/>
      <family val="2"/>
      <scheme val="minor"/>
    </font>
    <font>
      <b/>
      <sz val="16"/>
      <color rgb="FFFF0000"/>
      <name val="Calibri"/>
      <family val="2"/>
      <scheme val="minor"/>
    </font>
    <font>
      <b/>
      <sz val="16"/>
      <color theme="0"/>
      <name val="Calibri"/>
      <family val="2"/>
      <scheme val="minor"/>
    </font>
    <font>
      <b/>
      <sz val="16"/>
      <color rgb="FF003366"/>
      <name val="Calibri"/>
      <family val="2"/>
      <scheme val="minor"/>
    </font>
    <font>
      <b/>
      <sz val="16"/>
      <color rgb="FF000000"/>
      <name val="Calibri"/>
      <family val="2"/>
      <scheme val="minor"/>
    </font>
    <font>
      <b/>
      <vertAlign val="superscript"/>
      <sz val="16"/>
      <color rgb="FF000000"/>
      <name val="Calibri"/>
      <family val="2"/>
      <scheme val="minor"/>
    </font>
    <font>
      <b/>
      <sz val="16"/>
      <color rgb="FF202124"/>
      <name val="Calibri"/>
      <family val="2"/>
      <scheme val="minor"/>
    </font>
    <font>
      <b/>
      <u/>
      <sz val="16"/>
      <name val="Calibri"/>
      <family val="2"/>
      <scheme val="minor"/>
    </font>
    <font>
      <b/>
      <sz val="16"/>
      <color rgb="FF212121"/>
      <name val="Calibri"/>
      <family val="2"/>
      <scheme val="minor"/>
    </font>
    <font>
      <b/>
      <sz val="16"/>
      <color rgb="FF1F1F1F"/>
      <name val="Calibri"/>
      <family val="2"/>
      <scheme val="minor"/>
    </font>
    <font>
      <b/>
      <sz val="16"/>
      <color rgb="FF333333"/>
      <name val="Calibri"/>
      <family val="2"/>
      <scheme val="minor"/>
    </font>
    <font>
      <b/>
      <sz val="16"/>
      <color rgb="FF202122"/>
      <name val="Calibri"/>
      <family val="2"/>
      <scheme val="minor"/>
    </font>
    <font>
      <b/>
      <sz val="16"/>
      <color rgb="FF001D35"/>
      <name val="Calibri"/>
      <family val="2"/>
      <scheme val="minor"/>
    </font>
    <font>
      <b/>
      <sz val="16"/>
      <color rgb="FF474747"/>
      <name val="Calibri"/>
      <family val="2"/>
      <scheme val="minor"/>
    </font>
    <font>
      <b/>
      <sz val="16"/>
      <color rgb="FF222222"/>
      <name val="Calibri"/>
      <family val="2"/>
      <scheme val="minor"/>
    </font>
    <font>
      <b/>
      <vertAlign val="superscript"/>
      <sz val="16"/>
      <color rgb="FF222222"/>
      <name val="Calibri"/>
      <family val="2"/>
      <scheme val="minor"/>
    </font>
    <font>
      <b/>
      <sz val="14"/>
      <color rgb="FF002060"/>
      <name val="Calibri"/>
      <family val="2"/>
      <scheme val="minor"/>
    </font>
    <font>
      <b/>
      <sz val="14"/>
      <color theme="0"/>
      <name val="Arial"/>
      <family val="2"/>
    </font>
    <font>
      <sz val="11"/>
      <color rgb="FF404040"/>
      <name val="Calibri"/>
      <family val="2"/>
      <scheme val="minor"/>
    </font>
    <font>
      <sz val="11"/>
      <color rgb="FF003366"/>
      <name val="Calibri"/>
      <family val="2"/>
      <scheme val="minor"/>
    </font>
    <font>
      <vertAlign val="superscript"/>
      <sz val="11"/>
      <color rgb="FF000000"/>
      <name val="Calibri"/>
      <family val="2"/>
      <scheme val="minor"/>
    </font>
    <font>
      <sz val="11"/>
      <color rgb="FF222222"/>
      <name val="Calibri"/>
      <family val="2"/>
      <scheme val="minor"/>
    </font>
    <font>
      <vertAlign val="superscript"/>
      <sz val="11"/>
      <color rgb="FF222222"/>
      <name val="Calibri"/>
      <family val="2"/>
      <scheme val="minor"/>
    </font>
    <font>
      <sz val="11"/>
      <color rgb="FF0A0A0A"/>
      <name val="Calibri"/>
      <family val="2"/>
      <scheme val="minor"/>
    </font>
    <font>
      <b/>
      <sz val="14"/>
      <color rgb="FF040C28"/>
      <name val="Arial"/>
      <family val="2"/>
    </font>
    <font>
      <b/>
      <sz val="12"/>
      <color theme="1"/>
      <name val="Arial"/>
      <family val="2"/>
    </font>
    <font>
      <b/>
      <sz val="14"/>
      <color rgb="FF222222"/>
      <name val="Calibri"/>
      <family val="2"/>
      <scheme val="minor"/>
    </font>
    <font>
      <sz val="11"/>
      <color theme="1"/>
      <name val="Aptos"/>
      <family val="2"/>
    </font>
    <font>
      <b/>
      <sz val="14"/>
      <color theme="4"/>
      <name val="Calibri"/>
      <family val="2"/>
      <scheme val="minor"/>
    </font>
    <font>
      <b/>
      <sz val="11"/>
      <color rgb="FF196B24"/>
      <name val="Calibri"/>
      <family val="2"/>
      <scheme val="minor"/>
    </font>
    <font>
      <sz val="11"/>
      <color rgb="FF196B24"/>
      <name val="Calibri"/>
      <family val="2"/>
      <scheme val="minor"/>
    </font>
    <font>
      <b/>
      <strike/>
      <sz val="11"/>
      <color rgb="FF196B24"/>
      <name val="Calibri"/>
      <family val="2"/>
      <scheme val="minor"/>
    </font>
    <font>
      <vertAlign val="subscript"/>
      <sz val="11"/>
      <color rgb="FFFF0000"/>
      <name val="Calibri"/>
      <family val="2"/>
      <scheme val="minor"/>
    </font>
    <font>
      <sz val="11"/>
      <color rgb="FFD86DCB"/>
      <name val="Calibri"/>
      <family val="2"/>
      <scheme val="minor"/>
    </font>
    <font>
      <i/>
      <sz val="11"/>
      <color rgb="FFD86DCB"/>
      <name val="Calibri"/>
      <family val="2"/>
      <scheme val="minor"/>
    </font>
    <font>
      <sz val="11"/>
      <color rgb="FFFF00FF"/>
      <name val="Calibri"/>
      <family val="2"/>
      <scheme val="minor"/>
    </font>
    <font>
      <sz val="11"/>
      <color rgb="FF3A7C22"/>
      <name val="Calibri"/>
      <family val="2"/>
      <scheme val="minor"/>
    </font>
    <font>
      <b/>
      <sz val="11"/>
      <color rgb="FFEE0000"/>
      <name val="Calibri"/>
      <family val="2"/>
      <scheme val="minor"/>
    </font>
    <font>
      <sz val="11"/>
      <color rgb="FFEE0000"/>
      <name val="Calibri"/>
      <family val="2"/>
      <scheme val="minor"/>
    </font>
    <font>
      <b/>
      <vertAlign val="superscript"/>
      <sz val="16"/>
      <color theme="1"/>
      <name val="Calibri"/>
      <family val="2"/>
      <scheme val="minor"/>
    </font>
    <font>
      <b/>
      <sz val="16"/>
      <color rgb="FF0A0A0A"/>
      <name val="Calibri"/>
      <family val="2"/>
      <scheme val="minor"/>
    </font>
    <font>
      <b/>
      <sz val="14"/>
      <color rgb="FF7030A0"/>
      <name val="Calibri"/>
      <family val="2"/>
      <scheme val="minor"/>
    </font>
    <font>
      <b/>
      <sz val="14"/>
      <color rgb="FF202124"/>
      <name val="Calibri"/>
      <family val="2"/>
      <scheme val="minor"/>
    </font>
    <font>
      <b/>
      <sz val="14"/>
      <color rgb="FF4D4D4D"/>
      <name val="Calibri"/>
      <family val="2"/>
      <scheme val="minor"/>
    </font>
    <font>
      <b/>
      <sz val="14"/>
      <color rgb="FF4D5156"/>
      <name val="Calibri"/>
      <family val="2"/>
      <scheme val="minor"/>
    </font>
    <font>
      <b/>
      <sz val="14"/>
      <color rgb="FF001D35"/>
      <name val="Calibri"/>
      <family val="2"/>
      <scheme val="minor"/>
    </font>
    <font>
      <b/>
      <sz val="14"/>
      <color rgb="FF474747"/>
      <name val="Calibri"/>
      <family val="2"/>
      <scheme val="minor"/>
    </font>
    <font>
      <b/>
      <i/>
      <sz val="14"/>
      <color rgb="FF0A0A0A"/>
      <name val="Calibri"/>
      <family val="2"/>
      <scheme val="minor"/>
    </font>
    <font>
      <b/>
      <sz val="14"/>
      <color rgb="FF374151"/>
      <name val="Calibri"/>
      <family val="2"/>
      <scheme val="minor"/>
    </font>
    <font>
      <b/>
      <sz val="14"/>
      <color rgb="FF333333"/>
      <name val="Calibri"/>
      <family val="2"/>
      <scheme val="minor"/>
    </font>
    <font>
      <b/>
      <sz val="14"/>
      <color rgb="FF343541"/>
      <name val="Calibri"/>
      <family val="2"/>
      <scheme val="minor"/>
    </font>
    <font>
      <b/>
      <sz val="14"/>
      <color theme="9"/>
      <name val="Calibri"/>
      <family val="2"/>
      <scheme val="minor"/>
    </font>
    <font>
      <sz val="10"/>
      <name val="Calibri"/>
      <family val="2"/>
      <scheme val="minor"/>
    </font>
    <font>
      <b/>
      <sz val="12"/>
      <color rgb="FFFF0000"/>
      <name val="Arial"/>
      <family val="2"/>
    </font>
    <font>
      <i/>
      <sz val="6"/>
      <color rgb="FF3C3C3C"/>
      <name val="Arial"/>
      <family val="2"/>
    </font>
    <font>
      <b/>
      <sz val="10"/>
      <color rgb="FF3C3C3C"/>
      <name val="Arial"/>
      <family val="2"/>
    </font>
    <font>
      <b/>
      <sz val="10"/>
      <color rgb="FF1F1F1F"/>
      <name val="Calibri"/>
      <family val="2"/>
      <scheme val="minor"/>
    </font>
    <font>
      <b/>
      <sz val="10"/>
      <color theme="1"/>
      <name val="Arial"/>
      <family val="2"/>
    </font>
    <font>
      <b/>
      <sz val="11"/>
      <color theme="5"/>
      <name val="Calibri"/>
      <family val="2"/>
      <scheme val="minor"/>
    </font>
    <font>
      <sz val="11"/>
      <color rgb="FF0000FF"/>
      <name val="Calibri"/>
      <family val="2"/>
    </font>
    <font>
      <sz val="11"/>
      <name val="Calibri"/>
      <family val="2"/>
    </font>
  </fonts>
  <fills count="10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
      <patternFill patternType="solid">
        <fgColor rgb="FFFFFFCC"/>
        <bgColor indexed="64"/>
      </patternFill>
    </fill>
    <fill>
      <patternFill patternType="solid">
        <fgColor rgb="FFFF9900"/>
        <bgColor indexed="64"/>
      </patternFill>
    </fill>
    <fill>
      <patternFill patternType="solid">
        <fgColor rgb="FFF2CEED"/>
        <bgColor indexed="64"/>
      </patternFill>
    </fill>
    <fill>
      <patternFill patternType="solid">
        <fgColor rgb="FFF2F2F2"/>
        <bgColor indexed="64"/>
      </patternFill>
    </fill>
    <fill>
      <patternFill patternType="solid">
        <fgColor rgb="FFC1F0C7"/>
        <bgColor indexed="64"/>
      </patternFill>
    </fill>
    <fill>
      <patternFill patternType="solid">
        <fgColor rgb="FFDAE9F7"/>
        <bgColor indexed="64"/>
      </patternFill>
    </fill>
    <fill>
      <patternFill patternType="solid">
        <fgColor rgb="FFB3E5A1"/>
        <bgColor indexed="64"/>
      </patternFill>
    </fill>
    <fill>
      <patternFill patternType="solid">
        <fgColor rgb="FFCC99FF"/>
        <bgColor indexed="64"/>
      </patternFill>
    </fill>
    <fill>
      <patternFill patternType="solid">
        <fgColor rgb="FFFF6699"/>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3" tint="0.749992370372631"/>
        <bgColor indexed="64"/>
      </patternFill>
    </fill>
    <fill>
      <patternFill patternType="solid">
        <fgColor rgb="FFFF66FF"/>
        <bgColor indexed="64"/>
      </patternFill>
    </fill>
    <fill>
      <patternFill patternType="solid">
        <fgColor rgb="FF0070C0"/>
        <bgColor indexed="64"/>
      </patternFill>
    </fill>
    <fill>
      <patternFill patternType="solid">
        <fgColor rgb="FFFF99FF"/>
        <bgColor indexed="64"/>
      </patternFill>
    </fill>
    <fill>
      <patternFill patternType="solid">
        <fgColor theme="0" tint="-4.9989318521683403E-2"/>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0"/>
        <bgColor rgb="FFFFFFCC"/>
      </patternFill>
    </fill>
    <fill>
      <patternFill patternType="solid">
        <fgColor rgb="FFC0C0C0"/>
        <bgColor rgb="FFCCCCFF"/>
      </patternFill>
    </fill>
    <fill>
      <patternFill patternType="solid">
        <fgColor rgb="FFFFFF00"/>
        <bgColor rgb="FFFFFFCC"/>
      </patternFill>
    </fill>
    <fill>
      <patternFill patternType="solid">
        <fgColor rgb="FF43E957"/>
        <bgColor indexed="64"/>
      </patternFill>
    </fill>
    <fill>
      <patternFill patternType="solid">
        <fgColor rgb="FF00FF99"/>
        <bgColor indexed="64"/>
      </patternFill>
    </fill>
    <fill>
      <patternFill patternType="solid">
        <fgColor rgb="FFC00000"/>
        <bgColor indexed="64"/>
      </patternFill>
    </fill>
    <fill>
      <patternFill patternType="solid">
        <fgColor theme="7" tint="-0.249977111117893"/>
        <bgColor indexed="64"/>
      </patternFill>
    </fill>
    <fill>
      <patternFill patternType="solid">
        <fgColor theme="2" tint="-9.9978637043366805E-2"/>
        <bgColor indexed="64"/>
      </patternFill>
    </fill>
    <fill>
      <patternFill patternType="solid">
        <fgColor theme="3"/>
        <bgColor indexed="64"/>
      </patternFill>
    </fill>
    <fill>
      <patternFill patternType="solid">
        <fgColor rgb="FF00FF00"/>
        <bgColor indexed="64"/>
      </patternFill>
    </fill>
    <fill>
      <patternFill patternType="solid">
        <fgColor theme="1" tint="0.499984740745262"/>
        <bgColor indexed="64"/>
      </patternFill>
    </fill>
    <fill>
      <patternFill patternType="solid">
        <fgColor theme="8"/>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1018">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9" fontId="0" fillId="0" borderId="0" xfId="0" applyNumberFormat="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24" fillId="0" borderId="0" xfId="0" applyFont="1" applyAlignment="1">
      <alignment horizontal="right"/>
    </xf>
    <xf numFmtId="9" fontId="16" fillId="0" borderId="0" xfId="0" applyNumberFormat="1" applyFont="1" applyAlignment="1">
      <alignment horizontal="center"/>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0" fillId="40" borderId="10" xfId="0" applyFont="1" applyFill="1" applyBorder="1" applyAlignment="1">
      <alignment horizontal="center"/>
    </xf>
    <xf numFmtId="0" fontId="41" fillId="40" borderId="10" xfId="0" applyFont="1" applyFill="1" applyBorder="1" applyAlignment="1">
      <alignment horizontal="center"/>
    </xf>
    <xf numFmtId="2" fontId="18" fillId="34" borderId="10" xfId="0" applyNumberFormat="1" applyFont="1" applyFill="1" applyBorder="1" applyAlignment="1">
      <alignment horizontal="center"/>
    </xf>
    <xf numFmtId="2" fontId="47" fillId="0" borderId="10" xfId="0" applyNumberFormat="1" applyFont="1" applyBorder="1" applyAlignment="1" applyProtection="1">
      <alignment horizontal="center" vertical="center"/>
      <protection locked="0"/>
    </xf>
    <xf numFmtId="2" fontId="47"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4"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4" fillId="48" borderId="10" xfId="0" applyFont="1" applyFill="1" applyBorder="1" applyAlignment="1">
      <alignment horizontal="center"/>
    </xf>
    <xf numFmtId="10" fontId="18" fillId="48" borderId="10" xfId="0" applyNumberFormat="1" applyFont="1" applyFill="1" applyBorder="1" applyAlignment="1">
      <alignment horizontal="center"/>
    </xf>
    <xf numFmtId="1" fontId="44" fillId="48" borderId="10" xfId="0" applyNumberFormat="1" applyFont="1" applyFill="1" applyBorder="1" applyAlignment="1">
      <alignment horizontal="center"/>
    </xf>
    <xf numFmtId="0" fontId="44" fillId="34" borderId="10" xfId="0" applyFont="1" applyFill="1" applyBorder="1" applyAlignment="1">
      <alignment horizontal="left" vertical="center"/>
    </xf>
    <xf numFmtId="0" fontId="44"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4" fillId="51" borderId="10" xfId="0" applyFont="1" applyFill="1" applyBorder="1" applyAlignment="1">
      <alignment horizontal="center"/>
    </xf>
    <xf numFmtId="0" fontId="54" fillId="35" borderId="10" xfId="0" applyFont="1" applyFill="1" applyBorder="1" applyAlignment="1">
      <alignment horizontal="center"/>
    </xf>
    <xf numFmtId="0" fontId="54" fillId="0" borderId="10" xfId="0" applyFont="1" applyBorder="1" applyAlignment="1">
      <alignment horizontal="center"/>
    </xf>
    <xf numFmtId="166" fontId="54" fillId="50" borderId="10" xfId="0" applyNumberFormat="1" applyFont="1" applyFill="1" applyBorder="1" applyAlignment="1" applyProtection="1">
      <alignment horizontal="center"/>
      <protection locked="0"/>
    </xf>
    <xf numFmtId="0" fontId="54" fillId="46" borderId="10" xfId="0" applyFont="1" applyFill="1" applyBorder="1" applyAlignment="1" applyProtection="1">
      <alignment horizontal="center"/>
      <protection locked="0"/>
    </xf>
    <xf numFmtId="0" fontId="54" fillId="42" borderId="10" xfId="0" applyFont="1" applyFill="1" applyBorder="1" applyAlignment="1">
      <alignment horizontal="center"/>
    </xf>
    <xf numFmtId="0" fontId="54" fillId="0" borderId="10" xfId="0" applyFont="1" applyBorder="1" applyAlignment="1" applyProtection="1">
      <alignment horizontal="center"/>
      <protection locked="0"/>
    </xf>
    <xf numFmtId="0" fontId="54" fillId="0" borderId="10" xfId="0" applyFont="1" applyBorder="1" applyAlignment="1">
      <alignment horizontal="center" vertical="center"/>
    </xf>
    <xf numFmtId="0" fontId="55" fillId="0" borderId="10" xfId="0" applyFont="1" applyBorder="1" applyAlignment="1">
      <alignment horizontal="center"/>
    </xf>
    <xf numFmtId="0" fontId="54" fillId="34" borderId="10" xfId="0" applyFont="1" applyFill="1" applyBorder="1" applyAlignment="1">
      <alignment horizontal="center"/>
    </xf>
    <xf numFmtId="0" fontId="54" fillId="48" borderId="10" xfId="0" applyFont="1" applyFill="1" applyBorder="1" applyAlignment="1">
      <alignment horizontal="center"/>
    </xf>
    <xf numFmtId="0" fontId="54" fillId="40" borderId="10" xfId="0" applyFont="1" applyFill="1" applyBorder="1" applyAlignment="1">
      <alignment horizontal="center" vertical="center"/>
    </xf>
    <xf numFmtId="0" fontId="55" fillId="40" borderId="10" xfId="0" applyFont="1" applyFill="1" applyBorder="1" applyAlignment="1">
      <alignment horizontal="center"/>
    </xf>
    <xf numFmtId="0" fontId="54" fillId="40" borderId="10" xfId="0" applyFont="1" applyFill="1" applyBorder="1" applyAlignment="1">
      <alignment horizontal="center"/>
    </xf>
    <xf numFmtId="0" fontId="54" fillId="45" borderId="10" xfId="0" applyFont="1" applyFill="1" applyBorder="1" applyAlignment="1">
      <alignment horizontal="center"/>
    </xf>
    <xf numFmtId="0" fontId="54" fillId="43" borderId="10" xfId="0" applyFont="1" applyFill="1" applyBorder="1" applyAlignment="1">
      <alignment horizontal="center"/>
    </xf>
    <xf numFmtId="0" fontId="54" fillId="33" borderId="10" xfId="0" applyFont="1" applyFill="1" applyBorder="1" applyAlignment="1">
      <alignment horizontal="center"/>
    </xf>
    <xf numFmtId="0" fontId="54" fillId="38" borderId="10" xfId="0" applyFont="1" applyFill="1" applyBorder="1" applyAlignment="1">
      <alignment horizontal="center"/>
    </xf>
    <xf numFmtId="0" fontId="54" fillId="35" borderId="10" xfId="0" applyFont="1" applyFill="1" applyBorder="1" applyAlignment="1" applyProtection="1">
      <alignment horizontal="center"/>
      <protection locked="0"/>
    </xf>
    <xf numFmtId="0" fontId="56" fillId="0" borderId="10" xfId="0" applyFont="1" applyBorder="1" applyAlignment="1">
      <alignment horizontal="center"/>
    </xf>
    <xf numFmtId="2" fontId="54" fillId="0" borderId="10" xfId="0" applyNumberFormat="1" applyFont="1" applyBorder="1" applyAlignment="1">
      <alignment horizontal="center"/>
    </xf>
    <xf numFmtId="0" fontId="54" fillId="41" borderId="10" xfId="0" applyFont="1" applyFill="1" applyBorder="1" applyAlignment="1" applyProtection="1">
      <alignment horizontal="center"/>
      <protection locked="0"/>
    </xf>
    <xf numFmtId="0" fontId="54" fillId="44" borderId="10" xfId="0" applyFont="1" applyFill="1" applyBorder="1" applyAlignment="1">
      <alignment horizontal="center"/>
    </xf>
    <xf numFmtId="0" fontId="54" fillId="34" borderId="10" xfId="0" applyFont="1" applyFill="1" applyBorder="1" applyAlignment="1" applyProtection="1">
      <alignment horizontal="center"/>
      <protection locked="0"/>
    </xf>
    <xf numFmtId="0" fontId="54" fillId="41" borderId="10" xfId="0" applyFont="1" applyFill="1" applyBorder="1" applyAlignment="1">
      <alignment horizontal="center"/>
    </xf>
    <xf numFmtId="0" fontId="54" fillId="34" borderId="10" xfId="0" applyFont="1" applyFill="1" applyBorder="1" applyAlignment="1">
      <alignment horizontal="center" vertical="center"/>
    </xf>
    <xf numFmtId="0" fontId="55" fillId="34" borderId="10" xfId="0" applyFont="1" applyFill="1" applyBorder="1" applyAlignment="1">
      <alignment horizontal="center"/>
    </xf>
    <xf numFmtId="22" fontId="57" fillId="0" borderId="10" xfId="0" applyNumberFormat="1" applyFont="1" applyBorder="1" applyAlignment="1">
      <alignment horizontal="center" wrapText="1"/>
    </xf>
    <xf numFmtId="0" fontId="54" fillId="48" borderId="10" xfId="0" applyFont="1" applyFill="1" applyBorder="1" applyAlignment="1" applyProtection="1">
      <alignment horizontal="center"/>
      <protection locked="0"/>
    </xf>
    <xf numFmtId="14" fontId="54" fillId="50" borderId="10" xfId="0" applyNumberFormat="1" applyFont="1" applyFill="1" applyBorder="1" applyAlignment="1">
      <alignment horizontal="center"/>
    </xf>
    <xf numFmtId="14" fontId="57" fillId="0" borderId="10" xfId="0" applyNumberFormat="1" applyFont="1" applyBorder="1" applyAlignment="1">
      <alignment horizontal="center" wrapText="1"/>
    </xf>
    <xf numFmtId="0" fontId="58" fillId="0" borderId="10" xfId="0" applyFont="1" applyBorder="1" applyAlignment="1">
      <alignment horizontal="center"/>
    </xf>
    <xf numFmtId="0" fontId="57" fillId="53" borderId="10" xfId="0" applyFont="1" applyFill="1" applyBorder="1" applyAlignment="1">
      <alignment horizontal="center" wrapText="1"/>
    </xf>
    <xf numFmtId="0" fontId="57" fillId="0" borderId="10" xfId="0" applyFont="1" applyBorder="1" applyAlignment="1">
      <alignment horizontal="center" wrapText="1"/>
    </xf>
    <xf numFmtId="0" fontId="44"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0" fillId="48" borderId="10" xfId="0" applyFont="1" applyFill="1" applyBorder="1" applyAlignment="1">
      <alignment horizontal="center"/>
    </xf>
    <xf numFmtId="2" fontId="62" fillId="0" borderId="10" xfId="0" applyNumberFormat="1" applyFont="1" applyBorder="1" applyAlignment="1">
      <alignment horizontal="center"/>
    </xf>
    <xf numFmtId="164" fontId="14" fillId="0" borderId="10" xfId="0" applyNumberFormat="1" applyFont="1" applyBorder="1" applyAlignment="1">
      <alignment horizontal="center"/>
    </xf>
    <xf numFmtId="2" fontId="56" fillId="50" borderId="10" xfId="0" applyNumberFormat="1" applyFont="1" applyFill="1" applyBorder="1" applyAlignment="1" applyProtection="1">
      <alignment horizontal="center"/>
      <protection locked="0"/>
    </xf>
    <xf numFmtId="0" fontId="56" fillId="44" borderId="10" xfId="0" applyFont="1" applyFill="1" applyBorder="1" applyAlignment="1">
      <alignment horizontal="center"/>
    </xf>
    <xf numFmtId="2" fontId="60" fillId="0" borderId="10" xfId="0" applyNumberFormat="1" applyFont="1" applyBorder="1" applyAlignment="1" applyProtection="1">
      <alignment horizontal="center" vertical="center"/>
      <protection locked="0"/>
    </xf>
    <xf numFmtId="0" fontId="54" fillId="33" borderId="10" xfId="0" applyFont="1" applyFill="1" applyBorder="1" applyAlignment="1">
      <alignment horizontal="center" wrapText="1"/>
    </xf>
    <xf numFmtId="0" fontId="54" fillId="35" borderId="10" xfId="0" applyFont="1" applyFill="1" applyBorder="1" applyAlignment="1">
      <alignment horizontal="center" wrapText="1"/>
    </xf>
    <xf numFmtId="0" fontId="54" fillId="0" borderId="10" xfId="0" applyFont="1" applyBorder="1" applyAlignment="1">
      <alignment horizontal="center" wrapText="1"/>
    </xf>
    <xf numFmtId="0" fontId="54" fillId="47" borderId="10" xfId="0" applyFont="1" applyFill="1" applyBorder="1" applyAlignment="1">
      <alignment horizontal="center" wrapText="1"/>
    </xf>
    <xf numFmtId="0" fontId="54" fillId="34" borderId="10" xfId="0" applyFont="1" applyFill="1" applyBorder="1" applyAlignment="1">
      <alignment horizontal="center" wrapText="1"/>
    </xf>
    <xf numFmtId="0" fontId="54" fillId="46" borderId="10" xfId="0" applyFont="1" applyFill="1" applyBorder="1" applyAlignment="1">
      <alignment horizontal="center" wrapText="1"/>
    </xf>
    <xf numFmtId="0" fontId="56" fillId="43" borderId="10" xfId="0" applyFont="1" applyFill="1" applyBorder="1" applyAlignment="1">
      <alignment horizontal="center"/>
    </xf>
    <xf numFmtId="0" fontId="54" fillId="54" borderId="10" xfId="0" applyFont="1" applyFill="1" applyBorder="1" applyAlignment="1">
      <alignment horizontal="center"/>
    </xf>
    <xf numFmtId="0" fontId="54" fillId="0" borderId="10" xfId="0" applyFont="1" applyBorder="1" applyAlignment="1">
      <alignment wrapText="1"/>
    </xf>
    <xf numFmtId="0" fontId="44" fillId="47" borderId="10" xfId="0" applyFont="1" applyFill="1" applyBorder="1" applyAlignment="1">
      <alignment horizontal="left" vertical="center"/>
    </xf>
    <xf numFmtId="0" fontId="56" fillId="0" borderId="10" xfId="0" applyFont="1" applyBorder="1" applyAlignment="1" applyProtection="1">
      <alignment horizontal="center"/>
      <protection locked="0"/>
    </xf>
    <xf numFmtId="0" fontId="60" fillId="43" borderId="10" xfId="0" applyFont="1" applyFill="1" applyBorder="1" applyAlignment="1">
      <alignment horizontal="left" vertical="center"/>
    </xf>
    <xf numFmtId="2" fontId="60" fillId="0" borderId="10" xfId="0" applyNumberFormat="1" applyFont="1" applyBorder="1" applyAlignment="1">
      <alignment horizontal="center"/>
    </xf>
    <xf numFmtId="2" fontId="60" fillId="0" borderId="10" xfId="0" applyNumberFormat="1" applyFont="1" applyBorder="1" applyAlignment="1" applyProtection="1">
      <alignment horizontal="center"/>
      <protection locked="0"/>
    </xf>
    <xf numFmtId="2" fontId="60" fillId="43" borderId="10" xfId="0" applyNumberFormat="1" applyFont="1" applyFill="1" applyBorder="1" applyAlignment="1" applyProtection="1">
      <alignment horizontal="center" vertical="center"/>
      <protection locked="0"/>
    </xf>
    <xf numFmtId="0" fontId="60" fillId="61" borderId="10" xfId="0" applyFont="1" applyFill="1" applyBorder="1"/>
    <xf numFmtId="0" fontId="60" fillId="61" borderId="10" xfId="0" applyFont="1" applyFill="1" applyBorder="1" applyAlignment="1">
      <alignment horizontal="left" vertical="center"/>
    </xf>
    <xf numFmtId="0" fontId="60" fillId="61" borderId="10" xfId="0" applyFont="1" applyFill="1" applyBorder="1" applyAlignment="1">
      <alignment horizontal="left"/>
    </xf>
    <xf numFmtId="0" fontId="60" fillId="34" borderId="10" xfId="0" applyFont="1" applyFill="1" applyBorder="1" applyAlignment="1">
      <alignment horizontal="left" vertical="center"/>
    </xf>
    <xf numFmtId="2" fontId="18" fillId="64" borderId="10" xfId="0" applyNumberFormat="1" applyFont="1" applyFill="1" applyBorder="1" applyAlignment="1">
      <alignment horizontal="center"/>
    </xf>
    <xf numFmtId="2" fontId="60" fillId="46" borderId="10" xfId="0" applyNumberFormat="1" applyFont="1" applyFill="1" applyBorder="1" applyAlignment="1" applyProtection="1">
      <alignment horizontal="center"/>
      <protection locked="0"/>
    </xf>
    <xf numFmtId="0" fontId="54" fillId="65" borderId="10" xfId="0" applyFont="1" applyFill="1" applyBorder="1" applyAlignment="1">
      <alignment horizontal="center" wrapText="1"/>
    </xf>
    <xf numFmtId="49" fontId="54" fillId="65" borderId="10" xfId="0" applyNumberFormat="1" applyFont="1" applyFill="1" applyBorder="1" applyAlignment="1" applyProtection="1">
      <alignment horizontal="center"/>
      <protection locked="0"/>
    </xf>
    <xf numFmtId="0" fontId="56" fillId="48" borderId="10" xfId="0" applyFont="1" applyFill="1" applyBorder="1" applyAlignment="1">
      <alignment horizontal="center"/>
    </xf>
    <xf numFmtId="49" fontId="56" fillId="48" borderId="10" xfId="0" applyNumberFormat="1" applyFont="1" applyFill="1" applyBorder="1" applyAlignment="1">
      <alignment horizontal="center"/>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29" fillId="0" borderId="10" xfId="0" applyFont="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4"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44"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5" fillId="0" borderId="10" xfId="0" applyFont="1" applyBorder="1"/>
    <xf numFmtId="0" fontId="18" fillId="0" borderId="10" xfId="0" applyFont="1" applyBorder="1"/>
    <xf numFmtId="2" fontId="42" fillId="0" borderId="10" xfId="0" applyNumberFormat="1" applyFont="1" applyBorder="1" applyAlignment="1">
      <alignment horizontal="center"/>
    </xf>
    <xf numFmtId="0" fontId="52" fillId="0" borderId="10" xfId="0" applyFont="1" applyBorder="1" applyAlignment="1">
      <alignment horizontal="left" vertical="center" indent="3"/>
    </xf>
    <xf numFmtId="1" fontId="45" fillId="0" borderId="10" xfId="0" applyNumberFormat="1" applyFont="1" applyBorder="1"/>
    <xf numFmtId="0" fontId="60" fillId="0" borderId="10" xfId="0" applyFont="1" applyBorder="1"/>
    <xf numFmtId="0" fontId="64" fillId="0" borderId="10" xfId="0" applyFont="1" applyBorder="1"/>
    <xf numFmtId="0" fontId="63" fillId="0" borderId="10" xfId="0" applyFont="1" applyBorder="1"/>
    <xf numFmtId="0" fontId="59" fillId="0" borderId="10" xfId="0" applyFont="1" applyBorder="1"/>
    <xf numFmtId="2" fontId="18" fillId="0" borderId="10" xfId="0" applyNumberFormat="1" applyFont="1" applyBorder="1"/>
    <xf numFmtId="0" fontId="18" fillId="43" borderId="10" xfId="0" applyFont="1" applyFill="1" applyBorder="1" applyAlignment="1">
      <alignment horizontal="center" vertical="center"/>
    </xf>
    <xf numFmtId="0" fontId="51" fillId="0" borderId="10" xfId="0" applyFont="1" applyBorder="1" applyAlignment="1">
      <alignment vertical="center"/>
    </xf>
    <xf numFmtId="0" fontId="53" fillId="0" borderId="10" xfId="0" applyFont="1" applyBorder="1" applyAlignment="1">
      <alignment vertical="center"/>
    </xf>
    <xf numFmtId="0" fontId="60" fillId="62" borderId="10" xfId="0" applyFont="1" applyFill="1" applyBorder="1" applyAlignment="1">
      <alignment horizontal="center"/>
    </xf>
    <xf numFmtId="0" fontId="18" fillId="62" borderId="10" xfId="0" applyFont="1" applyFill="1" applyBorder="1"/>
    <xf numFmtId="0" fontId="18" fillId="62" borderId="10" xfId="0" applyFont="1" applyFill="1" applyBorder="1" applyAlignment="1">
      <alignment horizontal="center"/>
    </xf>
    <xf numFmtId="0" fontId="44" fillId="0" borderId="10" xfId="0" applyFont="1" applyBorder="1" applyAlignment="1">
      <alignment horizontal="center"/>
    </xf>
    <xf numFmtId="0" fontId="18" fillId="42" borderId="10" xfId="0" applyFont="1" applyFill="1" applyBorder="1" applyAlignment="1">
      <alignment horizontal="center"/>
    </xf>
    <xf numFmtId="2" fontId="43" fillId="0" borderId="10" xfId="0" applyNumberFormat="1" applyFont="1" applyBorder="1" applyAlignment="1">
      <alignment horizontal="center"/>
    </xf>
    <xf numFmtId="0" fontId="65" fillId="33" borderId="10" xfId="0" applyFont="1" applyFill="1" applyBorder="1"/>
    <xf numFmtId="0" fontId="48" fillId="0" borderId="10" xfId="0" applyFont="1" applyBorder="1"/>
    <xf numFmtId="0" fontId="18" fillId="48" borderId="10" xfId="0" applyFont="1" applyFill="1" applyBorder="1" applyAlignment="1">
      <alignment horizontal="left"/>
    </xf>
    <xf numFmtId="0" fontId="45"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66" fillId="34" borderId="10" xfId="0" applyFont="1" applyFill="1" applyBorder="1" applyAlignment="1">
      <alignment horizontal="center" vertical="center"/>
    </xf>
    <xf numFmtId="0" fontId="18" fillId="34" borderId="10" xfId="0" applyFont="1" applyFill="1" applyBorder="1" applyAlignment="1">
      <alignment horizontal="center"/>
    </xf>
    <xf numFmtId="0" fontId="66" fillId="34" borderId="10" xfId="0" applyFont="1" applyFill="1" applyBorder="1" applyAlignment="1">
      <alignment horizontal="center"/>
    </xf>
    <xf numFmtId="0" fontId="45" fillId="0" borderId="10" xfId="0" applyFont="1" applyBorder="1" applyAlignment="1">
      <alignment horizontal="center" vertical="center"/>
    </xf>
    <xf numFmtId="1" fontId="49" fillId="43" borderId="10" xfId="0" applyNumberFormat="1" applyFont="1" applyFill="1" applyBorder="1" applyAlignment="1">
      <alignment horizontal="center"/>
    </xf>
    <xf numFmtId="1" fontId="61" fillId="43" borderId="10" xfId="0" applyNumberFormat="1" applyFont="1" applyFill="1" applyBorder="1" applyAlignment="1">
      <alignment horizontal="center"/>
    </xf>
    <xf numFmtId="0" fontId="45" fillId="34" borderId="10" xfId="0" applyFont="1" applyFill="1" applyBorder="1"/>
    <xf numFmtId="167" fontId="18" fillId="0" borderId="10" xfId="0" applyNumberFormat="1" applyFont="1" applyBorder="1" applyAlignment="1">
      <alignment horizontal="center"/>
    </xf>
    <xf numFmtId="0" fontId="0" fillId="44" borderId="10" xfId="0" applyFill="1" applyBorder="1"/>
    <xf numFmtId="167" fontId="45" fillId="52" borderId="10" xfId="0" applyNumberFormat="1" applyFont="1" applyFill="1" applyBorder="1" applyAlignment="1">
      <alignment horizontal="center" vertical="center"/>
    </xf>
    <xf numFmtId="2" fontId="16" fillId="44" borderId="10" xfId="0" applyNumberFormat="1" applyFont="1" applyFill="1" applyBorder="1"/>
    <xf numFmtId="2" fontId="45" fillId="0" borderId="10" xfId="0" applyNumberFormat="1" applyFont="1" applyBorder="1" applyAlignment="1">
      <alignment horizontal="center" vertical="center"/>
    </xf>
    <xf numFmtId="2" fontId="45" fillId="53" borderId="10" xfId="0" applyNumberFormat="1" applyFont="1" applyFill="1" applyBorder="1" applyAlignment="1">
      <alignment horizontal="center" vertical="center"/>
    </xf>
    <xf numFmtId="2" fontId="45"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5" fillId="38" borderId="10" xfId="0" applyNumberFormat="1" applyFont="1" applyFill="1" applyBorder="1" applyAlignment="1">
      <alignment horizontal="center" vertical="center"/>
    </xf>
    <xf numFmtId="0" fontId="18" fillId="34" borderId="10" xfId="0" applyFont="1" applyFill="1" applyBorder="1"/>
    <xf numFmtId="2" fontId="45" fillId="34" borderId="10" xfId="0" applyNumberFormat="1" applyFont="1" applyFill="1" applyBorder="1"/>
    <xf numFmtId="0" fontId="50" fillId="0" borderId="10" xfId="0" applyFont="1" applyBorder="1"/>
    <xf numFmtId="2" fontId="46" fillId="52" borderId="10" xfId="0" applyNumberFormat="1" applyFont="1" applyFill="1" applyBorder="1" applyAlignment="1">
      <alignment horizontal="center" vertical="center"/>
    </xf>
    <xf numFmtId="0" fontId="45"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5" fillId="45" borderId="10" xfId="0" applyNumberFormat="1" applyFont="1" applyFill="1" applyBorder="1" applyAlignment="1">
      <alignment horizontal="center" vertical="center"/>
    </xf>
    <xf numFmtId="0" fontId="57" fillId="57" borderId="11" xfId="0" applyFont="1" applyFill="1" applyBorder="1" applyAlignment="1">
      <alignment horizontal="center" vertical="center" wrapText="1"/>
    </xf>
    <xf numFmtId="0" fontId="57" fillId="57" borderId="12" xfId="0" applyFont="1" applyFill="1" applyBorder="1" applyAlignment="1">
      <alignment horizontal="center" vertical="center" wrapText="1"/>
    </xf>
    <xf numFmtId="0" fontId="56" fillId="34" borderId="10" xfId="0" applyFont="1" applyFill="1" applyBorder="1" applyAlignment="1">
      <alignment horizontal="center" wrapText="1"/>
    </xf>
    <xf numFmtId="9" fontId="54" fillId="0" borderId="10" xfId="0" applyNumberFormat="1" applyFont="1" applyBorder="1" applyAlignment="1" applyProtection="1">
      <alignment horizontal="center"/>
      <protection locked="0"/>
    </xf>
    <xf numFmtId="0" fontId="37" fillId="35" borderId="10" xfId="0" applyFont="1" applyFill="1" applyBorder="1" applyAlignment="1">
      <alignment horizontal="center" vertical="top" wrapText="1"/>
    </xf>
    <xf numFmtId="0" fontId="54"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69" fillId="67" borderId="0" xfId="0" applyFont="1" applyFill="1" applyAlignment="1">
      <alignment horizontal="center" vertical="center" wrapText="1"/>
    </xf>
    <xf numFmtId="0" fontId="30" fillId="67" borderId="0" xfId="0" applyFont="1" applyFill="1" applyAlignment="1">
      <alignment horizontal="center"/>
    </xf>
    <xf numFmtId="0" fontId="30" fillId="68" borderId="10" xfId="0" applyFont="1" applyFill="1" applyBorder="1" applyAlignment="1">
      <alignment horizontal="center" wrapText="1"/>
    </xf>
    <xf numFmtId="0" fontId="69" fillId="68" borderId="0" xfId="0" applyFont="1" applyFill="1" applyAlignment="1">
      <alignment horizontal="center" vertical="center" wrapText="1"/>
    </xf>
    <xf numFmtId="0" fontId="30" fillId="68" borderId="0" xfId="0" applyFont="1" applyFill="1" applyAlignment="1">
      <alignment horizontal="center"/>
    </xf>
    <xf numFmtId="0" fontId="54" fillId="53" borderId="10" xfId="0" applyFont="1" applyFill="1" applyBorder="1" applyAlignment="1">
      <alignment horizontal="center"/>
    </xf>
    <xf numFmtId="0" fontId="54"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68"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38"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39" fillId="0" borderId="0" xfId="0" applyNumberFormat="1" applyFont="1" applyAlignment="1">
      <alignment horizontal="center"/>
    </xf>
    <xf numFmtId="0" fontId="16" fillId="0" borderId="0" xfId="0" applyFont="1" applyAlignment="1">
      <alignment horizontal="left"/>
    </xf>
    <xf numFmtId="0" fontId="38"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4" fillId="43" borderId="10" xfId="0" applyNumberFormat="1" applyFont="1" applyFill="1" applyBorder="1" applyAlignment="1">
      <alignment horizontal="center"/>
    </xf>
    <xf numFmtId="2" fontId="0" fillId="37" borderId="0" xfId="0" applyNumberFormat="1" applyFill="1" applyAlignment="1">
      <alignment horizontal="center"/>
    </xf>
    <xf numFmtId="0" fontId="71" fillId="0" borderId="10" xfId="0" applyFont="1" applyBorder="1" applyAlignment="1">
      <alignment horizontal="center" wrapText="1"/>
    </xf>
    <xf numFmtId="0" fontId="70" fillId="34" borderId="10" xfId="0" applyFont="1" applyFill="1" applyBorder="1" applyAlignment="1">
      <alignment horizontal="center" wrapText="1"/>
    </xf>
    <xf numFmtId="0" fontId="71" fillId="34" borderId="10" xfId="0" applyFont="1" applyFill="1" applyBorder="1" applyAlignment="1">
      <alignment horizontal="center" wrapText="1"/>
    </xf>
    <xf numFmtId="0" fontId="71" fillId="34" borderId="10" xfId="0" applyFont="1" applyFill="1" applyBorder="1" applyAlignment="1">
      <alignment horizontal="center" vertical="center"/>
    </xf>
    <xf numFmtId="0" fontId="71" fillId="34" borderId="10" xfId="0" applyFont="1" applyFill="1" applyBorder="1" applyAlignment="1">
      <alignment horizontal="center"/>
    </xf>
    <xf numFmtId="0" fontId="73"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74" fillId="0" borderId="10" xfId="0" applyFont="1" applyBorder="1" applyAlignment="1">
      <alignment vertical="center" wrapText="1"/>
    </xf>
    <xf numFmtId="0" fontId="74" fillId="0" borderId="10" xfId="0" applyFont="1" applyBorder="1"/>
    <xf numFmtId="10" fontId="16" fillId="0" borderId="0" xfId="0" applyNumberFormat="1" applyFont="1" applyAlignment="1">
      <alignment horizontal="left" indent="1"/>
    </xf>
    <xf numFmtId="10" fontId="0" fillId="0" borderId="0" xfId="0" applyNumberFormat="1" applyAlignment="1">
      <alignment horizontal="left" indent="1"/>
    </xf>
    <xf numFmtId="2" fontId="16" fillId="0" borderId="0" xfId="0" applyNumberFormat="1" applyFont="1" applyAlignment="1">
      <alignment horizontal="left" indent="1"/>
    </xf>
    <xf numFmtId="164" fontId="0" fillId="0" borderId="0" xfId="0" applyNumberFormat="1" applyAlignment="1">
      <alignment horizontal="center"/>
    </xf>
    <xf numFmtId="0" fontId="18" fillId="0" borderId="10" xfId="0" applyFont="1" applyBorder="1" applyAlignment="1">
      <alignment vertical="center"/>
    </xf>
    <xf numFmtId="0" fontId="46" fillId="0" borderId="10" xfId="0" applyFont="1" applyBorder="1" applyAlignment="1">
      <alignment horizontal="left" vertical="center"/>
    </xf>
    <xf numFmtId="0" fontId="61" fillId="0" borderId="10" xfId="0" applyFont="1" applyBorder="1" applyAlignment="1">
      <alignment horizontal="left" vertical="center"/>
    </xf>
    <xf numFmtId="0" fontId="60"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39" fillId="0" borderId="0" xfId="0" applyNumberFormat="1" applyFont="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75" fillId="0" borderId="10" xfId="0" applyFont="1" applyBorder="1" applyAlignment="1">
      <alignment horizontal="center"/>
    </xf>
    <xf numFmtId="0" fontId="75" fillId="0" borderId="10" xfId="0" applyFont="1" applyBorder="1" applyAlignment="1">
      <alignment horizontal="center" wrapText="1"/>
    </xf>
    <xf numFmtId="0" fontId="75" fillId="0" borderId="10" xfId="0" applyFont="1" applyBorder="1" applyAlignment="1">
      <alignment horizontal="center" vertical="center"/>
    </xf>
    <xf numFmtId="0" fontId="76" fillId="0" borderId="10" xfId="0" applyFont="1" applyBorder="1" applyAlignment="1">
      <alignment horizontal="center" wrapText="1"/>
    </xf>
    <xf numFmtId="0" fontId="77" fillId="0" borderId="10" xfId="0" applyFont="1" applyBorder="1" applyAlignment="1">
      <alignment horizontal="center" wrapText="1"/>
    </xf>
    <xf numFmtId="0" fontId="19" fillId="36" borderId="10" xfId="0" applyFont="1" applyFill="1" applyBorder="1" applyAlignment="1">
      <alignment horizontal="left"/>
    </xf>
    <xf numFmtId="0" fontId="19" fillId="0" borderId="10" xfId="0" applyFont="1" applyBorder="1" applyAlignment="1">
      <alignment horizontal="left"/>
    </xf>
    <xf numFmtId="2" fontId="19" fillId="0" borderId="10" xfId="0" applyNumberFormat="1" applyFont="1" applyBorder="1" applyAlignment="1">
      <alignment horizontal="left"/>
    </xf>
    <xf numFmtId="0" fontId="19" fillId="34" borderId="10" xfId="0" applyFont="1" applyFill="1" applyBorder="1" applyAlignment="1">
      <alignment horizontal="left"/>
    </xf>
    <xf numFmtId="0" fontId="19" fillId="35" borderId="10" xfId="0" applyFont="1" applyFill="1" applyBorder="1" applyAlignment="1">
      <alignment horizontal="left"/>
    </xf>
    <xf numFmtId="164" fontId="19" fillId="0" borderId="10" xfId="0" applyNumberFormat="1" applyFont="1" applyBorder="1" applyAlignment="1">
      <alignment horizontal="left"/>
    </xf>
    <xf numFmtId="9" fontId="19" fillId="0" borderId="10" xfId="0" applyNumberFormat="1" applyFont="1" applyBorder="1" applyAlignment="1">
      <alignment horizontal="left"/>
    </xf>
    <xf numFmtId="0" fontId="80" fillId="0" borderId="10" xfId="0" applyFont="1" applyBorder="1" applyAlignment="1">
      <alignment horizontal="center"/>
    </xf>
    <xf numFmtId="14" fontId="81" fillId="0" borderId="10" xfId="0" applyNumberFormat="1" applyFont="1" applyBorder="1" applyAlignment="1">
      <alignment horizontal="center" wrapText="1"/>
    </xf>
    <xf numFmtId="0" fontId="82" fillId="35" borderId="10" xfId="0" applyFont="1" applyFill="1" applyBorder="1" applyAlignment="1">
      <alignment horizontal="center" wrapText="1"/>
    </xf>
    <xf numFmtId="0" fontId="82" fillId="0" borderId="10" xfId="0" applyFont="1" applyBorder="1" applyAlignment="1">
      <alignment horizontal="center" wrapText="1"/>
    </xf>
    <xf numFmtId="0" fontId="82" fillId="0" borderId="10" xfId="0" applyFont="1" applyBorder="1" applyAlignment="1">
      <alignment horizontal="center"/>
    </xf>
    <xf numFmtId="0" fontId="82" fillId="33" borderId="10" xfId="0" applyFont="1" applyFill="1" applyBorder="1" applyAlignment="1">
      <alignment horizontal="center"/>
    </xf>
    <xf numFmtId="0" fontId="82" fillId="35" borderId="10" xfId="0" applyFont="1" applyFill="1" applyBorder="1" applyAlignment="1">
      <alignment horizontal="center"/>
    </xf>
    <xf numFmtId="0" fontId="82" fillId="79" borderId="10" xfId="0" applyFont="1" applyFill="1" applyBorder="1" applyAlignment="1">
      <alignment horizontal="center"/>
    </xf>
    <xf numFmtId="0" fontId="82" fillId="34" borderId="10" xfId="0" applyFont="1" applyFill="1" applyBorder="1" applyAlignment="1">
      <alignment horizontal="center" wrapText="1"/>
    </xf>
    <xf numFmtId="0" fontId="82" fillId="43" borderId="10" xfId="0" applyFont="1" applyFill="1" applyBorder="1" applyAlignment="1">
      <alignment horizontal="center" wrapText="1"/>
    </xf>
    <xf numFmtId="0" fontId="82" fillId="33" borderId="10" xfId="0" applyFont="1" applyFill="1" applyBorder="1" applyAlignment="1">
      <alignment horizontal="center" wrapText="1"/>
    </xf>
    <xf numFmtId="0" fontId="82" fillId="45" borderId="10" xfId="0" applyFont="1" applyFill="1" applyBorder="1" applyAlignment="1">
      <alignment horizontal="center"/>
    </xf>
    <xf numFmtId="0" fontId="81" fillId="53" borderId="10" xfId="0" applyFont="1" applyFill="1" applyBorder="1" applyAlignment="1">
      <alignment horizontal="center" wrapText="1"/>
    </xf>
    <xf numFmtId="0" fontId="82" fillId="53" borderId="10" xfId="0" applyFont="1" applyFill="1" applyBorder="1" applyAlignment="1">
      <alignment horizontal="center" vertical="center"/>
    </xf>
    <xf numFmtId="0" fontId="81" fillId="43" borderId="10" xfId="0" applyFont="1" applyFill="1" applyBorder="1" applyAlignment="1">
      <alignment horizontal="center" wrapText="1"/>
    </xf>
    <xf numFmtId="0" fontId="81" fillId="35" borderId="10" xfId="0" applyFont="1" applyFill="1" applyBorder="1" applyAlignment="1">
      <alignment horizontal="center" wrapText="1"/>
    </xf>
    <xf numFmtId="0" fontId="81" fillId="0" borderId="10" xfId="0" applyFont="1" applyBorder="1" applyAlignment="1">
      <alignment horizontal="center" wrapText="1"/>
    </xf>
    <xf numFmtId="0" fontId="81" fillId="33" borderId="10" xfId="0" applyFont="1" applyFill="1" applyBorder="1" applyAlignment="1">
      <alignment horizontal="center" wrapText="1"/>
    </xf>
    <xf numFmtId="0" fontId="82" fillId="43" borderId="10" xfId="0" applyFont="1" applyFill="1" applyBorder="1" applyAlignment="1">
      <alignment horizontal="center"/>
    </xf>
    <xf numFmtId="0" fontId="82" fillId="80" borderId="10" xfId="0" applyFont="1" applyFill="1" applyBorder="1" applyAlignment="1">
      <alignment horizontal="center"/>
    </xf>
    <xf numFmtId="0" fontId="82" fillId="80" borderId="10" xfId="0" applyFont="1" applyFill="1" applyBorder="1" applyAlignment="1">
      <alignment horizontal="center" wrapText="1"/>
    </xf>
    <xf numFmtId="0" fontId="82" fillId="80" borderId="10" xfId="0" applyFont="1" applyFill="1" applyBorder="1" applyAlignment="1">
      <alignment horizontal="center" vertical="center"/>
    </xf>
    <xf numFmtId="0" fontId="82" fillId="44" borderId="10" xfId="0" applyFont="1" applyFill="1" applyBorder="1" applyAlignment="1">
      <alignment horizontal="center" vertical="center"/>
    </xf>
    <xf numFmtId="0" fontId="82" fillId="0" borderId="10" xfId="0" applyFont="1" applyBorder="1" applyAlignment="1">
      <alignment horizontal="center" vertical="center"/>
    </xf>
    <xf numFmtId="0" fontId="82" fillId="35" borderId="10" xfId="0" applyFont="1" applyFill="1" applyBorder="1" applyAlignment="1">
      <alignment horizontal="center" vertical="center"/>
    </xf>
    <xf numFmtId="0" fontId="16" fillId="35" borderId="10" xfId="0" applyFont="1" applyFill="1" applyBorder="1" applyAlignment="1">
      <alignment horizontal="center"/>
    </xf>
    <xf numFmtId="0" fontId="82" fillId="53" borderId="10" xfId="0" applyFont="1" applyFill="1" applyBorder="1" applyAlignment="1">
      <alignment horizontal="center"/>
    </xf>
    <xf numFmtId="0" fontId="82" fillId="33" borderId="10" xfId="0" applyFont="1" applyFill="1" applyBorder="1" applyAlignment="1">
      <alignment horizontal="center" vertical="center"/>
    </xf>
    <xf numFmtId="0" fontId="82" fillId="44" borderId="10" xfId="0" applyFont="1" applyFill="1" applyBorder="1" applyAlignment="1">
      <alignment horizontal="center"/>
    </xf>
    <xf numFmtId="0" fontId="82" fillId="44" borderId="10" xfId="0" applyFont="1" applyFill="1" applyBorder="1" applyAlignment="1">
      <alignment horizontal="center" wrapText="1"/>
    </xf>
    <xf numFmtId="0" fontId="82" fillId="81" borderId="10" xfId="0" applyFont="1" applyFill="1" applyBorder="1" applyAlignment="1">
      <alignment horizontal="center"/>
    </xf>
    <xf numFmtId="0" fontId="55" fillId="82" borderId="10" xfId="0" applyFont="1" applyFill="1" applyBorder="1" applyAlignment="1">
      <alignment wrapText="1"/>
    </xf>
    <xf numFmtId="0" fontId="55" fillId="0" borderId="10" xfId="0" applyFont="1" applyBorder="1" applyAlignment="1">
      <alignment horizontal="center" wrapText="1"/>
    </xf>
    <xf numFmtId="0" fontId="55" fillId="82" borderId="10" xfId="0" applyFont="1" applyFill="1" applyBorder="1" applyAlignment="1">
      <alignment horizontal="center" wrapText="1"/>
    </xf>
    <xf numFmtId="0" fontId="75" fillId="34" borderId="10" xfId="0" applyFont="1" applyFill="1" applyBorder="1" applyAlignment="1">
      <alignment horizontal="center" wrapText="1"/>
    </xf>
    <xf numFmtId="0" fontId="57" fillId="34" borderId="10" xfId="0" applyFont="1" applyFill="1" applyBorder="1" applyAlignment="1">
      <alignment horizontal="center" wrapText="1"/>
    </xf>
    <xf numFmtId="0" fontId="16" fillId="0" borderId="10" xfId="0" applyFont="1" applyBorder="1" applyAlignment="1">
      <alignment horizontal="center" vertical="center"/>
    </xf>
    <xf numFmtId="0" fontId="16" fillId="33" borderId="10" xfId="0" applyFont="1" applyFill="1" applyBorder="1" applyAlignment="1">
      <alignment horizontal="center" vertical="center"/>
    </xf>
    <xf numFmtId="0" fontId="16" fillId="44" borderId="10" xfId="0" applyFont="1" applyFill="1" applyBorder="1" applyAlignment="1">
      <alignment horizontal="center" vertical="center"/>
    </xf>
    <xf numFmtId="0" fontId="20" fillId="48" borderId="10" xfId="0" applyFont="1" applyFill="1" applyBorder="1" applyAlignment="1" applyProtection="1">
      <alignment horizontal="center"/>
      <protection locked="0"/>
    </xf>
    <xf numFmtId="0" fontId="20" fillId="46" borderId="10" xfId="0" applyFont="1" applyFill="1" applyBorder="1" applyAlignment="1" applyProtection="1">
      <alignment horizontal="center"/>
      <protection locked="0"/>
    </xf>
    <xf numFmtId="2" fontId="65" fillId="50" borderId="10" xfId="0" applyNumberFormat="1" applyFont="1" applyFill="1" applyBorder="1" applyAlignment="1" applyProtection="1">
      <alignment horizontal="center"/>
      <protection locked="0"/>
    </xf>
    <xf numFmtId="0" fontId="65" fillId="43" borderId="10" xfId="0" applyFont="1" applyFill="1" applyBorder="1" applyAlignment="1">
      <alignment horizontal="center"/>
    </xf>
    <xf numFmtId="0" fontId="88" fillId="0" borderId="10" xfId="0" applyFont="1" applyBorder="1" applyAlignment="1">
      <alignment horizontal="center"/>
    </xf>
    <xf numFmtId="0" fontId="20" fillId="0" borderId="10" xfId="0" applyFont="1" applyBorder="1" applyAlignment="1" applyProtection="1">
      <alignment horizontal="center"/>
      <protection locked="0"/>
    </xf>
    <xf numFmtId="0" fontId="20" fillId="35" borderId="10" xfId="0" applyFont="1" applyFill="1" applyBorder="1" applyAlignment="1" applyProtection="1">
      <alignment horizontal="center"/>
      <protection locked="0"/>
    </xf>
    <xf numFmtId="0" fontId="20" fillId="66" borderId="10" xfId="0" applyFont="1" applyFill="1" applyBorder="1" applyAlignment="1" applyProtection="1">
      <alignment horizontal="center"/>
      <protection locked="0"/>
    </xf>
    <xf numFmtId="0" fontId="88" fillId="66" borderId="10" xfId="0" applyFont="1" applyFill="1" applyBorder="1" applyAlignment="1">
      <alignment horizontal="center"/>
    </xf>
    <xf numFmtId="0" fontId="65" fillId="66" borderId="10" xfId="0" applyFont="1" applyFill="1" applyBorder="1" applyAlignment="1">
      <alignment horizontal="center"/>
    </xf>
    <xf numFmtId="0" fontId="20" fillId="0" borderId="10" xfId="0" applyFont="1" applyBorder="1" applyAlignment="1">
      <alignment horizontal="center"/>
    </xf>
    <xf numFmtId="0" fontId="20" fillId="66" borderId="10" xfId="0" applyFont="1" applyFill="1" applyBorder="1" applyAlignment="1">
      <alignment horizontal="center"/>
    </xf>
    <xf numFmtId="0" fontId="20" fillId="44" borderId="10" xfId="0" applyFont="1" applyFill="1" applyBorder="1" applyAlignment="1">
      <alignment horizontal="center"/>
    </xf>
    <xf numFmtId="0" fontId="20" fillId="48" borderId="10" xfId="0" applyFont="1" applyFill="1" applyBorder="1" applyAlignment="1">
      <alignment horizontal="center"/>
    </xf>
    <xf numFmtId="0" fontId="20" fillId="34" borderId="10" xfId="0" applyFont="1" applyFill="1" applyBorder="1" applyAlignment="1">
      <alignment horizontal="center"/>
    </xf>
    <xf numFmtId="22" fontId="87" fillId="0" borderId="10" xfId="0" applyNumberFormat="1" applyFont="1" applyBorder="1" applyAlignment="1">
      <alignment horizontal="center" wrapText="1"/>
    </xf>
    <xf numFmtId="0" fontId="88" fillId="33" borderId="10" xfId="0" applyFont="1" applyFill="1" applyBorder="1" applyAlignment="1">
      <alignment horizontal="center" wrapText="1"/>
    </xf>
    <xf numFmtId="14" fontId="20" fillId="0" borderId="10" xfId="0" applyNumberFormat="1" applyFont="1" applyBorder="1" applyAlignment="1">
      <alignment horizontal="center"/>
    </xf>
    <xf numFmtId="0" fontId="20" fillId="0" borderId="10" xfId="0" applyFont="1" applyBorder="1" applyAlignment="1">
      <alignment horizontal="center" wrapText="1"/>
    </xf>
    <xf numFmtId="0" fontId="20" fillId="0" borderId="10" xfId="0" applyFont="1" applyBorder="1" applyAlignment="1">
      <alignment horizontal="center" vertical="center"/>
    </xf>
    <xf numFmtId="0" fontId="65" fillId="0" borderId="10" xfId="0" applyFont="1" applyBorder="1" applyAlignment="1">
      <alignment horizontal="center"/>
    </xf>
    <xf numFmtId="49" fontId="65" fillId="0" borderId="10" xfId="0" applyNumberFormat="1" applyFont="1" applyBorder="1" applyAlignment="1">
      <alignment horizontal="center"/>
    </xf>
    <xf numFmtId="0" fontId="88" fillId="44" borderId="10" xfId="0" applyFont="1" applyFill="1" applyBorder="1" applyAlignment="1">
      <alignment horizontal="center"/>
    </xf>
    <xf numFmtId="0" fontId="20" fillId="54" borderId="10" xfId="0" applyFont="1" applyFill="1" applyBorder="1" applyAlignment="1">
      <alignment horizontal="center"/>
    </xf>
    <xf numFmtId="2" fontId="20" fillId="54" borderId="10" xfId="0" applyNumberFormat="1" applyFont="1" applyFill="1" applyBorder="1" applyAlignment="1">
      <alignment horizontal="center"/>
    </xf>
    <xf numFmtId="0" fontId="20" fillId="50" borderId="10" xfId="0" applyFont="1" applyFill="1" applyBorder="1" applyAlignment="1">
      <alignment horizontal="center"/>
    </xf>
    <xf numFmtId="0" fontId="20" fillId="37" borderId="10" xfId="0" applyFont="1" applyFill="1" applyBorder="1" applyAlignment="1">
      <alignment horizontal="center"/>
    </xf>
    <xf numFmtId="0" fontId="20" fillId="35" borderId="10" xfId="0" applyFont="1" applyFill="1" applyBorder="1" applyAlignment="1">
      <alignment horizontal="center"/>
    </xf>
    <xf numFmtId="2" fontId="20" fillId="0" borderId="10" xfId="0" applyNumberFormat="1" applyFont="1" applyBorder="1" applyAlignment="1">
      <alignment horizontal="center"/>
    </xf>
    <xf numFmtId="2" fontId="20" fillId="35" borderId="10" xfId="0" applyNumberFormat="1" applyFont="1" applyFill="1" applyBorder="1" applyAlignment="1">
      <alignment horizontal="center"/>
    </xf>
    <xf numFmtId="2" fontId="20" fillId="50" borderId="10" xfId="0" applyNumberFormat="1" applyFont="1" applyFill="1" applyBorder="1" applyAlignment="1">
      <alignment horizontal="center"/>
    </xf>
    <xf numFmtId="2" fontId="88" fillId="0" borderId="10" xfId="0" applyNumberFormat="1" applyFont="1" applyBorder="1" applyAlignment="1">
      <alignment horizontal="center"/>
    </xf>
    <xf numFmtId="0" fontId="20" fillId="46" borderId="10" xfId="0" applyFont="1" applyFill="1" applyBorder="1" applyAlignment="1">
      <alignment horizontal="center"/>
    </xf>
    <xf numFmtId="0" fontId="20" fillId="85" borderId="10" xfId="0" applyFont="1" applyFill="1" applyBorder="1" applyAlignment="1">
      <alignment horizontal="center"/>
    </xf>
    <xf numFmtId="0" fontId="20" fillId="36" borderId="10" xfId="0" applyFont="1" applyFill="1" applyBorder="1" applyAlignment="1">
      <alignment horizontal="center" wrapText="1"/>
    </xf>
    <xf numFmtId="0" fontId="20" fillId="47" borderId="10" xfId="0" applyFont="1" applyFill="1" applyBorder="1" applyAlignment="1">
      <alignment horizontal="center"/>
    </xf>
    <xf numFmtId="0" fontId="20" fillId="36" borderId="10" xfId="0" applyFont="1" applyFill="1" applyBorder="1" applyAlignment="1">
      <alignment horizontal="center"/>
    </xf>
    <xf numFmtId="2" fontId="20" fillId="45" borderId="10" xfId="0" applyNumberFormat="1" applyFont="1" applyFill="1" applyBorder="1" applyAlignment="1">
      <alignment horizontal="center"/>
    </xf>
    <xf numFmtId="22" fontId="89" fillId="0" borderId="10" xfId="0" applyNumberFormat="1" applyFont="1" applyBorder="1" applyAlignment="1">
      <alignment horizontal="center" wrapText="1"/>
    </xf>
    <xf numFmtId="0" fontId="27" fillId="0" borderId="10" xfId="0" applyFont="1" applyBorder="1" applyAlignment="1">
      <alignment horizontal="center"/>
    </xf>
    <xf numFmtId="0" fontId="16" fillId="85" borderId="10" xfId="0" applyFont="1" applyFill="1" applyBorder="1" applyAlignment="1">
      <alignment horizontal="center" vertical="center"/>
    </xf>
    <xf numFmtId="0" fontId="20" fillId="39" borderId="10" xfId="0" applyFont="1" applyFill="1" applyBorder="1" applyAlignment="1">
      <alignment horizontal="center"/>
    </xf>
    <xf numFmtId="2" fontId="20" fillId="66" borderId="10" xfId="0" applyNumberFormat="1" applyFont="1" applyFill="1" applyBorder="1" applyAlignment="1">
      <alignment horizontal="center"/>
    </xf>
    <xf numFmtId="0" fontId="88" fillId="35" borderId="10" xfId="0" applyFont="1" applyFill="1" applyBorder="1" applyAlignment="1">
      <alignment horizontal="center"/>
    </xf>
    <xf numFmtId="2" fontId="88" fillId="35" borderId="10" xfId="0" applyNumberFormat="1" applyFont="1" applyFill="1" applyBorder="1" applyAlignment="1">
      <alignment horizontal="center"/>
    </xf>
    <xf numFmtId="0" fontId="88" fillId="68" borderId="10" xfId="0" applyFont="1" applyFill="1" applyBorder="1" applyAlignment="1">
      <alignment horizontal="center"/>
    </xf>
    <xf numFmtId="0" fontId="20" fillId="68" borderId="10" xfId="0" applyFont="1" applyFill="1" applyBorder="1" applyAlignment="1">
      <alignment horizontal="center"/>
    </xf>
    <xf numFmtId="0" fontId="0" fillId="0" borderId="10" xfId="0" applyBorder="1"/>
    <xf numFmtId="0" fontId="20" fillId="34" borderId="10" xfId="0" applyFont="1" applyFill="1" applyBorder="1" applyAlignment="1">
      <alignment horizontal="center" wrapText="1"/>
    </xf>
    <xf numFmtId="0" fontId="20" fillId="33" borderId="10" xfId="0" applyFont="1" applyFill="1" applyBorder="1" applyAlignment="1">
      <alignment horizontal="center" vertical="center"/>
    </xf>
    <xf numFmtId="2" fontId="88" fillId="44" borderId="10" xfId="0" applyNumberFormat="1" applyFont="1" applyFill="1" applyBorder="1" applyAlignment="1">
      <alignment horizontal="center"/>
    </xf>
    <xf numFmtId="2" fontId="20" fillId="47" borderId="10" xfId="0" applyNumberFormat="1" applyFont="1" applyFill="1" applyBorder="1" applyAlignment="1">
      <alignment horizontal="center"/>
    </xf>
    <xf numFmtId="2" fontId="20" fillId="36" borderId="10" xfId="0" applyNumberFormat="1" applyFont="1" applyFill="1" applyBorder="1" applyAlignment="1">
      <alignment horizontal="center" wrapText="1"/>
    </xf>
    <xf numFmtId="2" fontId="20" fillId="46" borderId="10" xfId="0" applyNumberFormat="1" applyFont="1" applyFill="1" applyBorder="1" applyAlignment="1">
      <alignment horizontal="center"/>
    </xf>
    <xf numFmtId="2" fontId="20" fillId="44" borderId="10" xfId="0" applyNumberFormat="1" applyFont="1" applyFill="1" applyBorder="1" applyAlignment="1">
      <alignment horizontal="center"/>
    </xf>
    <xf numFmtId="2" fontId="16" fillId="0" borderId="10" xfId="0" applyNumberFormat="1" applyFont="1" applyBorder="1" applyAlignment="1">
      <alignment horizontal="center"/>
    </xf>
    <xf numFmtId="14" fontId="20" fillId="50" borderId="10" xfId="0" applyNumberFormat="1" applyFont="1" applyFill="1" applyBorder="1" applyAlignment="1" applyProtection="1">
      <alignment horizontal="center"/>
      <protection locked="0"/>
    </xf>
    <xf numFmtId="0" fontId="0" fillId="67" borderId="0" xfId="0" applyFill="1"/>
    <xf numFmtId="0" fontId="91" fillId="67" borderId="0" xfId="0" applyFont="1" applyFill="1" applyAlignment="1">
      <alignment vertical="center" wrapText="1"/>
    </xf>
    <xf numFmtId="0" fontId="92" fillId="0" borderId="0" xfId="0" applyFont="1"/>
    <xf numFmtId="0" fontId="93" fillId="0" borderId="0" xfId="0" applyFont="1" applyAlignment="1">
      <alignment vertical="center" wrapText="1"/>
    </xf>
    <xf numFmtId="0" fontId="0" fillId="67" borderId="0" xfId="0" applyFill="1" applyAlignment="1">
      <alignment vertical="top" wrapText="1"/>
    </xf>
    <xf numFmtId="0" fontId="95" fillId="67" borderId="0" xfId="0" applyFont="1" applyFill="1" applyAlignment="1">
      <alignment vertical="top" wrapText="1"/>
    </xf>
    <xf numFmtId="0" fontId="94" fillId="67" borderId="0" xfId="0" applyFont="1" applyFill="1" applyAlignment="1">
      <alignment vertical="top" wrapText="1"/>
    </xf>
    <xf numFmtId="0" fontId="96" fillId="67" borderId="0" xfId="0" applyFont="1" applyFill="1" applyAlignment="1">
      <alignment vertical="center" wrapText="1"/>
    </xf>
    <xf numFmtId="0" fontId="71" fillId="0" borderId="10" xfId="0" applyFont="1" applyBorder="1" applyAlignment="1">
      <alignment horizontal="center"/>
    </xf>
    <xf numFmtId="0" fontId="70" fillId="53" borderId="10" xfId="0" applyFont="1" applyFill="1" applyBorder="1" applyAlignment="1">
      <alignment horizontal="center" wrapText="1"/>
    </xf>
    <xf numFmtId="0" fontId="70" fillId="0" borderId="10" xfId="0" applyFont="1" applyBorder="1" applyAlignment="1">
      <alignment horizontal="center" wrapText="1"/>
    </xf>
    <xf numFmtId="0" fontId="71" fillId="35" borderId="10" xfId="0" applyFont="1" applyFill="1" applyBorder="1" applyAlignment="1">
      <alignment horizontal="center"/>
    </xf>
    <xf numFmtId="0" fontId="71" fillId="35" borderId="10" xfId="0" applyFont="1" applyFill="1" applyBorder="1" applyAlignment="1">
      <alignment horizontal="center" wrapText="1"/>
    </xf>
    <xf numFmtId="0" fontId="88" fillId="35" borderId="10" xfId="0" applyFont="1" applyFill="1" applyBorder="1" applyAlignment="1">
      <alignment horizontal="center" vertical="top" wrapText="1"/>
    </xf>
    <xf numFmtId="0" fontId="20" fillId="68" borderId="10" xfId="0" applyFont="1" applyFill="1" applyBorder="1" applyAlignment="1">
      <alignment horizontal="center" wrapText="1"/>
    </xf>
    <xf numFmtId="0" fontId="71" fillId="33" borderId="10" xfId="0" applyFont="1" applyFill="1" applyBorder="1" applyAlignment="1">
      <alignment horizontal="center"/>
    </xf>
    <xf numFmtId="0" fontId="71" fillId="53" borderId="10" xfId="0" applyFont="1" applyFill="1" applyBorder="1" applyAlignment="1">
      <alignment horizontal="center"/>
    </xf>
    <xf numFmtId="0" fontId="57" fillId="57" borderId="10" xfId="0" applyFont="1" applyFill="1" applyBorder="1" applyAlignment="1">
      <alignment horizontal="center" vertical="center" wrapText="1"/>
    </xf>
    <xf numFmtId="0" fontId="97" fillId="68" borderId="10" xfId="0" applyFont="1" applyFill="1" applyBorder="1" applyAlignment="1">
      <alignment horizontal="center" vertical="center" wrapText="1"/>
    </xf>
    <xf numFmtId="2" fontId="56" fillId="0" borderId="10" xfId="0" applyNumberFormat="1" applyFont="1" applyBorder="1" applyAlignment="1">
      <alignment horizontal="center"/>
    </xf>
    <xf numFmtId="2" fontId="54" fillId="0" borderId="10" xfId="0" applyNumberFormat="1" applyFont="1" applyBorder="1" applyAlignment="1" applyProtection="1">
      <alignment horizontal="center"/>
      <protection locked="0"/>
    </xf>
    <xf numFmtId="2" fontId="71" fillId="0" borderId="10" xfId="0" applyNumberFormat="1" applyFont="1" applyBorder="1" applyAlignment="1">
      <alignment horizontal="center" vertical="center" wrapText="1"/>
    </xf>
    <xf numFmtId="0" fontId="71" fillId="0" borderId="10" xfId="0" applyFont="1" applyBorder="1" applyAlignment="1">
      <alignment horizontal="center" vertical="center" wrapText="1"/>
    </xf>
    <xf numFmtId="0" fontId="98" fillId="0" borderId="10" xfId="0" applyFont="1" applyBorder="1" applyAlignment="1">
      <alignment horizontal="center" vertical="center" wrapText="1"/>
    </xf>
    <xf numFmtId="0" fontId="99" fillId="0" borderId="10" xfId="0" applyFont="1" applyBorder="1" applyAlignment="1">
      <alignment horizontal="center"/>
    </xf>
    <xf numFmtId="2" fontId="27" fillId="0" borderId="10" xfId="0" applyNumberFormat="1" applyFont="1" applyBorder="1" applyAlignment="1">
      <alignment horizontal="center"/>
    </xf>
    <xf numFmtId="0" fontId="99" fillId="48" borderId="10" xfId="0" applyFont="1" applyFill="1" applyBorder="1" applyAlignment="1">
      <alignment horizontal="center"/>
    </xf>
    <xf numFmtId="0" fontId="27" fillId="37" borderId="10" xfId="0" applyFont="1" applyFill="1" applyBorder="1" applyAlignment="1">
      <alignment horizontal="center"/>
    </xf>
    <xf numFmtId="2" fontId="99" fillId="0" borderId="10" xfId="0" applyNumberFormat="1" applyFont="1" applyBorder="1" applyAlignment="1">
      <alignment horizontal="center"/>
    </xf>
    <xf numFmtId="0" fontId="0" fillId="0" borderId="10" xfId="0" applyBorder="1" applyAlignment="1">
      <alignment horizontal="center" vertical="center"/>
    </xf>
    <xf numFmtId="0" fontId="84" fillId="0" borderId="10" xfId="0" applyFont="1" applyBorder="1" applyAlignment="1">
      <alignment horizontal="center" vertical="center"/>
    </xf>
    <xf numFmtId="0" fontId="85" fillId="0" borderId="10" xfId="0" applyFont="1" applyBorder="1" applyAlignment="1">
      <alignment horizontal="center"/>
    </xf>
    <xf numFmtId="0" fontId="83" fillId="0" borderId="10" xfId="0" applyFont="1" applyBorder="1" applyAlignment="1">
      <alignment horizontal="center"/>
    </xf>
    <xf numFmtId="0" fontId="86" fillId="0" borderId="10" xfId="0" applyFont="1" applyBorder="1" applyAlignment="1">
      <alignment horizontal="center"/>
    </xf>
    <xf numFmtId="2" fontId="16" fillId="33" borderId="10" xfId="0" applyNumberFormat="1" applyFont="1" applyFill="1" applyBorder="1" applyAlignment="1">
      <alignment horizontal="center" vertical="center"/>
    </xf>
    <xf numFmtId="0" fontId="99" fillId="34" borderId="10" xfId="0" applyFont="1" applyFill="1" applyBorder="1" applyAlignment="1">
      <alignment horizontal="center"/>
    </xf>
    <xf numFmtId="2" fontId="99" fillId="34" borderId="10" xfId="0" applyNumberFormat="1" applyFont="1" applyFill="1" applyBorder="1" applyAlignment="1">
      <alignment horizontal="center"/>
    </xf>
    <xf numFmtId="14" fontId="89" fillId="0" borderId="10" xfId="0" applyNumberFormat="1" applyFont="1" applyBorder="1" applyAlignment="1">
      <alignment horizontal="center" wrapText="1"/>
    </xf>
    <xf numFmtId="0" fontId="27" fillId="39" borderId="10" xfId="0" applyFont="1" applyFill="1" applyBorder="1" applyAlignment="1">
      <alignment horizontal="center"/>
    </xf>
    <xf numFmtId="0" fontId="90" fillId="40" borderId="10" xfId="0" applyFont="1" applyFill="1" applyBorder="1" applyAlignment="1">
      <alignment horizontal="center"/>
    </xf>
    <xf numFmtId="0" fontId="90" fillId="66" borderId="10" xfId="0" applyFont="1" applyFill="1" applyBorder="1" applyAlignment="1">
      <alignment horizontal="center"/>
    </xf>
    <xf numFmtId="0" fontId="27" fillId="55" borderId="10" xfId="0" applyFont="1" applyFill="1" applyBorder="1" applyAlignment="1">
      <alignment horizontal="center"/>
    </xf>
    <xf numFmtId="0" fontId="27" fillId="66" borderId="10" xfId="0" applyFont="1" applyFill="1" applyBorder="1" applyAlignment="1">
      <alignment horizontal="center"/>
    </xf>
    <xf numFmtId="0" fontId="27" fillId="35" borderId="10" xfId="0" applyFont="1" applyFill="1" applyBorder="1" applyAlignment="1">
      <alignment horizontal="center"/>
    </xf>
    <xf numFmtId="0" fontId="27" fillId="46" borderId="10" xfId="0" applyFont="1" applyFill="1" applyBorder="1" applyAlignment="1">
      <alignment horizontal="center"/>
    </xf>
    <xf numFmtId="0" fontId="27" fillId="83" borderId="10" xfId="0" applyFont="1" applyFill="1" applyBorder="1" applyAlignment="1">
      <alignment horizontal="center"/>
    </xf>
    <xf numFmtId="0" fontId="27" fillId="36" borderId="10" xfId="0" applyFont="1" applyFill="1" applyBorder="1" applyAlignment="1">
      <alignment horizontal="center"/>
    </xf>
    <xf numFmtId="0" fontId="27" fillId="62" borderId="10" xfId="0" applyFont="1" applyFill="1" applyBorder="1" applyAlignment="1">
      <alignment horizontal="center"/>
    </xf>
    <xf numFmtId="2" fontId="20" fillId="36" borderId="10" xfId="0" applyNumberFormat="1" applyFont="1" applyFill="1" applyBorder="1" applyAlignment="1">
      <alignment horizontal="center"/>
    </xf>
    <xf numFmtId="0" fontId="102" fillId="56" borderId="10" xfId="0" applyFont="1" applyFill="1" applyBorder="1" applyAlignment="1">
      <alignment horizontal="center" vertical="center" wrapText="1"/>
    </xf>
    <xf numFmtId="0" fontId="84" fillId="57" borderId="10" xfId="0" applyFont="1" applyFill="1" applyBorder="1" applyAlignment="1">
      <alignment horizontal="center" vertical="center" wrapText="1"/>
    </xf>
    <xf numFmtId="0" fontId="84" fillId="66" borderId="10" xfId="0" applyFont="1" applyFill="1" applyBorder="1" applyAlignment="1">
      <alignment horizontal="center" vertical="center" wrapText="1"/>
    </xf>
    <xf numFmtId="0" fontId="24" fillId="34" borderId="10" xfId="0" applyFont="1" applyFill="1" applyBorder="1" applyAlignment="1">
      <alignment horizontal="center" vertical="center" wrapText="1"/>
    </xf>
    <xf numFmtId="0" fontId="16" fillId="0" borderId="10" xfId="0" applyFont="1" applyBorder="1" applyAlignment="1">
      <alignment vertical="center"/>
    </xf>
    <xf numFmtId="0" fontId="16" fillId="0" borderId="10" xfId="0" applyFont="1" applyBorder="1" applyAlignment="1">
      <alignment vertical="center" wrapText="1"/>
    </xf>
    <xf numFmtId="0" fontId="24" fillId="66" borderId="10" xfId="0" applyFont="1" applyFill="1" applyBorder="1" applyAlignment="1">
      <alignment vertical="center" wrapText="1"/>
    </xf>
    <xf numFmtId="0" fontId="16" fillId="66" borderId="10" xfId="0" applyFont="1" applyFill="1" applyBorder="1" applyAlignment="1">
      <alignment vertical="center" wrapText="1"/>
    </xf>
    <xf numFmtId="0" fontId="24" fillId="0" borderId="10" xfId="0" applyFont="1" applyBorder="1" applyAlignment="1">
      <alignment vertical="center" wrapText="1"/>
    </xf>
    <xf numFmtId="0" fontId="84" fillId="0" borderId="10" xfId="0" applyFont="1" applyBorder="1" applyAlignment="1">
      <alignment vertical="center" wrapText="1"/>
    </xf>
    <xf numFmtId="0" fontId="16" fillId="0" borderId="10" xfId="0" applyFont="1" applyBorder="1" applyAlignment="1">
      <alignment wrapText="1"/>
    </xf>
    <xf numFmtId="0" fontId="103" fillId="0" borderId="10" xfId="0" applyFont="1" applyBorder="1"/>
    <xf numFmtId="0" fontId="0" fillId="43" borderId="0" xfId="0" applyFill="1"/>
    <xf numFmtId="2" fontId="16" fillId="43" borderId="10" xfId="0" applyNumberFormat="1" applyFont="1" applyFill="1" applyBorder="1" applyAlignment="1">
      <alignment horizontal="center"/>
    </xf>
    <xf numFmtId="0" fontId="84" fillId="56" borderId="10" xfId="0" applyFont="1" applyFill="1" applyBorder="1" applyAlignment="1">
      <alignment horizontal="center" vertical="center" wrapText="1"/>
    </xf>
    <xf numFmtId="0" fontId="104" fillId="56" borderId="10" xfId="0" applyFont="1" applyFill="1" applyBorder="1" applyAlignment="1">
      <alignment horizontal="center" vertical="center" wrapText="1"/>
    </xf>
    <xf numFmtId="0" fontId="105" fillId="0" borderId="0" xfId="0" applyFont="1"/>
    <xf numFmtId="0" fontId="99" fillId="0" borderId="10" xfId="0" applyFont="1" applyBorder="1" applyAlignment="1">
      <alignment horizontal="center" textRotation="90"/>
    </xf>
    <xf numFmtId="1" fontId="99" fillId="0" borderId="10" xfId="0" applyNumberFormat="1" applyFont="1" applyBorder="1" applyAlignment="1">
      <alignment horizontal="center"/>
    </xf>
    <xf numFmtId="1" fontId="27" fillId="0" borderId="10" xfId="0" applyNumberFormat="1" applyFont="1" applyBorder="1" applyAlignment="1">
      <alignment horizontal="center" textRotation="90"/>
    </xf>
    <xf numFmtId="1" fontId="27" fillId="0" borderId="10" xfId="0" applyNumberFormat="1" applyFont="1" applyBorder="1" applyAlignment="1">
      <alignment horizontal="center"/>
    </xf>
    <xf numFmtId="1" fontId="99" fillId="34" borderId="10" xfId="0" applyNumberFormat="1" applyFont="1" applyFill="1" applyBorder="1" applyAlignment="1">
      <alignment horizontal="center"/>
    </xf>
    <xf numFmtId="0" fontId="106" fillId="84" borderId="10" xfId="0" applyFont="1" applyFill="1" applyBorder="1" applyAlignment="1">
      <alignment horizontal="center"/>
    </xf>
    <xf numFmtId="0" fontId="106" fillId="49" borderId="10" xfId="0" applyFont="1" applyFill="1" applyBorder="1" applyAlignment="1">
      <alignment horizontal="center"/>
    </xf>
    <xf numFmtId="0" fontId="106" fillId="84" borderId="10" xfId="0" applyFont="1" applyFill="1" applyBorder="1" applyAlignment="1">
      <alignment horizontal="center" vertic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8" fillId="0" borderId="10" xfId="0" applyFont="1" applyBorder="1" applyAlignment="1">
      <alignment vertical="center" wrapText="1"/>
    </xf>
    <xf numFmtId="0" fontId="107" fillId="56" borderId="10" xfId="0" applyFont="1" applyFill="1" applyBorder="1" applyAlignment="1">
      <alignment horizontal="center" vertical="center" wrapText="1"/>
    </xf>
    <xf numFmtId="2" fontId="38" fillId="34" borderId="10" xfId="0" applyNumberFormat="1" applyFont="1" applyFill="1" applyBorder="1" applyAlignment="1">
      <alignment horizontal="center" vertical="center" wrapText="1"/>
    </xf>
    <xf numFmtId="0" fontId="38" fillId="34" borderId="10" xfId="0" applyFont="1" applyFill="1" applyBorder="1" applyAlignment="1">
      <alignment vertical="center"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108" fillId="63" borderId="10" xfId="0" applyFont="1" applyFill="1" applyBorder="1" applyAlignment="1">
      <alignment horizontal="center" vertical="center" wrapText="1"/>
    </xf>
    <xf numFmtId="0" fontId="38" fillId="34" borderId="10" xfId="0" applyFont="1" applyFill="1" applyBorder="1" applyAlignment="1">
      <alignment horizontal="center" vertical="center" wrapText="1"/>
    </xf>
    <xf numFmtId="0" fontId="109" fillId="56" borderId="10" xfId="0" applyFont="1" applyFill="1" applyBorder="1" applyAlignment="1">
      <alignment horizontal="center" vertical="center" wrapText="1"/>
    </xf>
    <xf numFmtId="0" fontId="110" fillId="0" borderId="10" xfId="0" applyFont="1" applyBorder="1" applyAlignment="1">
      <alignment vertical="center" wrapText="1"/>
    </xf>
    <xf numFmtId="0" fontId="110" fillId="56" borderId="10" xfId="0" applyFont="1" applyFill="1" applyBorder="1" applyAlignment="1">
      <alignment horizontal="center" vertical="center" wrapText="1"/>
    </xf>
    <xf numFmtId="0" fontId="30" fillId="0" borderId="10" xfId="0" applyFont="1" applyBorder="1" applyAlignment="1">
      <alignment vertical="center" wrapText="1"/>
    </xf>
    <xf numFmtId="2" fontId="38" fillId="37" borderId="10" xfId="0" applyNumberFormat="1" applyFont="1" applyFill="1" applyBorder="1" applyAlignment="1">
      <alignment horizontal="center" vertical="center" wrapText="1"/>
    </xf>
    <xf numFmtId="0" fontId="107" fillId="57" borderId="10" xfId="0" applyFont="1" applyFill="1" applyBorder="1" applyAlignment="1">
      <alignment horizontal="center" vertical="center" wrapText="1"/>
    </xf>
    <xf numFmtId="2" fontId="38" fillId="50" borderId="10" xfId="0" applyNumberFormat="1" applyFont="1" applyFill="1" applyBorder="1" applyAlignment="1">
      <alignment horizontal="center" vertical="center" wrapText="1"/>
    </xf>
    <xf numFmtId="0" fontId="110" fillId="57" borderId="10" xfId="0" applyFont="1" applyFill="1" applyBorder="1" applyAlignment="1">
      <alignment vertical="center" wrapText="1"/>
    </xf>
    <xf numFmtId="0" fontId="108" fillId="0" borderId="10" xfId="0" applyFont="1" applyBorder="1" applyAlignment="1">
      <alignment horizontal="center" vertical="center" wrapText="1"/>
    </xf>
    <xf numFmtId="0" fontId="38" fillId="35" borderId="10" xfId="0" applyFont="1" applyFill="1" applyBorder="1" applyAlignment="1">
      <alignment horizontal="center" vertical="center" wrapText="1"/>
    </xf>
    <xf numFmtId="0" fontId="110" fillId="57" borderId="10" xfId="0" applyFont="1" applyFill="1" applyBorder="1" applyAlignment="1">
      <alignment horizontal="center" vertical="center" wrapText="1"/>
    </xf>
    <xf numFmtId="0" fontId="110" fillId="64" borderId="10" xfId="0" applyFont="1" applyFill="1" applyBorder="1" applyAlignment="1">
      <alignment horizontal="center" vertical="center" wrapText="1"/>
    </xf>
    <xf numFmtId="2" fontId="38" fillId="38" borderId="10" xfId="0" applyNumberFormat="1" applyFont="1" applyFill="1" applyBorder="1" applyAlignment="1">
      <alignment horizontal="center" vertical="center" wrapText="1"/>
    </xf>
    <xf numFmtId="0" fontId="107" fillId="58" borderId="10" xfId="0" applyFont="1" applyFill="1" applyBorder="1" applyAlignment="1">
      <alignment horizontal="center" vertical="center" wrapText="1"/>
    </xf>
    <xf numFmtId="2" fontId="38" fillId="55" borderId="10" xfId="0" applyNumberFormat="1" applyFont="1" applyFill="1" applyBorder="1" applyAlignment="1">
      <alignment horizontal="center" vertical="center" wrapText="1"/>
    </xf>
    <xf numFmtId="0" fontId="38" fillId="55" borderId="10" xfId="0" applyFont="1" applyFill="1" applyBorder="1" applyAlignment="1">
      <alignment vertical="center" wrapText="1"/>
    </xf>
    <xf numFmtId="0" fontId="38" fillId="55" borderId="10" xfId="0" applyFont="1" applyFill="1" applyBorder="1" applyAlignment="1">
      <alignment horizontal="center" vertical="center" wrapText="1"/>
    </xf>
    <xf numFmtId="0" fontId="110" fillId="58" borderId="10" xfId="0" applyFont="1" applyFill="1" applyBorder="1" applyAlignment="1">
      <alignment horizontal="center" vertical="center" wrapText="1"/>
    </xf>
    <xf numFmtId="0" fontId="107" fillId="0" borderId="10" xfId="0" applyFont="1" applyBorder="1" applyAlignment="1">
      <alignment vertical="center" wrapText="1"/>
    </xf>
    <xf numFmtId="0" fontId="107"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center" wrapText="1"/>
    </xf>
    <xf numFmtId="0" fontId="38" fillId="33" borderId="10" xfId="0" applyFont="1" applyFill="1" applyBorder="1" applyAlignment="1">
      <alignment vertical="center" wrapText="1"/>
    </xf>
    <xf numFmtId="0" fontId="38" fillId="33" borderId="10" xfId="0" applyFont="1" applyFill="1" applyBorder="1" applyAlignment="1">
      <alignment horizontal="center" vertical="center" wrapText="1"/>
    </xf>
    <xf numFmtId="0" fontId="110" fillId="60" borderId="10" xfId="0" applyFont="1" applyFill="1" applyBorder="1" applyAlignment="1">
      <alignment horizontal="center" vertical="center" wrapText="1"/>
    </xf>
    <xf numFmtId="2" fontId="38" fillId="46" borderId="10" xfId="0" applyNumberFormat="1" applyFont="1" applyFill="1" applyBorder="1" applyAlignment="1">
      <alignment horizontal="center" vertical="center" wrapText="1"/>
    </xf>
    <xf numFmtId="16" fontId="38" fillId="46" borderId="10" xfId="0" applyNumberFormat="1" applyFont="1" applyFill="1" applyBorder="1" applyAlignment="1">
      <alignment horizontal="center" vertical="center" wrapText="1"/>
    </xf>
    <xf numFmtId="2" fontId="38" fillId="64" borderId="10" xfId="0" applyNumberFormat="1" applyFont="1" applyFill="1" applyBorder="1" applyAlignment="1">
      <alignment horizontal="center" vertical="center" wrapText="1"/>
    </xf>
    <xf numFmtId="0" fontId="110" fillId="49" borderId="10" xfId="0" applyFont="1" applyFill="1" applyBorder="1" applyAlignment="1">
      <alignment horizontal="center" vertical="center" wrapText="1"/>
    </xf>
    <xf numFmtId="17" fontId="38" fillId="37" borderId="10" xfId="0" applyNumberFormat="1" applyFont="1" applyFill="1" applyBorder="1" applyAlignment="1">
      <alignment horizontal="center" vertical="center" wrapText="1"/>
    </xf>
    <xf numFmtId="0" fontId="110" fillId="61" borderId="10" xfId="0" applyFont="1" applyFill="1" applyBorder="1" applyAlignment="1">
      <alignment horizontal="center" vertical="center" wrapText="1"/>
    </xf>
    <xf numFmtId="0" fontId="112" fillId="0" borderId="10" xfId="0" applyFont="1" applyBorder="1" applyAlignment="1">
      <alignment vertical="center" wrapText="1"/>
    </xf>
    <xf numFmtId="0" fontId="110" fillId="59" borderId="10" xfId="0"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2" fontId="38" fillId="39" borderId="10" xfId="0" applyNumberFormat="1" applyFont="1" applyFill="1" applyBorder="1" applyAlignment="1">
      <alignment horizontal="center" vertical="center" wrapText="1"/>
    </xf>
    <xf numFmtId="0" fontId="114" fillId="0" borderId="10" xfId="0" applyFont="1" applyBorder="1" applyAlignment="1">
      <alignment vertical="center" wrapText="1"/>
    </xf>
    <xf numFmtId="0" fontId="110" fillId="66" borderId="10" xfId="0" applyFont="1" applyFill="1" applyBorder="1" applyAlignment="1">
      <alignment horizontal="center" vertical="center" wrapText="1"/>
    </xf>
    <xf numFmtId="2" fontId="38" fillId="66" borderId="10" xfId="0" applyNumberFormat="1" applyFont="1" applyFill="1" applyBorder="1" applyAlignment="1">
      <alignment horizontal="center" vertical="center" wrapText="1"/>
    </xf>
    <xf numFmtId="0" fontId="38" fillId="66" borderId="10" xfId="0" applyFont="1" applyFill="1" applyBorder="1" applyAlignment="1">
      <alignment vertical="center" wrapText="1"/>
    </xf>
    <xf numFmtId="0" fontId="38" fillId="66" borderId="10" xfId="0" applyFont="1" applyFill="1" applyBorder="1" applyAlignment="1">
      <alignment horizontal="center" vertical="center" wrapText="1"/>
    </xf>
    <xf numFmtId="0" fontId="108" fillId="66" borderId="10" xfId="0" applyFont="1" applyFill="1" applyBorder="1" applyAlignment="1">
      <alignment horizontal="center" vertical="center" wrapText="1"/>
    </xf>
    <xf numFmtId="0" fontId="110" fillId="66" borderId="10" xfId="0" applyFont="1" applyFill="1" applyBorder="1" applyAlignment="1">
      <alignment vertical="center" wrapText="1"/>
    </xf>
    <xf numFmtId="0" fontId="30" fillId="66" borderId="10" xfId="0" applyFont="1" applyFill="1" applyBorder="1" applyAlignment="1">
      <alignment vertical="center" wrapText="1"/>
    </xf>
    <xf numFmtId="10" fontId="38" fillId="66" borderId="10" xfId="0" applyNumberFormat="1" applyFont="1" applyFill="1" applyBorder="1" applyAlignment="1">
      <alignment horizontal="center" vertical="center" wrapText="1"/>
    </xf>
    <xf numFmtId="0" fontId="30" fillId="34" borderId="10" xfId="0" applyFont="1" applyFill="1" applyBorder="1" applyAlignment="1">
      <alignment horizontal="center" vertical="center" wrapText="1"/>
    </xf>
    <xf numFmtId="0" fontId="115" fillId="0" borderId="10" xfId="0" applyFont="1" applyBorder="1" applyAlignment="1">
      <alignment vertical="center" wrapText="1"/>
    </xf>
    <xf numFmtId="0" fontId="116" fillId="0" borderId="10" xfId="0" applyFont="1" applyBorder="1" applyAlignment="1">
      <alignment vertical="center" wrapText="1"/>
    </xf>
    <xf numFmtId="0" fontId="117" fillId="0" borderId="10" xfId="0" applyFont="1" applyBorder="1" applyAlignment="1">
      <alignment vertical="center"/>
    </xf>
    <xf numFmtId="9" fontId="38" fillId="66" borderId="10" xfId="0" applyNumberFormat="1" applyFont="1" applyFill="1" applyBorder="1" applyAlignment="1">
      <alignment horizontal="center" vertical="center" wrapText="1"/>
    </xf>
    <xf numFmtId="0" fontId="107" fillId="0" borderId="10" xfId="0" applyFont="1" applyBorder="1" applyAlignment="1">
      <alignment vertical="center"/>
    </xf>
    <xf numFmtId="0" fontId="30" fillId="0" borderId="10" xfId="0" applyFont="1" applyBorder="1" applyAlignment="1">
      <alignment horizontal="center" vertical="center"/>
    </xf>
    <xf numFmtId="0" fontId="30" fillId="0" borderId="10" xfId="0" applyFont="1" applyBorder="1" applyAlignment="1">
      <alignment vertical="center"/>
    </xf>
    <xf numFmtId="2" fontId="30" fillId="0" borderId="10" xfId="0" applyNumberFormat="1" applyFont="1" applyBorder="1" applyAlignment="1">
      <alignment horizontal="center" vertical="center"/>
    </xf>
    <xf numFmtId="0" fontId="118" fillId="0" borderId="10" xfId="0" applyFont="1" applyBorder="1" applyAlignment="1">
      <alignment vertical="center"/>
    </xf>
    <xf numFmtId="2" fontId="118" fillId="0" borderId="10" xfId="0" applyNumberFormat="1" applyFont="1" applyBorder="1" applyAlignment="1">
      <alignment horizontal="center" vertical="center"/>
    </xf>
    <xf numFmtId="2" fontId="119" fillId="0" borderId="10" xfId="0" applyNumberFormat="1" applyFont="1" applyBorder="1" applyAlignment="1">
      <alignment horizontal="center" vertical="center"/>
    </xf>
    <xf numFmtId="0" fontId="118" fillId="0" borderId="10" xfId="0" applyFont="1" applyBorder="1" applyAlignment="1">
      <alignment vertical="center" wrapText="1"/>
    </xf>
    <xf numFmtId="2" fontId="38" fillId="66" borderId="10" xfId="0" applyNumberFormat="1" applyFont="1" applyFill="1" applyBorder="1" applyAlignment="1">
      <alignment horizontal="center" vertical="top" wrapText="1"/>
    </xf>
    <xf numFmtId="0" fontId="30" fillId="0" borderId="10" xfId="0" applyFont="1" applyBorder="1" applyAlignment="1">
      <alignment horizontal="center" vertical="center" wrapText="1"/>
    </xf>
    <xf numFmtId="0" fontId="65" fillId="34" borderId="10" xfId="0" applyFont="1" applyFill="1" applyBorder="1" applyAlignment="1">
      <alignment horizontal="center"/>
    </xf>
    <xf numFmtId="2" fontId="16" fillId="0" borderId="10" xfId="0" applyNumberFormat="1" applyFont="1" applyBorder="1" applyAlignment="1">
      <alignment horizontal="center" vertical="center"/>
    </xf>
    <xf numFmtId="0" fontId="20" fillId="33" borderId="10" xfId="0" applyFont="1" applyFill="1" applyBorder="1" applyAlignment="1">
      <alignment horizontal="center"/>
    </xf>
    <xf numFmtId="0" fontId="88" fillId="33" borderId="10" xfId="0" applyFont="1" applyFill="1" applyBorder="1" applyAlignment="1">
      <alignment horizontal="center"/>
    </xf>
    <xf numFmtId="2" fontId="20" fillId="33" borderId="10" xfId="0" applyNumberFormat="1" applyFont="1" applyFill="1" applyBorder="1" applyAlignment="1">
      <alignment horizontal="center"/>
    </xf>
    <xf numFmtId="2" fontId="88" fillId="33" borderId="10" xfId="0" applyNumberFormat="1" applyFont="1" applyFill="1" applyBorder="1" applyAlignment="1">
      <alignment horizontal="center"/>
    </xf>
    <xf numFmtId="2" fontId="20" fillId="85" borderId="10" xfId="0" applyNumberFormat="1" applyFont="1" applyFill="1" applyBorder="1" applyAlignment="1">
      <alignment horizontal="center"/>
    </xf>
    <xf numFmtId="0" fontId="106" fillId="88" borderId="10" xfId="0" applyFont="1" applyFill="1" applyBorder="1" applyAlignment="1">
      <alignment horizontal="center"/>
    </xf>
    <xf numFmtId="0" fontId="20" fillId="88" borderId="10" xfId="0" applyFont="1" applyFill="1" applyBorder="1" applyAlignment="1" applyProtection="1">
      <alignment horizontal="center"/>
      <protection locked="0"/>
    </xf>
    <xf numFmtId="0" fontId="20" fillId="88" borderId="10" xfId="0" applyFont="1" applyFill="1" applyBorder="1" applyAlignment="1">
      <alignment horizontal="center"/>
    </xf>
    <xf numFmtId="14" fontId="87" fillId="0" borderId="10" xfId="0" applyNumberFormat="1" applyFont="1" applyBorder="1" applyAlignment="1">
      <alignment horizontal="center" wrapText="1"/>
    </xf>
    <xf numFmtId="0" fontId="88" fillId="35" borderId="10" xfId="0" applyFont="1" applyFill="1" applyBorder="1" applyAlignment="1">
      <alignment horizontal="center" wrapText="1"/>
    </xf>
    <xf numFmtId="0" fontId="20" fillId="43" borderId="10" xfId="0" applyFont="1" applyFill="1" applyBorder="1" applyAlignment="1">
      <alignment horizontal="center"/>
    </xf>
    <xf numFmtId="0" fontId="88" fillId="40" borderId="10" xfId="0" applyFont="1" applyFill="1" applyBorder="1" applyAlignment="1">
      <alignment horizontal="center"/>
    </xf>
    <xf numFmtId="0" fontId="88" fillId="44" borderId="10" xfId="0" applyFont="1" applyFill="1" applyBorder="1" applyAlignment="1">
      <alignment horizontal="center" wrapText="1"/>
    </xf>
    <xf numFmtId="0" fontId="20" fillId="55" borderId="10" xfId="0" applyFont="1" applyFill="1" applyBorder="1" applyAlignment="1">
      <alignment horizontal="center"/>
    </xf>
    <xf numFmtId="0" fontId="88" fillId="86" borderId="10" xfId="0" applyFont="1" applyFill="1" applyBorder="1" applyAlignment="1">
      <alignment horizontal="center" wrapText="1"/>
    </xf>
    <xf numFmtId="0" fontId="88" fillId="34" borderId="10" xfId="0" applyFont="1" applyFill="1" applyBorder="1" applyAlignment="1">
      <alignment horizontal="center" wrapText="1"/>
    </xf>
    <xf numFmtId="0" fontId="88" fillId="0" borderId="10" xfId="0" applyFont="1" applyBorder="1" applyAlignment="1">
      <alignment horizontal="center" wrapText="1"/>
    </xf>
    <xf numFmtId="0" fontId="0" fillId="33" borderId="10" xfId="0" applyFill="1" applyBorder="1" applyAlignment="1">
      <alignment horizontal="center"/>
    </xf>
    <xf numFmtId="0" fontId="25" fillId="0" borderId="10" xfId="0" applyFont="1" applyBorder="1" applyAlignment="1">
      <alignment horizontal="center"/>
    </xf>
    <xf numFmtId="0" fontId="88" fillId="79" borderId="10" xfId="0" applyFont="1" applyFill="1" applyBorder="1" applyAlignment="1">
      <alignment horizontal="center" wrapText="1"/>
    </xf>
    <xf numFmtId="0" fontId="25" fillId="33" borderId="10" xfId="0" applyFont="1" applyFill="1" applyBorder="1" applyAlignment="1">
      <alignment horizontal="center"/>
    </xf>
    <xf numFmtId="0" fontId="88" fillId="54" borderId="10" xfId="0" applyFont="1" applyFill="1" applyBorder="1" applyAlignment="1">
      <alignment horizontal="center" wrapText="1"/>
    </xf>
    <xf numFmtId="0" fontId="88" fillId="50" borderId="10" xfId="0" applyFont="1" applyFill="1" applyBorder="1" applyAlignment="1">
      <alignment horizontal="center" wrapText="1"/>
    </xf>
    <xf numFmtId="0" fontId="88" fillId="46" borderId="10" xfId="0" applyFont="1" applyFill="1" applyBorder="1" applyAlignment="1">
      <alignment horizontal="center" wrapText="1"/>
    </xf>
    <xf numFmtId="0" fontId="88" fillId="85" borderId="10" xfId="0" applyFont="1" applyFill="1" applyBorder="1" applyAlignment="1">
      <alignment horizontal="center" wrapText="1"/>
    </xf>
    <xf numFmtId="0" fontId="20" fillId="83" borderId="10" xfId="0" applyFont="1" applyFill="1" applyBorder="1" applyAlignment="1">
      <alignment horizontal="center"/>
    </xf>
    <xf numFmtId="0" fontId="88" fillId="77" borderId="10" xfId="0" applyFont="1" applyFill="1" applyBorder="1" applyAlignment="1">
      <alignment horizontal="center" wrapText="1"/>
    </xf>
    <xf numFmtId="0" fontId="88" fillId="36" borderId="10" xfId="0" applyFont="1" applyFill="1" applyBorder="1" applyAlignment="1">
      <alignment horizontal="center" wrapText="1"/>
    </xf>
    <xf numFmtId="0" fontId="88" fillId="88" borderId="10" xfId="0" applyFont="1" applyFill="1" applyBorder="1" applyAlignment="1">
      <alignment horizontal="center" wrapText="1"/>
    </xf>
    <xf numFmtId="0" fontId="20" fillId="62" borderId="10" xfId="0" applyFont="1" applyFill="1" applyBorder="1" applyAlignment="1">
      <alignment horizontal="center"/>
    </xf>
    <xf numFmtId="0" fontId="0" fillId="43" borderId="10" xfId="0" applyFill="1" applyBorder="1" applyAlignment="1">
      <alignment horizontal="center"/>
    </xf>
    <xf numFmtId="0" fontId="106" fillId="46" borderId="10" xfId="0" applyFont="1" applyFill="1" applyBorder="1" applyAlignment="1">
      <alignment horizontal="center"/>
    </xf>
    <xf numFmtId="2" fontId="88" fillId="46" borderId="10" xfId="0" applyNumberFormat="1" applyFont="1" applyFill="1" applyBorder="1" applyAlignment="1">
      <alignment horizontal="center"/>
    </xf>
    <xf numFmtId="0" fontId="106" fillId="37" borderId="10" xfId="0" applyFont="1" applyFill="1" applyBorder="1" applyAlignment="1">
      <alignment horizontal="center"/>
    </xf>
    <xf numFmtId="0" fontId="65" fillId="37" borderId="10" xfId="0" applyFont="1" applyFill="1" applyBorder="1" applyAlignment="1">
      <alignment horizontal="center"/>
    </xf>
    <xf numFmtId="0" fontId="88" fillId="89" borderId="10" xfId="0" applyFont="1" applyFill="1" applyBorder="1" applyAlignment="1">
      <alignment horizontal="center"/>
    </xf>
    <xf numFmtId="0" fontId="106" fillId="89" borderId="10" xfId="0" applyFont="1" applyFill="1" applyBorder="1" applyAlignment="1">
      <alignment horizontal="center"/>
    </xf>
    <xf numFmtId="2" fontId="20" fillId="37" borderId="10" xfId="0" applyNumberFormat="1" applyFont="1" applyFill="1" applyBorder="1" applyAlignment="1">
      <alignment horizontal="center"/>
    </xf>
    <xf numFmtId="2" fontId="16" fillId="37" borderId="10" xfId="0" applyNumberFormat="1" applyFont="1" applyFill="1" applyBorder="1" applyAlignment="1">
      <alignment horizontal="center" vertical="center"/>
    </xf>
    <xf numFmtId="0" fontId="106" fillId="47" borderId="10" xfId="0" applyFont="1" applyFill="1" applyBorder="1" applyAlignment="1">
      <alignment horizontal="center"/>
    </xf>
    <xf numFmtId="0" fontId="88" fillId="47" borderId="10" xfId="0" applyFont="1" applyFill="1" applyBorder="1" applyAlignment="1">
      <alignment horizontal="center" wrapText="1"/>
    </xf>
    <xf numFmtId="0" fontId="65" fillId="47" borderId="10" xfId="0" applyFont="1" applyFill="1" applyBorder="1" applyAlignment="1">
      <alignment horizontal="center"/>
    </xf>
    <xf numFmtId="0" fontId="122" fillId="48" borderId="10" xfId="0" applyFont="1" applyFill="1" applyBorder="1" applyAlignment="1">
      <alignment horizontal="center"/>
    </xf>
    <xf numFmtId="0" fontId="16" fillId="50" borderId="10" xfId="0" applyFont="1" applyFill="1" applyBorder="1" applyAlignment="1">
      <alignment vertical="center"/>
    </xf>
    <xf numFmtId="0" fontId="79" fillId="70" borderId="10" xfId="0" applyFont="1" applyFill="1" applyBorder="1" applyAlignment="1">
      <alignment vertical="center"/>
    </xf>
    <xf numFmtId="0" fontId="24" fillId="0" borderId="10" xfId="0" applyFont="1" applyBorder="1"/>
    <xf numFmtId="0" fontId="78" fillId="0" borderId="10" xfId="0" applyFont="1" applyBorder="1" applyAlignment="1">
      <alignment vertical="center"/>
    </xf>
    <xf numFmtId="0" fontId="79" fillId="71" borderId="10" xfId="0" applyFont="1" applyFill="1" applyBorder="1" applyAlignment="1">
      <alignment vertical="center"/>
    </xf>
    <xf numFmtId="0" fontId="24" fillId="34" borderId="10" xfId="0" applyFont="1" applyFill="1" applyBorder="1"/>
    <xf numFmtId="0" fontId="24" fillId="50" borderId="10" xfId="0" applyFont="1" applyFill="1" applyBorder="1"/>
    <xf numFmtId="0" fontId="79" fillId="72" borderId="10" xfId="0" applyFont="1" applyFill="1" applyBorder="1" applyAlignment="1">
      <alignment vertical="center"/>
    </xf>
    <xf numFmtId="0" fontId="79" fillId="73" borderId="10" xfId="0" applyFont="1" applyFill="1" applyBorder="1" applyAlignment="1">
      <alignment vertical="center"/>
    </xf>
    <xf numFmtId="0" fontId="79" fillId="74" borderId="10" xfId="0" applyFont="1" applyFill="1" applyBorder="1" applyAlignment="1">
      <alignment vertical="center"/>
    </xf>
    <xf numFmtId="0" fontId="79" fillId="75" borderId="10" xfId="0" applyFont="1" applyFill="1" applyBorder="1" applyAlignment="1">
      <alignment vertical="center"/>
    </xf>
    <xf numFmtId="0" fontId="79" fillId="76" borderId="10" xfId="0" applyFont="1" applyFill="1" applyBorder="1" applyAlignment="1">
      <alignment vertical="center"/>
    </xf>
    <xf numFmtId="0" fontId="79" fillId="77" borderId="10" xfId="0" applyFont="1" applyFill="1" applyBorder="1" applyAlignment="1">
      <alignment vertical="center"/>
    </xf>
    <xf numFmtId="0" fontId="79" fillId="78" borderId="10" xfId="0" applyFont="1" applyFill="1" applyBorder="1" applyAlignment="1">
      <alignment vertical="center"/>
    </xf>
    <xf numFmtId="0" fontId="19" fillId="0" borderId="10" xfId="0" applyFont="1" applyBorder="1"/>
    <xf numFmtId="0" fontId="25" fillId="44" borderId="10" xfId="0" applyFont="1" applyFill="1" applyBorder="1" applyAlignment="1">
      <alignment horizontal="center"/>
    </xf>
    <xf numFmtId="2" fontId="16" fillId="44" borderId="10" xfId="0" applyNumberFormat="1" applyFont="1" applyFill="1" applyBorder="1" applyAlignment="1">
      <alignment horizontal="center" vertical="center"/>
    </xf>
    <xf numFmtId="2" fontId="19" fillId="63" borderId="10" xfId="0" applyNumberFormat="1" applyFont="1" applyFill="1" applyBorder="1" applyAlignment="1">
      <alignment horizontal="center"/>
    </xf>
    <xf numFmtId="0" fontId="19" fillId="63" borderId="10" xfId="0" applyFont="1" applyFill="1" applyBorder="1" applyAlignment="1">
      <alignment horizontal="center"/>
    </xf>
    <xf numFmtId="164" fontId="19" fillId="63" borderId="10" xfId="0" applyNumberFormat="1" applyFont="1" applyFill="1" applyBorder="1" applyAlignment="1">
      <alignment horizontal="center"/>
    </xf>
    <xf numFmtId="9" fontId="19" fillId="63" borderId="10" xfId="0" applyNumberFormat="1" applyFont="1" applyFill="1" applyBorder="1" applyAlignment="1">
      <alignment horizontal="center"/>
    </xf>
    <xf numFmtId="2" fontId="23" fillId="63" borderId="10" xfId="0" applyNumberFormat="1" applyFont="1" applyFill="1" applyBorder="1" applyAlignment="1">
      <alignment horizontal="center"/>
    </xf>
    <xf numFmtId="0" fontId="57" fillId="49" borderId="10" xfId="0" applyFont="1" applyFill="1" applyBorder="1" applyAlignment="1">
      <alignment horizontal="center" vertical="center" wrapText="1"/>
    </xf>
    <xf numFmtId="0" fontId="88" fillId="49" borderId="10" xfId="0" applyFont="1" applyFill="1" applyBorder="1" applyAlignment="1">
      <alignment horizontal="center" vertical="top" wrapText="1"/>
    </xf>
    <xf numFmtId="0" fontId="97" fillId="49" borderId="10" xfId="0" applyFont="1" applyFill="1" applyBorder="1" applyAlignment="1">
      <alignment horizontal="center" vertical="center" wrapText="1"/>
    </xf>
    <xf numFmtId="0" fontId="106" fillId="49" borderId="10" xfId="0" applyFont="1" applyFill="1" applyBorder="1" applyAlignment="1">
      <alignment horizontal="center" wrapText="1"/>
    </xf>
    <xf numFmtId="0" fontId="54" fillId="85" borderId="10" xfId="0" applyFont="1" applyFill="1" applyBorder="1" applyAlignment="1">
      <alignment horizontal="center"/>
    </xf>
    <xf numFmtId="0" fontId="82" fillId="85" borderId="10" xfId="0" applyFont="1" applyFill="1" applyBorder="1" applyAlignment="1">
      <alignment horizontal="center"/>
    </xf>
    <xf numFmtId="0" fontId="54" fillId="85" borderId="10" xfId="0" applyFont="1" applyFill="1" applyBorder="1" applyAlignment="1">
      <alignment horizontal="center" wrapText="1"/>
    </xf>
    <xf numFmtId="0" fontId="54" fillId="85" borderId="10" xfId="0" applyFont="1" applyFill="1" applyBorder="1" applyAlignment="1" applyProtection="1">
      <alignment horizontal="center"/>
      <protection locked="0"/>
    </xf>
    <xf numFmtId="0" fontId="20" fillId="35" borderId="10" xfId="0" applyFont="1" applyFill="1" applyBorder="1" applyAlignment="1">
      <alignment horizontal="center" wrapText="1"/>
    </xf>
    <xf numFmtId="0" fontId="20" fillId="79" borderId="10" xfId="0" applyFont="1" applyFill="1" applyBorder="1" applyAlignment="1">
      <alignment horizontal="center"/>
    </xf>
    <xf numFmtId="0" fontId="123" fillId="49" borderId="10" xfId="0" applyFont="1" applyFill="1" applyBorder="1" applyAlignment="1">
      <alignment horizontal="center" wrapText="1"/>
    </xf>
    <xf numFmtId="0" fontId="106" fillId="49" borderId="10" xfId="0" applyFont="1" applyFill="1" applyBorder="1" applyAlignment="1">
      <alignment horizontal="center" vertical="center" wrapText="1"/>
    </xf>
    <xf numFmtId="2" fontId="20" fillId="83" borderId="10" xfId="0" applyNumberFormat="1" applyFont="1" applyFill="1" applyBorder="1" applyAlignment="1">
      <alignment horizontal="center"/>
    </xf>
    <xf numFmtId="0" fontId="19" fillId="66" borderId="10" xfId="0" applyFont="1" applyFill="1" applyBorder="1" applyAlignment="1">
      <alignment horizontal="left" wrapText="1"/>
    </xf>
    <xf numFmtId="0" fontId="124" fillId="66" borderId="10" xfId="0" applyFont="1" applyFill="1" applyBorder="1" applyAlignment="1">
      <alignment horizontal="left"/>
    </xf>
    <xf numFmtId="0" fontId="85" fillId="66" borderId="10" xfId="0" applyFont="1" applyFill="1" applyBorder="1" applyAlignment="1">
      <alignment horizontal="left" vertical="center" wrapText="1"/>
    </xf>
    <xf numFmtId="0" fontId="124" fillId="66" borderId="10" xfId="0" applyFont="1" applyFill="1" applyBorder="1" applyAlignment="1">
      <alignment horizontal="left" vertical="center" wrapText="1"/>
    </xf>
    <xf numFmtId="0" fontId="124" fillId="66" borderId="10" xfId="0" applyFont="1" applyFill="1" applyBorder="1" applyAlignment="1">
      <alignment vertical="center" wrapText="1"/>
    </xf>
    <xf numFmtId="0" fontId="124" fillId="66" borderId="10" xfId="0" applyFont="1" applyFill="1" applyBorder="1"/>
    <xf numFmtId="0" fontId="85" fillId="66" borderId="10" xfId="0" applyFont="1" applyFill="1" applyBorder="1" applyAlignment="1">
      <alignment vertical="center" wrapText="1"/>
    </xf>
    <xf numFmtId="0" fontId="19" fillId="66" borderId="10" xfId="0" applyFont="1" applyFill="1" applyBorder="1" applyAlignment="1">
      <alignment horizontal="left" vertical="center"/>
    </xf>
    <xf numFmtId="0" fontId="19" fillId="66" borderId="10" xfId="0" applyFont="1" applyFill="1" applyBorder="1" applyAlignment="1">
      <alignment horizontal="left"/>
    </xf>
    <xf numFmtId="0" fontId="19" fillId="66" borderId="10" xfId="0" applyFont="1" applyFill="1" applyBorder="1" applyAlignment="1">
      <alignment horizontal="left" vertical="center" wrapText="1"/>
    </xf>
    <xf numFmtId="0" fontId="124" fillId="0" borderId="10" xfId="0" applyFont="1" applyBorder="1"/>
    <xf numFmtId="0" fontId="125" fillId="66" borderId="10" xfId="0" applyFont="1" applyFill="1" applyBorder="1" applyAlignment="1">
      <alignment horizontal="left" vertical="center" wrapText="1"/>
    </xf>
    <xf numFmtId="0" fontId="19" fillId="90" borderId="10" xfId="0" applyFont="1" applyFill="1" applyBorder="1" applyAlignment="1">
      <alignment horizontal="left"/>
    </xf>
    <xf numFmtId="0" fontId="19" fillId="66" borderId="10" xfId="0" applyFont="1" applyFill="1" applyBorder="1" applyAlignment="1">
      <alignment wrapText="1"/>
    </xf>
    <xf numFmtId="0" fontId="127" fillId="66" borderId="10" xfId="0" applyFont="1" applyFill="1" applyBorder="1"/>
    <xf numFmtId="0" fontId="0" fillId="0" borderId="10" xfId="0" applyBorder="1" applyAlignment="1">
      <alignment horizontal="left"/>
    </xf>
    <xf numFmtId="0" fontId="0" fillId="66" borderId="10" xfId="0" applyFill="1" applyBorder="1" applyAlignment="1">
      <alignment horizontal="left" wrapText="1"/>
    </xf>
    <xf numFmtId="0" fontId="0" fillId="66" borderId="10" xfId="0" applyFill="1" applyBorder="1" applyAlignment="1">
      <alignment horizontal="left"/>
    </xf>
    <xf numFmtId="0" fontId="0" fillId="66" borderId="10" xfId="0" applyFill="1" applyBorder="1"/>
    <xf numFmtId="0" fontId="0" fillId="90" borderId="10" xfId="0" applyFill="1" applyBorder="1"/>
    <xf numFmtId="0" fontId="0" fillId="66" borderId="10" xfId="0" applyFill="1" applyBorder="1" applyAlignment="1">
      <alignment vertical="center"/>
    </xf>
    <xf numFmtId="0" fontId="0" fillId="66" borderId="10" xfId="0" applyFill="1" applyBorder="1" applyAlignment="1">
      <alignment horizontal="left" vertical="center"/>
    </xf>
    <xf numFmtId="0" fontId="0" fillId="90" borderId="10" xfId="0" applyFill="1" applyBorder="1" applyAlignment="1">
      <alignment horizontal="left"/>
    </xf>
    <xf numFmtId="0" fontId="0" fillId="0" borderId="10" xfId="0" applyBorder="1" applyAlignment="1">
      <alignment horizontal="left" wrapText="1"/>
    </xf>
    <xf numFmtId="0" fontId="19" fillId="90" borderId="10" xfId="0" applyFont="1" applyFill="1" applyBorder="1" applyAlignment="1">
      <alignment vertical="center"/>
    </xf>
    <xf numFmtId="0" fontId="19" fillId="90" borderId="10" xfId="0" applyFont="1" applyFill="1" applyBorder="1"/>
    <xf numFmtId="0" fontId="124" fillId="0" borderId="10" xfId="0" applyFont="1" applyBorder="1" applyAlignment="1">
      <alignment horizontal="left"/>
    </xf>
    <xf numFmtId="0" fontId="129" fillId="0" borderId="10" xfId="0" applyFont="1" applyBorder="1"/>
    <xf numFmtId="0" fontId="79" fillId="83" borderId="10" xfId="0" applyFont="1" applyFill="1" applyBorder="1" applyAlignment="1">
      <alignment vertical="center"/>
    </xf>
    <xf numFmtId="0" fontId="79" fillId="46" borderId="10" xfId="0" applyFont="1" applyFill="1" applyBorder="1" applyAlignment="1">
      <alignment vertical="center"/>
    </xf>
    <xf numFmtId="0" fontId="78" fillId="46" borderId="10" xfId="0" applyFont="1" applyFill="1" applyBorder="1" applyAlignment="1">
      <alignment vertical="center"/>
    </xf>
    <xf numFmtId="0" fontId="79" fillId="34" borderId="10" xfId="0" applyFont="1" applyFill="1" applyBorder="1" applyAlignment="1">
      <alignment vertical="center"/>
    </xf>
    <xf numFmtId="0" fontId="79" fillId="39" borderId="10" xfId="0" applyFont="1" applyFill="1" applyBorder="1" applyAlignment="1">
      <alignment vertical="center"/>
    </xf>
    <xf numFmtId="0" fontId="79" fillId="93" borderId="10" xfId="0" applyFont="1" applyFill="1" applyBorder="1" applyAlignment="1">
      <alignment vertical="center"/>
    </xf>
    <xf numFmtId="0" fontId="78" fillId="93" borderId="10" xfId="0" applyFont="1" applyFill="1" applyBorder="1" applyAlignment="1">
      <alignment vertical="center"/>
    </xf>
    <xf numFmtId="0" fontId="16" fillId="36" borderId="10" xfId="0" applyFont="1" applyFill="1" applyBorder="1" applyAlignment="1">
      <alignment vertical="center"/>
    </xf>
    <xf numFmtId="0" fontId="79" fillId="36" borderId="10" xfId="0" applyFont="1" applyFill="1" applyBorder="1" applyAlignment="1">
      <alignment vertical="center"/>
    </xf>
    <xf numFmtId="0" fontId="79" fillId="33" borderId="10" xfId="0" applyFont="1" applyFill="1" applyBorder="1" applyAlignment="1">
      <alignment vertical="center"/>
    </xf>
    <xf numFmtId="0" fontId="0" fillId="66" borderId="10" xfId="0" applyFill="1" applyBorder="1" applyAlignment="1">
      <alignment horizontal="center"/>
    </xf>
    <xf numFmtId="0" fontId="78" fillId="36" borderId="10" xfId="0" applyFont="1" applyFill="1" applyBorder="1" applyAlignment="1">
      <alignment vertical="center"/>
    </xf>
    <xf numFmtId="0" fontId="78" fillId="39" borderId="10" xfId="0" applyFont="1" applyFill="1" applyBorder="1" applyAlignment="1">
      <alignment vertical="center"/>
    </xf>
    <xf numFmtId="0" fontId="20" fillId="69" borderId="10" xfId="0" applyFont="1" applyFill="1" applyBorder="1" applyAlignment="1">
      <alignment horizontal="center"/>
    </xf>
    <xf numFmtId="0" fontId="0" fillId="45" borderId="0" xfId="0" applyFill="1"/>
    <xf numFmtId="0" fontId="24" fillId="33" borderId="10" xfId="0" applyFont="1" applyFill="1" applyBorder="1" applyAlignment="1">
      <alignment horizontal="center" wrapText="1"/>
    </xf>
    <xf numFmtId="0" fontId="16" fillId="35" borderId="10" xfId="0" applyFont="1" applyFill="1" applyBorder="1" applyAlignment="1">
      <alignment horizontal="center" vertical="center"/>
    </xf>
    <xf numFmtId="0" fontId="24" fillId="66" borderId="10" xfId="0" applyFont="1" applyFill="1" applyBorder="1" applyAlignment="1">
      <alignment horizontal="center"/>
    </xf>
    <xf numFmtId="0" fontId="16" fillId="86" borderId="10" xfId="0" applyFont="1" applyFill="1" applyBorder="1" applyAlignment="1">
      <alignment horizontal="center" vertical="center"/>
    </xf>
    <xf numFmtId="0" fontId="24" fillId="66" borderId="10" xfId="0" applyFont="1" applyFill="1" applyBorder="1" applyAlignment="1">
      <alignment horizontal="center" wrapText="1"/>
    </xf>
    <xf numFmtId="0" fontId="16" fillId="39" borderId="10" xfId="0" applyFont="1" applyFill="1" applyBorder="1" applyAlignment="1">
      <alignment horizontal="center" vertical="center"/>
    </xf>
    <xf numFmtId="0" fontId="16" fillId="37" borderId="10" xfId="0" applyFont="1" applyFill="1" applyBorder="1" applyAlignment="1">
      <alignment horizontal="center" vertical="center"/>
    </xf>
    <xf numFmtId="0" fontId="16" fillId="66" borderId="10" xfId="0" applyFont="1" applyFill="1" applyBorder="1" applyAlignment="1">
      <alignment horizontal="center" vertical="center"/>
    </xf>
    <xf numFmtId="0" fontId="16" fillId="46" borderId="10" xfId="0" applyFont="1" applyFill="1" applyBorder="1" applyAlignment="1">
      <alignment horizontal="center" vertical="center"/>
    </xf>
    <xf numFmtId="0" fontId="24" fillId="0" borderId="10" xfId="0" applyFont="1" applyBorder="1" applyAlignment="1">
      <alignment horizontal="center" wrapText="1"/>
    </xf>
    <xf numFmtId="0" fontId="24" fillId="34" borderId="10" xfId="0" applyFont="1" applyFill="1" applyBorder="1" applyAlignment="1">
      <alignment horizontal="center" wrapText="1"/>
    </xf>
    <xf numFmtId="0" fontId="24" fillId="34" borderId="10" xfId="0" applyFont="1" applyFill="1" applyBorder="1" applyAlignment="1">
      <alignment horizontal="center" vertical="center"/>
    </xf>
    <xf numFmtId="0" fontId="24" fillId="33" borderId="10" xfId="0" applyFont="1" applyFill="1" applyBorder="1" applyAlignment="1">
      <alignment horizontal="center" vertical="center"/>
    </xf>
    <xf numFmtId="0" fontId="24" fillId="33" borderId="10" xfId="0" applyFont="1" applyFill="1" applyBorder="1" applyAlignment="1">
      <alignment horizontal="center"/>
    </xf>
    <xf numFmtId="0" fontId="84" fillId="33" borderId="10" xfId="0" applyFont="1" applyFill="1" applyBorder="1" applyAlignment="1">
      <alignment horizontal="center"/>
    </xf>
    <xf numFmtId="0" fontId="84" fillId="0" borderId="10" xfId="0" applyFont="1" applyBorder="1" applyAlignment="1">
      <alignment horizontal="center"/>
    </xf>
    <xf numFmtId="0" fontId="88" fillId="68" borderId="10" xfId="0" applyFont="1" applyFill="1" applyBorder="1" applyAlignment="1">
      <alignment horizontal="center" wrapText="1"/>
    </xf>
    <xf numFmtId="0" fontId="20" fillId="68" borderId="0" xfId="0" applyFont="1" applyFill="1" applyAlignment="1">
      <alignment horizontal="center" vertical="top" wrapText="1"/>
    </xf>
    <xf numFmtId="0" fontId="20" fillId="35" borderId="0" xfId="0" applyFont="1" applyFill="1" applyAlignment="1">
      <alignment horizontal="center" vertical="top" wrapText="1"/>
    </xf>
    <xf numFmtId="0" fontId="106" fillId="87" borderId="10" xfId="0" applyFont="1" applyFill="1" applyBorder="1" applyAlignment="1">
      <alignment horizontal="center" wrapText="1"/>
    </xf>
    <xf numFmtId="0" fontId="87" fillId="34" borderId="10" xfId="0" applyFont="1" applyFill="1" applyBorder="1" applyAlignment="1">
      <alignment horizontal="center"/>
    </xf>
    <xf numFmtId="0" fontId="88" fillId="45" borderId="10" xfId="0" applyFont="1" applyFill="1" applyBorder="1" applyAlignment="1">
      <alignment horizontal="center" wrapText="1"/>
    </xf>
    <xf numFmtId="1" fontId="27" fillId="35" borderId="10" xfId="0" applyNumberFormat="1" applyFont="1" applyFill="1" applyBorder="1" applyAlignment="1">
      <alignment horizontal="center"/>
    </xf>
    <xf numFmtId="1" fontId="99" fillId="35" borderId="10" xfId="0" applyNumberFormat="1" applyFont="1" applyFill="1" applyBorder="1" applyAlignment="1">
      <alignment horizontal="center"/>
    </xf>
    <xf numFmtId="1" fontId="27" fillId="33" borderId="10" xfId="0" applyNumberFormat="1" applyFont="1" applyFill="1" applyBorder="1" applyAlignment="1">
      <alignment horizontal="center" textRotation="90"/>
    </xf>
    <xf numFmtId="1" fontId="27" fillId="34" borderId="10" xfId="0" applyNumberFormat="1" applyFont="1" applyFill="1" applyBorder="1" applyAlignment="1">
      <alignment horizontal="center" textRotation="90"/>
    </xf>
    <xf numFmtId="1" fontId="27" fillId="42" borderId="10" xfId="0" applyNumberFormat="1" applyFont="1" applyFill="1" applyBorder="1" applyAlignment="1">
      <alignment horizontal="center" textRotation="90"/>
    </xf>
    <xf numFmtId="1" fontId="27" fillId="53" borderId="10" xfId="0" applyNumberFormat="1" applyFont="1" applyFill="1" applyBorder="1" applyAlignment="1">
      <alignment horizontal="center" textRotation="90"/>
    </xf>
    <xf numFmtId="1" fontId="99" fillId="55" borderId="10" xfId="0" applyNumberFormat="1" applyFont="1" applyFill="1" applyBorder="1" applyAlignment="1">
      <alignment horizontal="center"/>
    </xf>
    <xf numFmtId="1" fontId="27" fillId="55" borderId="10" xfId="0" applyNumberFormat="1" applyFont="1" applyFill="1" applyBorder="1" applyAlignment="1">
      <alignment horizontal="center"/>
    </xf>
    <xf numFmtId="1" fontId="99" fillId="42" borderId="10" xfId="0" applyNumberFormat="1" applyFont="1" applyFill="1" applyBorder="1" applyAlignment="1">
      <alignment horizontal="center"/>
    </xf>
    <xf numFmtId="1" fontId="27" fillId="33" borderId="10" xfId="0" applyNumberFormat="1" applyFont="1" applyFill="1" applyBorder="1" applyAlignment="1">
      <alignment horizontal="center"/>
    </xf>
    <xf numFmtId="1" fontId="27" fillId="53" borderId="10" xfId="0" applyNumberFormat="1" applyFont="1" applyFill="1" applyBorder="1" applyAlignment="1">
      <alignment horizontal="center"/>
    </xf>
    <xf numFmtId="2" fontId="27" fillId="37" borderId="10" xfId="0" applyNumberFormat="1" applyFont="1" applyFill="1" applyBorder="1" applyAlignment="1">
      <alignment horizontal="center" vertical="center"/>
    </xf>
    <xf numFmtId="0" fontId="20" fillId="63" borderId="10" xfId="0" applyFont="1" applyFill="1" applyBorder="1" applyAlignment="1">
      <alignment horizontal="center"/>
    </xf>
    <xf numFmtId="0" fontId="16" fillId="63" borderId="10" xfId="0" applyFont="1" applyFill="1" applyBorder="1" applyAlignment="1">
      <alignment horizontal="center" vertical="center"/>
    </xf>
    <xf numFmtId="0" fontId="20" fillId="50" borderId="10" xfId="0" applyFont="1" applyFill="1" applyBorder="1" applyAlignment="1" applyProtection="1">
      <alignment horizontal="center"/>
      <protection locked="0"/>
    </xf>
    <xf numFmtId="0" fontId="131" fillId="53" borderId="10" xfId="0" applyFont="1" applyFill="1" applyBorder="1" applyAlignment="1">
      <alignment horizontal="center" wrapText="1"/>
    </xf>
    <xf numFmtId="0" fontId="20" fillId="0" borderId="10" xfId="0" applyFont="1" applyBorder="1" applyAlignment="1">
      <alignment vertical="center"/>
    </xf>
    <xf numFmtId="0" fontId="88" fillId="43" borderId="10" xfId="0" applyFont="1" applyFill="1" applyBorder="1" applyAlignment="1">
      <alignment vertical="center"/>
    </xf>
    <xf numFmtId="0" fontId="65" fillId="0" borderId="10" xfId="0" applyFont="1" applyBorder="1"/>
    <xf numFmtId="0" fontId="88" fillId="0" borderId="10" xfId="0" applyFont="1" applyBorder="1" applyAlignment="1">
      <alignment vertical="center"/>
    </xf>
    <xf numFmtId="0" fontId="65" fillId="43" borderId="10" xfId="0" applyFont="1" applyFill="1" applyBorder="1" applyAlignment="1">
      <alignment vertical="center"/>
    </xf>
    <xf numFmtId="2" fontId="20" fillId="43" borderId="10" xfId="0" applyNumberFormat="1" applyFont="1" applyFill="1" applyBorder="1"/>
    <xf numFmtId="0" fontId="20" fillId="0" borderId="10" xfId="0" applyFont="1" applyBorder="1"/>
    <xf numFmtId="0" fontId="20" fillId="34" borderId="10" xfId="0" applyFont="1" applyFill="1" applyBorder="1"/>
    <xf numFmtId="0" fontId="132" fillId="0" borderId="10" xfId="0" applyFont="1" applyBorder="1"/>
    <xf numFmtId="0" fontId="132" fillId="85" borderId="10" xfId="0" applyFont="1" applyFill="1" applyBorder="1"/>
    <xf numFmtId="0" fontId="88" fillId="92" borderId="10" xfId="0" applyFont="1" applyFill="1" applyBorder="1"/>
    <xf numFmtId="0" fontId="20" fillId="92" borderId="10" xfId="0" applyFont="1" applyFill="1" applyBorder="1"/>
    <xf numFmtId="0" fontId="88" fillId="92" borderId="10" xfId="0" applyFont="1" applyFill="1" applyBorder="1" applyAlignment="1">
      <alignment vertical="center"/>
    </xf>
    <xf numFmtId="0" fontId="20" fillId="43" borderId="10" xfId="0" applyFont="1" applyFill="1" applyBorder="1"/>
    <xf numFmtId="0" fontId="20" fillId="43" borderId="10" xfId="0" applyFont="1" applyFill="1" applyBorder="1" applyAlignment="1">
      <alignment vertical="center"/>
    </xf>
    <xf numFmtId="0" fontId="82" fillId="0" borderId="0" xfId="0" applyFont="1" applyAlignment="1">
      <alignment vertical="center"/>
    </xf>
    <xf numFmtId="0" fontId="133" fillId="0" borderId="0" xfId="0" applyFont="1" applyAlignment="1">
      <alignment vertical="center"/>
    </xf>
    <xf numFmtId="0" fontId="134" fillId="35" borderId="10" xfId="0" applyFont="1" applyFill="1" applyBorder="1" applyAlignment="1">
      <alignment horizontal="center"/>
    </xf>
    <xf numFmtId="0" fontId="20" fillId="68" borderId="10" xfId="0" applyFont="1" applyFill="1" applyBorder="1" applyAlignment="1">
      <alignment horizontal="center" vertical="top" wrapText="1"/>
    </xf>
    <xf numFmtId="0" fontId="20" fillId="44" borderId="10" xfId="0" applyFont="1" applyFill="1" applyBorder="1" applyAlignment="1">
      <alignment horizontal="center" wrapText="1"/>
    </xf>
    <xf numFmtId="0" fontId="88" fillId="42" borderId="10" xfId="0" applyFont="1" applyFill="1" applyBorder="1" applyAlignment="1">
      <alignment horizontal="center" wrapText="1"/>
    </xf>
    <xf numFmtId="0" fontId="108" fillId="64" borderId="10" xfId="0" applyFont="1" applyFill="1" applyBorder="1" applyAlignment="1">
      <alignment horizontal="center" vertical="center" wrapText="1"/>
    </xf>
    <xf numFmtId="0" fontId="20" fillId="83" borderId="10" xfId="0" applyFont="1" applyFill="1" applyBorder="1"/>
    <xf numFmtId="0" fontId="20" fillId="83" borderId="10" xfId="0" applyFont="1" applyFill="1" applyBorder="1" applyAlignment="1">
      <alignment vertical="center"/>
    </xf>
    <xf numFmtId="2" fontId="20" fillId="83" borderId="10" xfId="0" applyNumberFormat="1" applyFont="1" applyFill="1" applyBorder="1" applyAlignment="1">
      <alignment vertical="center"/>
    </xf>
    <xf numFmtId="0" fontId="88" fillId="43" borderId="10" xfId="0" applyFont="1" applyFill="1" applyBorder="1"/>
    <xf numFmtId="0" fontId="132" fillId="43" borderId="10" xfId="0" applyFont="1" applyFill="1" applyBorder="1"/>
    <xf numFmtId="0" fontId="65" fillId="43" borderId="10" xfId="0" applyFont="1" applyFill="1" applyBorder="1"/>
    <xf numFmtId="0" fontId="65" fillId="36" borderId="10" xfId="0" applyFont="1" applyFill="1" applyBorder="1"/>
    <xf numFmtId="0" fontId="65" fillId="36" borderId="10" xfId="0" applyFont="1" applyFill="1" applyBorder="1" applyAlignment="1">
      <alignment vertical="center"/>
    </xf>
    <xf numFmtId="0" fontId="88" fillId="36" borderId="10" xfId="0" applyFont="1" applyFill="1" applyBorder="1"/>
    <xf numFmtId="0" fontId="88" fillId="36" borderId="10" xfId="0" applyFont="1" applyFill="1" applyBorder="1" applyAlignment="1">
      <alignment vertical="center"/>
    </xf>
    <xf numFmtId="0" fontId="14" fillId="0" borderId="0" xfId="0" applyFont="1" applyAlignment="1">
      <alignment horizontal="justify" vertical="center"/>
    </xf>
    <xf numFmtId="0" fontId="1" fillId="0" borderId="0" xfId="0" applyFont="1" applyAlignment="1">
      <alignment horizontal="justify" vertical="center"/>
    </xf>
    <xf numFmtId="0" fontId="139" fillId="0" borderId="0" xfId="0" applyFont="1" applyAlignment="1">
      <alignment horizontal="justify" vertical="center"/>
    </xf>
    <xf numFmtId="0" fontId="142" fillId="0" borderId="0" xfId="0" applyFont="1" applyAlignment="1">
      <alignment horizontal="justify" vertical="center"/>
    </xf>
    <xf numFmtId="0" fontId="16" fillId="33" borderId="0" xfId="0" applyFont="1" applyFill="1" applyAlignment="1">
      <alignment horizontal="justify" vertical="center"/>
    </xf>
    <xf numFmtId="0" fontId="0" fillId="0" borderId="10" xfId="0" applyBorder="1" applyAlignment="1">
      <alignment vertical="center"/>
    </xf>
    <xf numFmtId="0" fontId="24" fillId="77" borderId="10" xfId="0" applyFont="1" applyFill="1" applyBorder="1" applyAlignment="1">
      <alignment vertical="center"/>
    </xf>
    <xf numFmtId="0" fontId="0" fillId="0" borderId="10" xfId="0" applyBorder="1" applyAlignment="1">
      <alignment horizontal="left" vertical="center"/>
    </xf>
    <xf numFmtId="0" fontId="16" fillId="83" borderId="10" xfId="0" applyFont="1" applyFill="1" applyBorder="1" applyAlignment="1">
      <alignment horizontal="center" vertical="center"/>
    </xf>
    <xf numFmtId="0" fontId="0" fillId="46" borderId="10" xfId="0" applyFill="1" applyBorder="1" applyAlignment="1">
      <alignment vertical="center"/>
    </xf>
    <xf numFmtId="0" fontId="24" fillId="34" borderId="10" xfId="0" applyFont="1" applyFill="1" applyBorder="1" applyAlignment="1">
      <alignment vertical="center"/>
    </xf>
    <xf numFmtId="0" fontId="0" fillId="0" borderId="10" xfId="0" quotePrefix="1" applyBorder="1" applyAlignment="1">
      <alignment horizontal="left" vertical="center"/>
    </xf>
    <xf numFmtId="0" fontId="0" fillId="83" borderId="10" xfId="0" applyFill="1" applyBorder="1" applyAlignment="1">
      <alignment vertical="center"/>
    </xf>
    <xf numFmtId="0" fontId="0" fillId="39" borderId="10" xfId="0" applyFill="1" applyBorder="1" applyAlignment="1">
      <alignment vertical="center"/>
    </xf>
    <xf numFmtId="0" fontId="24" fillId="39" borderId="10" xfId="0" applyFont="1" applyFill="1" applyBorder="1" applyAlignment="1">
      <alignment vertical="center"/>
    </xf>
    <xf numFmtId="0" fontId="24" fillId="33" borderId="10" xfId="0" applyFont="1" applyFill="1" applyBorder="1" applyAlignment="1">
      <alignment vertical="center"/>
    </xf>
    <xf numFmtId="0" fontId="24" fillId="93" borderId="10" xfId="0" applyFont="1" applyFill="1" applyBorder="1" applyAlignment="1">
      <alignment vertical="center"/>
    </xf>
    <xf numFmtId="0" fontId="24" fillId="36" borderId="10" xfId="0" applyFont="1" applyFill="1" applyBorder="1" applyAlignment="1">
      <alignment vertical="center"/>
    </xf>
    <xf numFmtId="0" fontId="19" fillId="0" borderId="10" xfId="0" applyFont="1" applyBorder="1" applyAlignment="1">
      <alignment vertical="center"/>
    </xf>
    <xf numFmtId="0" fontId="30" fillId="0" borderId="10" xfId="0" applyFont="1" applyBorder="1" applyAlignment="1">
      <alignment horizontal="center" wrapText="1"/>
    </xf>
    <xf numFmtId="0" fontId="30" fillId="33" borderId="10" xfId="0" applyFont="1" applyFill="1" applyBorder="1" applyAlignment="1">
      <alignment horizontal="center" wrapText="1"/>
    </xf>
    <xf numFmtId="0" fontId="38" fillId="33" borderId="10" xfId="0" applyFont="1" applyFill="1" applyBorder="1" applyAlignment="1">
      <alignment horizontal="center" wrapText="1"/>
    </xf>
    <xf numFmtId="0" fontId="38" fillId="0" borderId="10" xfId="0" applyFont="1" applyBorder="1" applyAlignment="1">
      <alignment horizontal="center" vertical="center"/>
    </xf>
    <xf numFmtId="0" fontId="118" fillId="0" borderId="10" xfId="0" applyFont="1" applyBorder="1"/>
    <xf numFmtId="0" fontId="120" fillId="0" borderId="10" xfId="0" applyFont="1" applyBorder="1" applyAlignment="1">
      <alignment horizontal="center"/>
    </xf>
    <xf numFmtId="0" fontId="30" fillId="0" borderId="10" xfId="0" applyFont="1" applyBorder="1"/>
    <xf numFmtId="0" fontId="30" fillId="0" borderId="10" xfId="0" applyFont="1" applyBorder="1" applyAlignment="1">
      <alignment horizontal="justify" vertical="center" wrapText="1"/>
    </xf>
    <xf numFmtId="0" fontId="88" fillId="0" borderId="10" xfId="0" applyFont="1" applyBorder="1" applyAlignment="1">
      <alignment horizontal="center" vertical="center"/>
    </xf>
    <xf numFmtId="2" fontId="20" fillId="0" borderId="10" xfId="0" applyNumberFormat="1" applyFont="1" applyBorder="1" applyAlignment="1">
      <alignment horizontal="center" vertical="center"/>
    </xf>
    <xf numFmtId="2" fontId="147" fillId="0" borderId="10" xfId="0" applyNumberFormat="1" applyFont="1" applyBorder="1" applyAlignment="1" applyProtection="1">
      <alignment horizontal="center" vertical="center"/>
      <protection locked="0"/>
    </xf>
    <xf numFmtId="2" fontId="147" fillId="43" borderId="10" xfId="0" applyNumberFormat="1" applyFont="1" applyFill="1" applyBorder="1" applyAlignment="1" applyProtection="1">
      <alignment horizontal="center" vertical="center"/>
      <protection locked="0"/>
    </xf>
    <xf numFmtId="2" fontId="148" fillId="0" borderId="10" xfId="0" applyNumberFormat="1" applyFont="1" applyBorder="1" applyAlignment="1">
      <alignment horizontal="center"/>
    </xf>
    <xf numFmtId="2" fontId="20" fillId="41" borderId="10" xfId="0" applyNumberFormat="1" applyFont="1" applyFill="1" applyBorder="1" applyAlignment="1" applyProtection="1">
      <alignment horizontal="center"/>
      <protection locked="0"/>
    </xf>
    <xf numFmtId="2" fontId="65" fillId="0" borderId="10" xfId="0" applyNumberFormat="1" applyFont="1" applyBorder="1" applyAlignment="1">
      <alignment horizontal="center"/>
    </xf>
    <xf numFmtId="2" fontId="65" fillId="46" borderId="10" xfId="0" applyNumberFormat="1" applyFont="1" applyFill="1" applyBorder="1" applyAlignment="1" applyProtection="1">
      <alignment horizontal="center"/>
      <protection locked="0"/>
    </xf>
    <xf numFmtId="2" fontId="20" fillId="0" borderId="10" xfId="0" applyNumberFormat="1" applyFont="1" applyBorder="1" applyAlignment="1" applyProtection="1">
      <alignment horizontal="center"/>
      <protection locked="0"/>
    </xf>
    <xf numFmtId="0" fontId="65" fillId="0" borderId="10" xfId="0" applyFont="1" applyBorder="1" applyAlignment="1">
      <alignment horizontal="center" vertical="center"/>
    </xf>
    <xf numFmtId="2" fontId="65" fillId="0" borderId="10" xfId="0" applyNumberFormat="1" applyFont="1" applyBorder="1" applyAlignment="1" applyProtection="1">
      <alignment horizontal="center" vertical="center"/>
      <protection locked="0"/>
    </xf>
    <xf numFmtId="0" fontId="149" fillId="0" borderId="10" xfId="0" applyFont="1" applyBorder="1"/>
    <xf numFmtId="2" fontId="20" fillId="46" borderId="10" xfId="0" applyNumberFormat="1" applyFont="1" applyFill="1" applyBorder="1" applyAlignment="1" applyProtection="1">
      <alignment horizontal="center"/>
      <protection locked="0"/>
    </xf>
    <xf numFmtId="2" fontId="20" fillId="0" borderId="10" xfId="0" applyNumberFormat="1" applyFont="1" applyBorder="1"/>
    <xf numFmtId="2" fontId="20" fillId="50" borderId="10" xfId="0" applyNumberFormat="1" applyFont="1" applyFill="1" applyBorder="1" applyAlignment="1" applyProtection="1">
      <alignment horizontal="center"/>
      <protection locked="0"/>
    </xf>
    <xf numFmtId="0" fontId="20" fillId="43" borderId="10" xfId="0" applyFont="1" applyFill="1" applyBorder="1" applyAlignment="1">
      <alignment horizontal="center" vertical="center"/>
    </xf>
    <xf numFmtId="2" fontId="65" fillId="0" borderId="10" xfId="0" applyNumberFormat="1" applyFont="1" applyBorder="1" applyAlignment="1" applyProtection="1">
      <alignment horizontal="center"/>
      <protection locked="0"/>
    </xf>
    <xf numFmtId="0" fontId="20" fillId="41" borderId="10" xfId="0" applyFont="1" applyFill="1" applyBorder="1" applyAlignment="1" applyProtection="1">
      <alignment horizontal="center"/>
      <protection locked="0"/>
    </xf>
    <xf numFmtId="2" fontId="20" fillId="64" borderId="10" xfId="0" applyNumberFormat="1" applyFont="1" applyFill="1" applyBorder="1" applyAlignment="1">
      <alignment horizontal="center"/>
    </xf>
    <xf numFmtId="9" fontId="20" fillId="42" borderId="10" xfId="0" applyNumberFormat="1" applyFont="1" applyFill="1" applyBorder="1" applyAlignment="1" applyProtection="1">
      <alignment horizontal="center"/>
      <protection locked="0"/>
    </xf>
    <xf numFmtId="0" fontId="20" fillId="42" borderId="10" xfId="0" applyFont="1" applyFill="1" applyBorder="1" applyAlignment="1" applyProtection="1">
      <alignment horizontal="center"/>
      <protection locked="0"/>
    </xf>
    <xf numFmtId="0" fontId="65" fillId="62" borderId="10" xfId="0" applyFont="1" applyFill="1" applyBorder="1" applyAlignment="1">
      <alignment horizontal="center"/>
    </xf>
    <xf numFmtId="0" fontId="20" fillId="62" borderId="10" xfId="0" applyFont="1" applyFill="1" applyBorder="1"/>
    <xf numFmtId="2" fontId="65" fillId="43" borderId="10" xfId="0" applyNumberFormat="1" applyFont="1" applyFill="1" applyBorder="1" applyAlignment="1" applyProtection="1">
      <alignment horizontal="center" vertical="center"/>
      <protection locked="0"/>
    </xf>
    <xf numFmtId="2" fontId="20" fillId="48" borderId="10" xfId="0" applyNumberFormat="1" applyFont="1" applyFill="1" applyBorder="1" applyAlignment="1">
      <alignment horizontal="center"/>
    </xf>
    <xf numFmtId="0" fontId="20" fillId="42" borderId="10" xfId="0" applyFont="1" applyFill="1" applyBorder="1" applyAlignment="1">
      <alignment horizontal="center"/>
    </xf>
    <xf numFmtId="2" fontId="20" fillId="34" borderId="10" xfId="0" applyNumberFormat="1" applyFont="1" applyFill="1" applyBorder="1" applyAlignment="1">
      <alignment horizontal="center"/>
    </xf>
    <xf numFmtId="2" fontId="150" fillId="0" borderId="10" xfId="0" applyNumberFormat="1" applyFont="1" applyBorder="1" applyAlignment="1">
      <alignment horizontal="center"/>
    </xf>
    <xf numFmtId="0" fontId="65" fillId="48" borderId="10" xfId="0" applyFont="1" applyFill="1" applyBorder="1" applyAlignment="1">
      <alignment horizontal="center"/>
    </xf>
    <xf numFmtId="10" fontId="20" fillId="48" borderId="10" xfId="0" applyNumberFormat="1" applyFont="1" applyFill="1" applyBorder="1" applyAlignment="1">
      <alignment horizontal="center"/>
    </xf>
    <xf numFmtId="0" fontId="88" fillId="48" borderId="10" xfId="0" applyFont="1" applyFill="1" applyBorder="1" applyAlignment="1">
      <alignment horizontal="center"/>
    </xf>
    <xf numFmtId="1" fontId="88" fillId="48" borderId="10" xfId="0" applyNumberFormat="1" applyFont="1" applyFill="1" applyBorder="1" applyAlignment="1">
      <alignment horizontal="center"/>
    </xf>
    <xf numFmtId="0" fontId="20" fillId="48" borderId="10" xfId="0" applyFont="1" applyFill="1" applyBorder="1" applyAlignment="1">
      <alignment horizontal="left"/>
    </xf>
    <xf numFmtId="1" fontId="20" fillId="44" borderId="10" xfId="0" applyNumberFormat="1" applyFont="1" applyFill="1" applyBorder="1" applyAlignment="1">
      <alignment horizontal="center"/>
    </xf>
    <xf numFmtId="0" fontId="87" fillId="34" borderId="10" xfId="0" applyFont="1" applyFill="1" applyBorder="1" applyAlignment="1">
      <alignment horizontal="center" vertical="center"/>
    </xf>
    <xf numFmtId="0" fontId="20" fillId="44" borderId="10" xfId="0" applyFont="1" applyFill="1" applyBorder="1"/>
    <xf numFmtId="167" fontId="20" fillId="0" borderId="10" xfId="0" applyNumberFormat="1" applyFont="1" applyBorder="1" applyAlignment="1">
      <alignment horizontal="center"/>
    </xf>
    <xf numFmtId="2" fontId="20" fillId="44" borderId="10" xfId="0" applyNumberFormat="1" applyFont="1" applyFill="1" applyBorder="1"/>
    <xf numFmtId="2" fontId="20" fillId="52" borderId="10" xfId="0" applyNumberFormat="1" applyFont="1" applyFill="1" applyBorder="1" applyAlignment="1">
      <alignment horizontal="center" vertical="center"/>
    </xf>
    <xf numFmtId="0" fontId="151" fillId="0" borderId="10" xfId="0" applyFont="1" applyBorder="1" applyAlignment="1">
      <alignment horizontal="center"/>
    </xf>
    <xf numFmtId="2" fontId="20" fillId="44" borderId="10" xfId="0" applyNumberFormat="1" applyFont="1" applyFill="1" applyBorder="1" applyAlignment="1">
      <alignment horizontal="center" vertical="center"/>
    </xf>
    <xf numFmtId="0" fontId="151" fillId="0" borderId="10" xfId="0" applyFont="1" applyBorder="1"/>
    <xf numFmtId="0" fontId="152" fillId="0" borderId="10" xfId="0" applyFont="1" applyBorder="1" applyAlignment="1">
      <alignment horizontal="center"/>
    </xf>
    <xf numFmtId="0" fontId="151" fillId="0" borderId="10" xfId="0" applyFont="1" applyBorder="1" applyAlignment="1">
      <alignment horizontal="left" vertical="center" wrapText="1" indent="1"/>
    </xf>
    <xf numFmtId="0" fontId="20" fillId="0" borderId="10" xfId="0" applyFont="1" applyBorder="1" applyAlignment="1">
      <alignment horizontal="center" vertical="center" wrapText="1"/>
    </xf>
    <xf numFmtId="0" fontId="88" fillId="85" borderId="10" xfId="0" applyFont="1" applyFill="1" applyBorder="1" applyAlignment="1">
      <alignment horizontal="center" vertical="center"/>
    </xf>
    <xf numFmtId="2" fontId="20" fillId="85" borderId="10" xfId="0" applyNumberFormat="1" applyFont="1" applyFill="1" applyBorder="1" applyAlignment="1">
      <alignment horizontal="center" vertical="center"/>
    </xf>
    <xf numFmtId="0" fontId="20" fillId="0" borderId="10" xfId="0" applyFont="1" applyBorder="1" applyAlignment="1">
      <alignment vertical="center" wrapText="1"/>
    </xf>
    <xf numFmtId="0" fontId="20" fillId="90" borderId="10" xfId="0" applyFont="1" applyFill="1" applyBorder="1" applyAlignment="1">
      <alignment horizontal="center" vertical="center"/>
    </xf>
    <xf numFmtId="0" fontId="20" fillId="91" borderId="10" xfId="0" applyFont="1" applyFill="1" applyBorder="1" applyAlignment="1">
      <alignment horizontal="center" vertical="center"/>
    </xf>
    <xf numFmtId="0" fontId="153" fillId="0" borderId="0" xfId="0" applyFont="1"/>
    <xf numFmtId="0" fontId="154" fillId="0" borderId="10" xfId="0" applyFont="1" applyBorder="1" applyAlignment="1">
      <alignment horizontal="left" vertical="center" indent="3"/>
    </xf>
    <xf numFmtId="1" fontId="20" fillId="0" borderId="10" xfId="0" applyNumberFormat="1" applyFont="1" applyBorder="1"/>
    <xf numFmtId="0" fontId="97" fillId="0" borderId="10" xfId="0" applyFont="1" applyBorder="1"/>
    <xf numFmtId="0" fontId="155" fillId="0" borderId="10" xfId="0" applyFont="1" applyBorder="1" applyAlignment="1">
      <alignment vertical="center"/>
    </xf>
    <xf numFmtId="0" fontId="156" fillId="0" borderId="10" xfId="0" applyFont="1" applyBorder="1" applyAlignment="1">
      <alignment vertical="center"/>
    </xf>
    <xf numFmtId="0" fontId="87" fillId="0" borderId="10" xfId="0" applyFont="1" applyBorder="1"/>
    <xf numFmtId="0" fontId="20" fillId="33" borderId="10" xfId="0" applyFont="1" applyFill="1" applyBorder="1"/>
    <xf numFmtId="1" fontId="157" fillId="43" borderId="10" xfId="0" applyNumberFormat="1" applyFont="1" applyFill="1" applyBorder="1" applyAlignment="1">
      <alignment horizontal="center"/>
    </xf>
    <xf numFmtId="0" fontId="20" fillId="38" borderId="10" xfId="0" applyFont="1" applyFill="1" applyBorder="1"/>
    <xf numFmtId="1" fontId="65" fillId="43" borderId="10" xfId="0" applyNumberFormat="1" applyFont="1" applyFill="1" applyBorder="1" applyAlignment="1">
      <alignment horizontal="center"/>
    </xf>
    <xf numFmtId="167" fontId="20" fillId="52" borderId="10" xfId="0" applyNumberFormat="1" applyFont="1" applyFill="1" applyBorder="1" applyAlignment="1">
      <alignment horizontal="center" vertical="center"/>
    </xf>
    <xf numFmtId="2" fontId="20" fillId="53" borderId="10" xfId="0" applyNumberFormat="1" applyFont="1" applyFill="1" applyBorder="1" applyAlignment="1">
      <alignment horizontal="center" vertical="center"/>
    </xf>
    <xf numFmtId="2" fontId="20" fillId="38" borderId="10" xfId="0" applyNumberFormat="1" applyFont="1" applyFill="1" applyBorder="1" applyAlignment="1">
      <alignment horizontal="center" vertical="center"/>
    </xf>
    <xf numFmtId="2" fontId="20" fillId="34" borderId="10" xfId="0" applyNumberFormat="1" applyFont="1" applyFill="1" applyBorder="1"/>
    <xf numFmtId="0" fontId="148" fillId="0" borderId="10" xfId="0" applyFont="1" applyBorder="1"/>
    <xf numFmtId="2" fontId="88" fillId="52" borderId="10" xfId="0" applyNumberFormat="1" applyFont="1" applyFill="1" applyBorder="1" applyAlignment="1">
      <alignment horizontal="center" vertical="center"/>
    </xf>
    <xf numFmtId="0" fontId="20" fillId="52" borderId="10" xfId="0" applyFont="1" applyFill="1" applyBorder="1" applyAlignment="1">
      <alignment horizontal="center" vertical="center"/>
    </xf>
    <xf numFmtId="2" fontId="20" fillId="45" borderId="10" xfId="0" applyNumberFormat="1" applyFont="1" applyFill="1" applyBorder="1" applyAlignment="1">
      <alignment horizontal="center" vertical="center"/>
    </xf>
    <xf numFmtId="0" fontId="20" fillId="85" borderId="10" xfId="0" applyFont="1" applyFill="1" applyBorder="1" applyAlignment="1">
      <alignment horizontal="center" vertical="center"/>
    </xf>
    <xf numFmtId="0" fontId="65" fillId="66" borderId="10" xfId="0" applyFont="1" applyFill="1" applyBorder="1"/>
    <xf numFmtId="0" fontId="20" fillId="46" borderId="10" xfId="0" applyFont="1" applyFill="1" applyBorder="1"/>
    <xf numFmtId="0" fontId="16" fillId="94" borderId="10" xfId="0" applyFont="1" applyFill="1" applyBorder="1" applyAlignment="1">
      <alignment horizontal="center" vertical="center"/>
    </xf>
    <xf numFmtId="0" fontId="0" fillId="94" borderId="10" xfId="0" applyFill="1" applyBorder="1" applyAlignment="1">
      <alignment vertical="center"/>
    </xf>
    <xf numFmtId="0" fontId="16" fillId="47" borderId="10" xfId="0" applyFont="1" applyFill="1" applyBorder="1" applyAlignment="1">
      <alignment horizontal="center" vertical="center"/>
    </xf>
    <xf numFmtId="0" fontId="0" fillId="47" borderId="10" xfId="0" applyFill="1" applyBorder="1" applyAlignment="1">
      <alignment vertical="center"/>
    </xf>
    <xf numFmtId="0" fontId="108" fillId="62" borderId="10" xfId="0" applyFont="1" applyFill="1" applyBorder="1" applyAlignment="1">
      <alignment horizontal="center" vertical="center" wrapText="1"/>
    </xf>
    <xf numFmtId="0" fontId="108" fillId="85" borderId="10" xfId="0" applyFont="1" applyFill="1" applyBorder="1" applyAlignment="1">
      <alignment horizontal="center" vertical="center" wrapText="1"/>
    </xf>
    <xf numFmtId="0" fontId="39" fillId="0" borderId="10" xfId="0" applyFont="1" applyBorder="1" applyAlignment="1">
      <alignment vertical="center" wrapText="1"/>
    </xf>
    <xf numFmtId="0" fontId="39" fillId="0" borderId="10" xfId="0" applyFont="1" applyBorder="1" applyAlignment="1">
      <alignment horizontal="center"/>
    </xf>
    <xf numFmtId="0" fontId="90" fillId="33" borderId="10" xfId="0" applyFont="1" applyFill="1" applyBorder="1" applyAlignment="1">
      <alignment horizontal="center" textRotation="90"/>
    </xf>
    <xf numFmtId="0" fontId="16" fillId="43" borderId="10" xfId="0" applyFont="1" applyFill="1" applyBorder="1" applyAlignment="1">
      <alignment horizontal="center" vertical="center"/>
    </xf>
    <xf numFmtId="2" fontId="30" fillId="0" borderId="10" xfId="0" applyNumberFormat="1" applyFont="1" applyBorder="1" applyAlignment="1">
      <alignment horizontal="center" vertical="center" wrapText="1"/>
    </xf>
    <xf numFmtId="2" fontId="39" fillId="0" borderId="10" xfId="0" applyNumberFormat="1" applyFont="1" applyBorder="1" applyAlignment="1">
      <alignment horizontal="center"/>
    </xf>
    <xf numFmtId="2" fontId="16" fillId="94" borderId="10" xfId="0" applyNumberFormat="1" applyFont="1" applyFill="1" applyBorder="1" applyAlignment="1">
      <alignment horizontal="center" vertical="center"/>
    </xf>
    <xf numFmtId="2" fontId="16" fillId="66" borderId="10" xfId="0" applyNumberFormat="1" applyFont="1" applyFill="1" applyBorder="1" applyAlignment="1">
      <alignment horizontal="center" vertical="center"/>
    </xf>
    <xf numFmtId="0" fontId="27" fillId="34" borderId="10" xfId="0" applyFont="1" applyFill="1" applyBorder="1" applyAlignment="1">
      <alignment horizontal="center" textRotation="90" wrapText="1"/>
    </xf>
    <xf numFmtId="0" fontId="90" fillId="34" borderId="10" xfId="0" applyFont="1" applyFill="1" applyBorder="1" applyAlignment="1">
      <alignment horizontal="center" textRotation="90" wrapText="1"/>
    </xf>
    <xf numFmtId="0" fontId="27" fillId="34" borderId="10" xfId="0" applyFont="1" applyFill="1" applyBorder="1" applyAlignment="1">
      <alignment horizontal="center" textRotation="90"/>
    </xf>
    <xf numFmtId="0" fontId="99" fillId="34" borderId="10" xfId="0" applyFont="1" applyFill="1" applyBorder="1" applyAlignment="1">
      <alignment horizontal="center" textRotation="90"/>
    </xf>
    <xf numFmtId="0" fontId="158" fillId="34" borderId="10" xfId="0" applyFont="1" applyFill="1" applyBorder="1" applyAlignment="1">
      <alignment horizontal="center"/>
    </xf>
    <xf numFmtId="0" fontId="90" fillId="34" borderId="10" xfId="0" applyFont="1" applyFill="1" applyBorder="1" applyAlignment="1">
      <alignment horizontal="center" wrapText="1"/>
    </xf>
    <xf numFmtId="0" fontId="106" fillId="84" borderId="10" xfId="0" applyFont="1" applyFill="1" applyBorder="1" applyAlignment="1">
      <alignment horizontal="center" wrapText="1"/>
    </xf>
    <xf numFmtId="0" fontId="36" fillId="0" borderId="10" xfId="42" applyBorder="1" applyAlignment="1" applyProtection="1">
      <alignment horizontal="center"/>
      <protection locked="0"/>
    </xf>
    <xf numFmtId="0" fontId="20" fillId="95" borderId="10" xfId="0" applyFont="1" applyFill="1" applyBorder="1" applyAlignment="1" applyProtection="1">
      <alignment horizontal="center"/>
      <protection locked="0"/>
    </xf>
    <xf numFmtId="0" fontId="20" fillId="54" borderId="10" xfId="0" applyFont="1" applyFill="1" applyBorder="1" applyAlignment="1">
      <alignment horizontal="center" vertical="center" wrapText="1"/>
    </xf>
    <xf numFmtId="0" fontId="88" fillId="44" borderId="10" xfId="0" applyFont="1" applyFill="1" applyBorder="1" applyAlignment="1">
      <alignment horizontal="center" vertical="center" wrapText="1"/>
    </xf>
    <xf numFmtId="0" fontId="106" fillId="0" borderId="10" xfId="0" applyFont="1" applyBorder="1" applyAlignment="1">
      <alignment horizontal="center"/>
    </xf>
    <xf numFmtId="0" fontId="16" fillId="62" borderId="0" xfId="0" applyFont="1" applyFill="1" applyAlignment="1">
      <alignment horizontal="right" vertical="center"/>
    </xf>
    <xf numFmtId="0" fontId="24" fillId="62" borderId="0" xfId="0" applyFont="1" applyFill="1" applyAlignment="1">
      <alignment horizontal="right"/>
    </xf>
    <xf numFmtId="0" fontId="30" fillId="62" borderId="0" xfId="0" applyFont="1" applyFill="1" applyAlignment="1">
      <alignment horizontal="right" vertical="center"/>
    </xf>
    <xf numFmtId="0" fontId="38" fillId="62" borderId="0" xfId="0" applyFont="1" applyFill="1" applyAlignment="1">
      <alignment horizontal="right"/>
    </xf>
    <xf numFmtId="0" fontId="34" fillId="62" borderId="10" xfId="0" applyFont="1" applyFill="1" applyBorder="1" applyAlignment="1">
      <alignment horizontal="right" vertical="center"/>
    </xf>
    <xf numFmtId="2" fontId="20" fillId="43" borderId="10" xfId="0" applyNumberFormat="1" applyFont="1" applyFill="1" applyBorder="1" applyAlignment="1">
      <alignment horizontal="center" vertical="center"/>
    </xf>
    <xf numFmtId="0" fontId="20" fillId="66" borderId="10" xfId="0" applyFont="1" applyFill="1" applyBorder="1" applyAlignment="1" applyProtection="1">
      <alignment horizontal="center" wrapText="1"/>
      <protection locked="0"/>
    </xf>
    <xf numFmtId="14" fontId="20" fillId="0" borderId="10" xfId="0" applyNumberFormat="1" applyFont="1" applyBorder="1" applyAlignment="1" applyProtection="1">
      <alignment horizontal="center"/>
      <protection locked="0"/>
    </xf>
    <xf numFmtId="167" fontId="20" fillId="48" borderId="10" xfId="0" applyNumberFormat="1" applyFont="1" applyFill="1" applyBorder="1" applyAlignment="1">
      <alignment horizontal="center"/>
    </xf>
    <xf numFmtId="10" fontId="38" fillId="0" borderId="10" xfId="0" applyNumberFormat="1" applyFont="1" applyBorder="1" applyAlignment="1">
      <alignment horizontal="center" vertical="center" wrapText="1"/>
    </xf>
    <xf numFmtId="2" fontId="24" fillId="0" borderId="10" xfId="0" applyNumberFormat="1" applyFont="1" applyBorder="1" applyAlignment="1">
      <alignment horizontal="center" vertical="center"/>
    </xf>
    <xf numFmtId="0" fontId="0" fillId="0" borderId="0" xfId="0" applyAlignment="1">
      <alignment horizontal="justify" vertical="center"/>
    </xf>
    <xf numFmtId="0" fontId="0" fillId="34" borderId="0" xfId="0" applyFill="1"/>
    <xf numFmtId="0" fontId="20" fillId="44" borderId="0" xfId="0" applyFont="1" applyFill="1" applyAlignment="1">
      <alignment horizontal="center"/>
    </xf>
    <xf numFmtId="0" fontId="25" fillId="44" borderId="0" xfId="0" applyFont="1" applyFill="1" applyAlignment="1">
      <alignment horizontal="center"/>
    </xf>
    <xf numFmtId="0" fontId="20" fillId="44" borderId="10" xfId="0" applyFont="1" applyFill="1" applyBorder="1" applyAlignment="1">
      <alignment horizontal="center" vertical="center" wrapText="1"/>
    </xf>
    <xf numFmtId="0" fontId="88" fillId="33" borderId="10" xfId="0" applyFont="1" applyFill="1" applyBorder="1" applyAlignment="1">
      <alignment horizontal="center" vertical="center" wrapText="1"/>
    </xf>
    <xf numFmtId="0" fontId="20" fillId="33" borderId="10" xfId="0" applyFont="1" applyFill="1" applyBorder="1" applyAlignment="1">
      <alignment horizontal="center" vertical="center" wrapText="1"/>
    </xf>
    <xf numFmtId="0" fontId="87" fillId="33" borderId="10" xfId="0" applyFont="1" applyFill="1" applyBorder="1" applyAlignment="1">
      <alignment horizontal="center" wrapText="1"/>
    </xf>
    <xf numFmtId="0" fontId="87" fillId="68" borderId="10" xfId="0" applyFont="1" applyFill="1" applyBorder="1" applyAlignment="1">
      <alignment horizontal="center" wrapText="1"/>
    </xf>
    <xf numFmtId="0" fontId="87" fillId="35" borderId="10" xfId="0" applyFont="1" applyFill="1" applyBorder="1" applyAlignment="1">
      <alignment horizontal="center" wrapText="1"/>
    </xf>
    <xf numFmtId="0" fontId="55" fillId="35" borderId="10" xfId="0" applyFont="1" applyFill="1" applyBorder="1" applyAlignment="1">
      <alignment horizontal="center" wrapText="1"/>
    </xf>
    <xf numFmtId="0" fontId="16" fillId="0" borderId="0" xfId="0" applyFont="1"/>
    <xf numFmtId="0" fontId="0" fillId="0" borderId="0" xfId="0" applyAlignment="1">
      <alignment wrapText="1"/>
    </xf>
    <xf numFmtId="0" fontId="88" fillId="89" borderId="10" xfId="0" applyFont="1" applyFill="1" applyBorder="1" applyAlignment="1">
      <alignment horizontal="center" wrapText="1"/>
    </xf>
    <xf numFmtId="0" fontId="20" fillId="66" borderId="10" xfId="0" applyFont="1" applyFill="1" applyBorder="1" applyAlignment="1">
      <alignment horizontal="center" vertical="center" wrapText="1"/>
    </xf>
    <xf numFmtId="0" fontId="88" fillId="34" borderId="10" xfId="0" applyFont="1" applyFill="1" applyBorder="1" applyAlignment="1">
      <alignment horizontal="center" vertical="center" wrapText="1"/>
    </xf>
    <xf numFmtId="0" fontId="87" fillId="0" borderId="10" xfId="0" applyFont="1" applyBorder="1" applyAlignment="1">
      <alignment horizontal="center" wrapText="1"/>
    </xf>
    <xf numFmtId="0" fontId="87" fillId="85" borderId="10" xfId="0" applyFont="1" applyFill="1" applyBorder="1" applyAlignment="1">
      <alignment horizontal="center" wrapText="1"/>
    </xf>
    <xf numFmtId="0" fontId="87" fillId="34" borderId="10" xfId="0" applyFont="1" applyFill="1" applyBorder="1" applyAlignment="1">
      <alignment horizontal="center" wrapText="1"/>
    </xf>
    <xf numFmtId="0" fontId="130" fillId="0" borderId="0" xfId="0" applyFont="1" applyAlignment="1">
      <alignment horizontal="center" wrapText="1"/>
    </xf>
    <xf numFmtId="0" fontId="16" fillId="38" borderId="10" xfId="0" applyFont="1" applyFill="1" applyBorder="1" applyAlignment="1">
      <alignment wrapText="1"/>
    </xf>
    <xf numFmtId="2" fontId="0" fillId="38" borderId="0" xfId="0" applyNumberFormat="1" applyFill="1" applyAlignment="1">
      <alignment horizontal="center"/>
    </xf>
    <xf numFmtId="0" fontId="0" fillId="38" borderId="0" xfId="0" applyFill="1" applyAlignment="1">
      <alignment horizontal="center"/>
    </xf>
    <xf numFmtId="0" fontId="13" fillId="63" borderId="10" xfId="0" applyFont="1" applyFill="1" applyBorder="1" applyAlignment="1">
      <alignment horizontal="center" vertical="center"/>
    </xf>
    <xf numFmtId="0" fontId="13" fillId="63" borderId="10" xfId="0" applyFont="1" applyFill="1" applyBorder="1" applyAlignment="1">
      <alignment wrapText="1"/>
    </xf>
    <xf numFmtId="2" fontId="13" fillId="63" borderId="10" xfId="0" applyNumberFormat="1" applyFont="1" applyFill="1" applyBorder="1" applyAlignment="1">
      <alignment horizontal="center"/>
    </xf>
    <xf numFmtId="1" fontId="16" fillId="38" borderId="10" xfId="0" applyNumberFormat="1" applyFont="1" applyFill="1" applyBorder="1" applyAlignment="1">
      <alignment wrapText="1"/>
    </xf>
    <xf numFmtId="9" fontId="18" fillId="0" borderId="10" xfId="0" applyNumberFormat="1" applyFont="1" applyBorder="1" applyAlignment="1">
      <alignment horizontal="center" vertical="center"/>
    </xf>
    <xf numFmtId="0" fontId="16" fillId="66" borderId="10" xfId="0" applyFont="1" applyFill="1" applyBorder="1" applyAlignment="1">
      <alignment wrapText="1"/>
    </xf>
    <xf numFmtId="2" fontId="0" fillId="66" borderId="0" xfId="0" applyNumberFormat="1" applyFill="1" applyAlignment="1">
      <alignment horizontal="center"/>
    </xf>
    <xf numFmtId="0" fontId="0" fillId="66" borderId="0" xfId="0" applyFill="1" applyAlignment="1">
      <alignment horizontal="center"/>
    </xf>
    <xf numFmtId="0" fontId="0" fillId="66" borderId="0" xfId="0" applyFill="1"/>
    <xf numFmtId="0" fontId="88" fillId="49" borderId="10" xfId="0" applyFont="1" applyFill="1" applyBorder="1" applyAlignment="1">
      <alignment horizontal="center" wrapText="1"/>
    </xf>
    <xf numFmtId="0" fontId="88" fillId="34" borderId="10" xfId="0" applyFont="1" applyFill="1" applyBorder="1" applyAlignment="1">
      <alignment horizontal="center"/>
    </xf>
    <xf numFmtId="0" fontId="84" fillId="0" borderId="10" xfId="0" applyFont="1" applyBorder="1"/>
    <xf numFmtId="0" fontId="110" fillId="0" borderId="0" xfId="0" applyFont="1" applyAlignment="1">
      <alignment wrapText="1"/>
    </xf>
    <xf numFmtId="0" fontId="20" fillId="0" borderId="0" xfId="0" applyFont="1" applyAlignment="1">
      <alignment horizontal="center"/>
    </xf>
    <xf numFmtId="0" fontId="160" fillId="0" borderId="0" xfId="0" applyFont="1"/>
    <xf numFmtId="0" fontId="161" fillId="0" borderId="0" xfId="0" applyFont="1"/>
    <xf numFmtId="0" fontId="16" fillId="0" borderId="10" xfId="0" applyFont="1" applyBorder="1"/>
    <xf numFmtId="0" fontId="162" fillId="0" borderId="10" xfId="0" applyFont="1" applyBorder="1" applyAlignment="1">
      <alignment vertical="center" wrapText="1"/>
    </xf>
    <xf numFmtId="0" fontId="88" fillId="42" borderId="10" xfId="0" applyFont="1" applyFill="1" applyBorder="1" applyAlignment="1">
      <alignment horizontal="center"/>
    </xf>
    <xf numFmtId="2" fontId="88" fillId="42" borderId="10" xfId="0" applyNumberFormat="1" applyFont="1" applyFill="1" applyBorder="1" applyAlignment="1">
      <alignment horizontal="center"/>
    </xf>
    <xf numFmtId="1" fontId="16" fillId="68" borderId="10" xfId="0" applyNumberFormat="1" applyFont="1" applyFill="1" applyBorder="1" applyAlignment="1">
      <alignment wrapText="1"/>
    </xf>
    <xf numFmtId="0" fontId="16" fillId="68" borderId="10" xfId="0" applyFont="1" applyFill="1" applyBorder="1" applyAlignment="1">
      <alignment wrapText="1"/>
    </xf>
    <xf numFmtId="0" fontId="0" fillId="77" borderId="0" xfId="0" applyFill="1"/>
    <xf numFmtId="0" fontId="0" fillId="93" borderId="0" xfId="0" applyFill="1"/>
    <xf numFmtId="0" fontId="0" fillId="33" borderId="0" xfId="0" applyFill="1"/>
    <xf numFmtId="0" fontId="0" fillId="36" borderId="0" xfId="0" applyFill="1"/>
    <xf numFmtId="0" fontId="0" fillId="96" borderId="0" xfId="0" applyFill="1"/>
    <xf numFmtId="0" fontId="0" fillId="50" borderId="0" xfId="0" applyFill="1"/>
    <xf numFmtId="0" fontId="0" fillId="68" borderId="0" xfId="0" applyFill="1"/>
    <xf numFmtId="0" fontId="0" fillId="97" borderId="0" xfId="0" applyFill="1"/>
    <xf numFmtId="0" fontId="0" fillId="40" borderId="0" xfId="0" applyFill="1"/>
    <xf numFmtId="2" fontId="0" fillId="98" borderId="0" xfId="0" applyNumberFormat="1" applyFill="1" applyAlignment="1">
      <alignment horizontal="center"/>
    </xf>
    <xf numFmtId="0" fontId="0" fillId="77" borderId="10" xfId="0" applyFill="1" applyBorder="1" applyAlignment="1">
      <alignment horizontal="center"/>
    </xf>
    <xf numFmtId="0" fontId="0" fillId="46" borderId="10" xfId="0" applyFill="1" applyBorder="1" applyAlignment="1">
      <alignment horizontal="center"/>
    </xf>
    <xf numFmtId="0" fontId="0" fillId="34" borderId="10" xfId="0" applyFill="1" applyBorder="1" applyAlignment="1">
      <alignment horizontal="center"/>
    </xf>
    <xf numFmtId="0" fontId="0" fillId="98" borderId="10" xfId="0" applyFill="1" applyBorder="1" applyAlignment="1">
      <alignment horizontal="center"/>
    </xf>
    <xf numFmtId="0" fontId="0" fillId="39" borderId="10" xfId="0" applyFill="1" applyBorder="1" applyAlignment="1">
      <alignment horizontal="center"/>
    </xf>
    <xf numFmtId="0" fontId="0" fillId="99" borderId="10" xfId="0" applyFill="1" applyBorder="1" applyAlignment="1">
      <alignment horizontal="center"/>
    </xf>
    <xf numFmtId="0" fontId="0" fillId="93" borderId="10" xfId="0" applyFill="1" applyBorder="1" applyAlignment="1">
      <alignment horizontal="center"/>
    </xf>
    <xf numFmtId="0" fontId="0" fillId="36" borderId="10" xfId="0" applyFill="1" applyBorder="1" applyAlignment="1">
      <alignment horizontal="center"/>
    </xf>
    <xf numFmtId="0" fontId="24" fillId="77" borderId="10" xfId="0" applyFont="1" applyFill="1" applyBorder="1" applyAlignment="1">
      <alignment horizontal="center" vertical="center"/>
    </xf>
    <xf numFmtId="0" fontId="79" fillId="77" borderId="10" xfId="0" applyFont="1" applyFill="1" applyBorder="1" applyAlignment="1">
      <alignment horizontal="center" vertical="center"/>
    </xf>
    <xf numFmtId="0" fontId="78" fillId="46" borderId="10" xfId="0" applyFont="1" applyFill="1" applyBorder="1" applyAlignment="1">
      <alignment horizontal="center" vertical="center"/>
    </xf>
    <xf numFmtId="0" fontId="78" fillId="96" borderId="10" xfId="0" applyFont="1" applyFill="1" applyBorder="1" applyAlignment="1">
      <alignment horizontal="center" vertical="center"/>
    </xf>
    <xf numFmtId="0" fontId="79" fillId="96" borderId="10" xfId="0" applyFont="1" applyFill="1" applyBorder="1" applyAlignment="1">
      <alignment horizontal="center" vertical="center"/>
    </xf>
    <xf numFmtId="0" fontId="79" fillId="46" borderId="10" xfId="0" applyFont="1" applyFill="1" applyBorder="1" applyAlignment="1">
      <alignment horizontal="center" vertical="center"/>
    </xf>
    <xf numFmtId="0" fontId="79" fillId="34" borderId="10" xfId="0" applyFont="1" applyFill="1" applyBorder="1" applyAlignment="1">
      <alignment horizontal="center" vertical="center"/>
    </xf>
    <xf numFmtId="0" fontId="79" fillId="98" borderId="10" xfId="0" applyFont="1" applyFill="1" applyBorder="1" applyAlignment="1">
      <alignment horizontal="center" vertical="center"/>
    </xf>
    <xf numFmtId="0" fontId="78" fillId="39" borderId="10" xfId="0" applyFont="1" applyFill="1" applyBorder="1" applyAlignment="1">
      <alignment horizontal="center" vertical="center"/>
    </xf>
    <xf numFmtId="0" fontId="24" fillId="39" borderId="10" xfId="0" applyFont="1" applyFill="1" applyBorder="1" applyAlignment="1">
      <alignment horizontal="center" vertical="center"/>
    </xf>
    <xf numFmtId="0" fontId="79" fillId="39" borderId="10" xfId="0" applyFont="1" applyFill="1" applyBorder="1" applyAlignment="1">
      <alignment horizontal="center" vertical="center"/>
    </xf>
    <xf numFmtId="0" fontId="79" fillId="33" borderId="10" xfId="0" applyFont="1" applyFill="1" applyBorder="1" applyAlignment="1">
      <alignment horizontal="center" vertical="center"/>
    </xf>
    <xf numFmtId="0" fontId="78" fillId="93" borderId="10" xfId="0" applyFont="1" applyFill="1" applyBorder="1" applyAlignment="1">
      <alignment horizontal="center" vertical="center"/>
    </xf>
    <xf numFmtId="0" fontId="24" fillId="93" borderId="10" xfId="0" applyFont="1" applyFill="1" applyBorder="1" applyAlignment="1">
      <alignment horizontal="center" vertical="center"/>
    </xf>
    <xf numFmtId="0" fontId="79" fillId="93" borderId="10" xfId="0" applyFont="1" applyFill="1" applyBorder="1" applyAlignment="1">
      <alignment horizontal="center" vertical="center"/>
    </xf>
    <xf numFmtId="0" fontId="24" fillId="47" borderId="10" xfId="0" applyFont="1" applyFill="1" applyBorder="1" applyAlignment="1">
      <alignment horizontal="center" vertical="center"/>
    </xf>
    <xf numFmtId="0" fontId="78" fillId="47" borderId="10" xfId="0" applyFont="1" applyFill="1" applyBorder="1" applyAlignment="1">
      <alignment horizontal="center" vertical="center"/>
    </xf>
    <xf numFmtId="0" fontId="79" fillId="36" borderId="10" xfId="0" applyFont="1" applyFill="1" applyBorder="1" applyAlignment="1">
      <alignment horizontal="center" vertical="center"/>
    </xf>
    <xf numFmtId="0" fontId="24" fillId="36" borderId="10" xfId="0" applyFont="1" applyFill="1" applyBorder="1" applyAlignment="1">
      <alignment horizontal="center" vertical="center"/>
    </xf>
    <xf numFmtId="0" fontId="79" fillId="47" borderId="10" xfId="0" applyFont="1" applyFill="1" applyBorder="1" applyAlignment="1">
      <alignment horizontal="center" vertical="center"/>
    </xf>
    <xf numFmtId="0" fontId="25" fillId="0" borderId="0" xfId="0" applyFont="1"/>
    <xf numFmtId="0" fontId="25" fillId="0" borderId="0" xfId="0" applyFont="1" applyAlignment="1">
      <alignment horizontal="center"/>
    </xf>
    <xf numFmtId="0" fontId="27" fillId="68" borderId="10" xfId="0" applyFont="1" applyFill="1" applyBorder="1" applyAlignment="1">
      <alignment horizontal="center"/>
    </xf>
    <xf numFmtId="0" fontId="16" fillId="68" borderId="10" xfId="0" applyFont="1" applyFill="1" applyBorder="1" applyAlignment="1">
      <alignment horizontal="center" vertical="center"/>
    </xf>
    <xf numFmtId="2" fontId="27" fillId="68" borderId="10" xfId="0" applyNumberFormat="1" applyFont="1" applyFill="1" applyBorder="1" applyAlignment="1">
      <alignment horizontal="center"/>
    </xf>
    <xf numFmtId="0" fontId="99" fillId="68" borderId="10" xfId="0" applyFont="1" applyFill="1" applyBorder="1" applyAlignment="1">
      <alignment horizontal="center"/>
    </xf>
    <xf numFmtId="1" fontId="27" fillId="68" borderId="10" xfId="0" applyNumberFormat="1" applyFont="1" applyFill="1" applyBorder="1" applyAlignment="1">
      <alignment horizontal="center"/>
    </xf>
    <xf numFmtId="1" fontId="99" fillId="68" borderId="10" xfId="0" applyNumberFormat="1" applyFont="1" applyFill="1" applyBorder="1" applyAlignment="1">
      <alignment horizontal="center"/>
    </xf>
    <xf numFmtId="0" fontId="79" fillId="68" borderId="10" xfId="0" applyFont="1" applyFill="1" applyBorder="1" applyAlignment="1">
      <alignment vertical="center"/>
    </xf>
    <xf numFmtId="0" fontId="99" fillId="63" borderId="10" xfId="0" applyFont="1" applyFill="1" applyBorder="1" applyAlignment="1">
      <alignment horizontal="center"/>
    </xf>
    <xf numFmtId="1" fontId="27" fillId="63" borderId="10" xfId="0" applyNumberFormat="1" applyFont="1" applyFill="1" applyBorder="1" applyAlignment="1">
      <alignment horizontal="center"/>
    </xf>
    <xf numFmtId="1" fontId="99" fillId="63" borderId="10" xfId="0" applyNumberFormat="1" applyFont="1" applyFill="1" applyBorder="1" applyAlignment="1">
      <alignment horizontal="center"/>
    </xf>
    <xf numFmtId="0" fontId="19" fillId="63" borderId="10" xfId="0" applyFont="1" applyFill="1" applyBorder="1" applyAlignment="1">
      <alignment vertical="center"/>
    </xf>
    <xf numFmtId="0" fontId="24" fillId="77" borderId="10" xfId="0" applyFont="1" applyFill="1" applyBorder="1" applyAlignment="1">
      <alignment horizontal="center" textRotation="90"/>
    </xf>
    <xf numFmtId="2" fontId="27" fillId="63" borderId="10" xfId="0" applyNumberFormat="1" applyFont="1" applyFill="1" applyBorder="1" applyAlignment="1">
      <alignment horizontal="center"/>
    </xf>
    <xf numFmtId="0" fontId="24" fillId="100" borderId="10" xfId="0" applyFont="1" applyFill="1" applyBorder="1" applyAlignment="1">
      <alignment horizontal="center" wrapText="1"/>
    </xf>
    <xf numFmtId="2" fontId="27" fillId="46" borderId="10" xfId="0" applyNumberFormat="1" applyFont="1" applyFill="1" applyBorder="1" applyAlignment="1">
      <alignment horizontal="center"/>
    </xf>
    <xf numFmtId="0" fontId="16" fillId="97" borderId="10" xfId="0" applyFont="1" applyFill="1" applyBorder="1" applyAlignment="1">
      <alignment horizontal="center" vertical="center"/>
    </xf>
    <xf numFmtId="0" fontId="16" fillId="55" borderId="10" xfId="0" applyFont="1" applyFill="1" applyBorder="1" applyAlignment="1">
      <alignment horizontal="center" vertical="center"/>
    </xf>
    <xf numFmtId="2" fontId="27" fillId="43" borderId="10" xfId="0" applyNumberFormat="1" applyFont="1" applyFill="1" applyBorder="1" applyAlignment="1">
      <alignment horizontal="center"/>
    </xf>
    <xf numFmtId="1" fontId="27" fillId="94" borderId="10" xfId="0" applyNumberFormat="1" applyFont="1" applyFill="1" applyBorder="1" applyAlignment="1">
      <alignment horizontal="center" textRotation="90"/>
    </xf>
    <xf numFmtId="1" fontId="99" fillId="43" borderId="10" xfId="0" applyNumberFormat="1" applyFont="1" applyFill="1" applyBorder="1" applyAlignment="1">
      <alignment horizontal="center"/>
    </xf>
    <xf numFmtId="1" fontId="27" fillId="43" borderId="10" xfId="0" applyNumberFormat="1" applyFont="1" applyFill="1" applyBorder="1" applyAlignment="1">
      <alignment horizontal="center" textRotation="90"/>
    </xf>
    <xf numFmtId="1" fontId="27" fillId="43" borderId="10" xfId="0" applyNumberFormat="1" applyFont="1" applyFill="1" applyBorder="1" applyAlignment="1">
      <alignment horizontal="center"/>
    </xf>
    <xf numFmtId="1" fontId="100" fillId="43" borderId="10" xfId="0" applyNumberFormat="1" applyFont="1" applyFill="1" applyBorder="1" applyAlignment="1">
      <alignment horizontal="center"/>
    </xf>
    <xf numFmtId="0" fontId="99" fillId="46" borderId="10" xfId="0" applyFont="1" applyFill="1" applyBorder="1" applyAlignment="1">
      <alignment horizontal="center"/>
    </xf>
    <xf numFmtId="2" fontId="20" fillId="43" borderId="10" xfId="0" applyNumberFormat="1" applyFont="1" applyFill="1" applyBorder="1" applyAlignment="1">
      <alignment horizontal="center"/>
    </xf>
    <xf numFmtId="0" fontId="0" fillId="0" borderId="10" xfId="0" applyBorder="1" applyAlignment="1">
      <alignment wrapText="1"/>
    </xf>
    <xf numFmtId="2" fontId="0" fillId="0" borderId="10" xfId="0" applyNumberFormat="1" applyBorder="1" applyAlignment="1">
      <alignment horizontal="center"/>
    </xf>
    <xf numFmtId="9" fontId="0" fillId="0" borderId="10" xfId="0" applyNumberFormat="1" applyBorder="1" applyAlignment="1">
      <alignment horizontal="center" vertical="center"/>
    </xf>
    <xf numFmtId="2" fontId="0" fillId="0" borderId="10" xfId="0" applyNumberFormat="1" applyBorder="1"/>
    <xf numFmtId="0" fontId="163" fillId="0" borderId="10" xfId="0" applyFont="1" applyBorder="1"/>
    <xf numFmtId="0" fontId="17" fillId="101" borderId="0" xfId="0" applyFont="1" applyFill="1"/>
    <xf numFmtId="2" fontId="0" fillId="0" borderId="10" xfId="0" applyNumberFormat="1" applyBorder="1" applyAlignment="1">
      <alignment horizontal="left"/>
    </xf>
    <xf numFmtId="0" fontId="13" fillId="101" borderId="0" xfId="0" applyFont="1" applyFill="1"/>
    <xf numFmtId="0" fontId="164" fillId="0" borderId="10" xfId="0" applyFont="1" applyBorder="1"/>
    <xf numFmtId="2" fontId="16" fillId="0" borderId="10" xfId="0" applyNumberFormat="1" applyFont="1" applyBorder="1" applyAlignment="1">
      <alignment horizontal="left"/>
    </xf>
    <xf numFmtId="0" fontId="165" fillId="0" borderId="0" xfId="0" applyFont="1"/>
    <xf numFmtId="0" fontId="16" fillId="0" borderId="19" xfId="0" applyFont="1" applyBorder="1"/>
    <xf numFmtId="0" fontId="0" fillId="0" borderId="19" xfId="0" applyBorder="1"/>
    <xf numFmtId="0" fontId="19" fillId="0" borderId="0" xfId="0" applyFont="1"/>
    <xf numFmtId="0" fontId="13" fillId="101" borderId="10" xfId="0" applyFont="1" applyFill="1" applyBorder="1"/>
    <xf numFmtId="0" fontId="17" fillId="101" borderId="10" xfId="0" applyFont="1" applyFill="1" applyBorder="1"/>
    <xf numFmtId="0" fontId="166" fillId="0" borderId="0" xfId="0" applyFont="1"/>
    <xf numFmtId="0" fontId="0" fillId="0" borderId="0" xfId="0" applyAlignment="1">
      <alignment horizontal="center" wrapText="1"/>
    </xf>
    <xf numFmtId="1" fontId="166" fillId="0" borderId="0" xfId="0" quotePrefix="1" applyNumberFormat="1" applyFont="1"/>
    <xf numFmtId="0" fontId="0" fillId="0" borderId="0" xfId="0" applyAlignment="1">
      <alignment horizontal="left" wrapText="1"/>
    </xf>
    <xf numFmtId="2" fontId="166" fillId="0" borderId="0" xfId="0" applyNumberFormat="1" applyFont="1"/>
    <xf numFmtId="0" fontId="166" fillId="0" borderId="0" xfId="0" applyFont="1" applyAlignment="1">
      <alignment vertical="center"/>
    </xf>
    <xf numFmtId="0" fontId="166" fillId="0" borderId="0" xfId="0" applyFont="1" applyAlignment="1">
      <alignment wrapText="1"/>
    </xf>
    <xf numFmtId="0" fontId="166" fillId="33" borderId="10" xfId="0" applyFont="1" applyFill="1" applyBorder="1" applyAlignment="1">
      <alignment wrapText="1"/>
    </xf>
    <xf numFmtId="1" fontId="166" fillId="33" borderId="10" xfId="0" applyNumberFormat="1" applyFont="1" applyFill="1" applyBorder="1" applyAlignment="1">
      <alignment wrapText="1"/>
    </xf>
    <xf numFmtId="1" fontId="19" fillId="33" borderId="10" xfId="0" applyNumberFormat="1" applyFont="1" applyFill="1" applyBorder="1" applyAlignment="1">
      <alignment wrapText="1"/>
    </xf>
    <xf numFmtId="1" fontId="166" fillId="33" borderId="10" xfId="0" quotePrefix="1" applyNumberFormat="1" applyFont="1" applyFill="1" applyBorder="1"/>
    <xf numFmtId="0" fontId="166" fillId="33" borderId="10" xfId="0" applyFont="1" applyFill="1" applyBorder="1"/>
    <xf numFmtId="14" fontId="166" fillId="33" borderId="10" xfId="0" applyNumberFormat="1" applyFont="1" applyFill="1" applyBorder="1"/>
    <xf numFmtId="1" fontId="166" fillId="33" borderId="10" xfId="0" applyNumberFormat="1" applyFont="1" applyFill="1" applyBorder="1"/>
    <xf numFmtId="0" fontId="0" fillId="33" borderId="10" xfId="0" applyFill="1" applyBorder="1"/>
    <xf numFmtId="2" fontId="166" fillId="33" borderId="10" xfId="0" applyNumberFormat="1" applyFont="1" applyFill="1" applyBorder="1"/>
    <xf numFmtId="0" fontId="166" fillId="33" borderId="10" xfId="0" applyFont="1" applyFill="1" applyBorder="1" applyAlignment="1">
      <alignment vertical="center"/>
    </xf>
    <xf numFmtId="0" fontId="0" fillId="40" borderId="10" xfId="0" applyFill="1" applyBorder="1" applyAlignment="1">
      <alignment wrapText="1"/>
    </xf>
    <xf numFmtId="0" fontId="166" fillId="40" borderId="10" xfId="0" applyFont="1" applyFill="1" applyBorder="1" applyAlignment="1">
      <alignment wrapText="1"/>
    </xf>
    <xf numFmtId="1" fontId="38" fillId="0" borderId="10" xfId="0" applyNumberFormat="1" applyFont="1" applyBorder="1" applyAlignment="1">
      <alignment horizontal="center" vertical="center" wrapText="1"/>
    </xf>
    <xf numFmtId="0" fontId="88" fillId="41" borderId="10" xfId="0" applyFont="1" applyFill="1" applyBorder="1" applyAlignment="1">
      <alignment vertical="center"/>
    </xf>
    <xf numFmtId="2" fontId="166" fillId="33" borderId="10" xfId="0" applyNumberFormat="1" applyFont="1" applyFill="1" applyBorder="1" applyAlignment="1">
      <alignment horizontal="center" wrapText="1"/>
    </xf>
    <xf numFmtId="1" fontId="166" fillId="33" borderId="10" xfId="0" quotePrefix="1" applyNumberFormat="1" applyFont="1" applyFill="1" applyBorder="1" applyAlignment="1">
      <alignment wrapText="1"/>
    </xf>
    <xf numFmtId="0" fontId="0" fillId="43" borderId="10" xfId="0" applyFill="1" applyBorder="1"/>
    <xf numFmtId="1" fontId="166" fillId="0" borderId="0" xfId="0" quotePrefix="1" applyNumberFormat="1" applyFont="1" applyAlignment="1">
      <alignment wrapText="1"/>
    </xf>
    <xf numFmtId="0" fontId="164" fillId="0" borderId="10" xfId="0" applyFont="1" applyBorder="1" applyAlignment="1">
      <alignment wrapText="1"/>
    </xf>
    <xf numFmtId="168" fontId="166" fillId="33" borderId="10" xfId="0" applyNumberFormat="1" applyFont="1" applyFill="1" applyBorder="1"/>
    <xf numFmtId="168" fontId="166" fillId="33" borderId="10" xfId="0" quotePrefix="1" applyNumberFormat="1" applyFont="1" applyFill="1" applyBorder="1"/>
    <xf numFmtId="1" fontId="166" fillId="0" borderId="0" xfId="0" applyNumberFormat="1" applyFont="1"/>
    <xf numFmtId="0" fontId="13" fillId="101" borderId="20" xfId="0" applyFont="1" applyFill="1" applyBorder="1"/>
    <xf numFmtId="0" fontId="166" fillId="0" borderId="10" xfId="0" applyFont="1" applyBorder="1" applyAlignment="1">
      <alignment wrapText="1"/>
    </xf>
    <xf numFmtId="0" fontId="0" fillId="0" borderId="10" xfId="0" applyBorder="1" applyAlignment="1">
      <alignment horizontal="left" vertical="top" wrapText="1"/>
    </xf>
    <xf numFmtId="0" fontId="110" fillId="43" borderId="10" xfId="0" applyFont="1" applyFill="1" applyBorder="1" applyAlignment="1">
      <alignment horizontal="center" vertical="center" wrapText="1"/>
    </xf>
    <xf numFmtId="0" fontId="30" fillId="43" borderId="10" xfId="0" applyFont="1" applyFill="1" applyBorder="1" applyAlignment="1">
      <alignment horizontal="center" vertical="center" wrapText="1"/>
    </xf>
    <xf numFmtId="0" fontId="38" fillId="43" borderId="10" xfId="0" applyFont="1" applyFill="1" applyBorder="1" applyAlignment="1">
      <alignment horizontal="center" vertical="center" wrapText="1"/>
    </xf>
    <xf numFmtId="0" fontId="116" fillId="43" borderId="10" xfId="0" applyFont="1" applyFill="1" applyBorder="1" applyAlignment="1">
      <alignment horizontal="center" vertical="center"/>
    </xf>
    <xf numFmtId="17" fontId="38" fillId="43" borderId="10" xfId="0" applyNumberFormat="1" applyFont="1" applyFill="1" applyBorder="1" applyAlignment="1">
      <alignment horizontal="center" vertical="center"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7" xfId="0" applyBorder="1" applyAlignment="1">
      <alignment horizontal="left" vertical="top" wrapText="1"/>
    </xf>
    <xf numFmtId="0" fontId="95" fillId="67" borderId="13" xfId="0" applyFont="1" applyFill="1" applyBorder="1" applyAlignment="1">
      <alignment vertical="top" wrapText="1"/>
    </xf>
    <xf numFmtId="0" fontId="95" fillId="67" borderId="14" xfId="0" applyFont="1" applyFill="1" applyBorder="1" applyAlignment="1">
      <alignment vertical="top" wrapText="1"/>
    </xf>
    <xf numFmtId="0" fontId="94" fillId="67" borderId="0" xfId="0" applyFont="1" applyFill="1" applyAlignment="1">
      <alignment vertical="top" wrapText="1"/>
    </xf>
    <xf numFmtId="0" fontId="94" fillId="67" borderId="15" xfId="0" applyFont="1" applyFill="1" applyBorder="1" applyAlignment="1">
      <alignment vertical="top" wrapText="1"/>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91">
    <dxf>
      <font>
        <color rgb="FF9C0006"/>
      </font>
      <fill>
        <patternFill>
          <bgColor rgb="FFFFC7CE"/>
        </patternFill>
      </fill>
    </dxf>
    <dxf>
      <fill>
        <patternFill>
          <bgColor theme="5" tint="0.79998168889431442"/>
        </patternFill>
      </fill>
    </dxf>
    <dxf>
      <fill>
        <patternFill>
          <bgColor theme="8" tint="0.79998168889431442"/>
        </patternFill>
      </fill>
    </dxf>
    <dxf>
      <fill>
        <patternFill>
          <bgColor theme="9" tint="0.79998168889431442"/>
        </patternFill>
      </fill>
    </dxf>
    <dxf>
      <fill>
        <patternFill>
          <bgColor theme="4" tint="0.79998168889431442"/>
        </patternFill>
      </fill>
    </dxf>
    <dxf>
      <fill>
        <patternFill>
          <bgColor rgb="FF00FF00"/>
        </patternFill>
      </fill>
    </dxf>
    <dxf>
      <fill>
        <patternFill>
          <bgColor rgb="FFCC99FF"/>
        </patternFill>
      </fill>
    </dxf>
    <dxf>
      <fill>
        <patternFill>
          <bgColor rgb="FFFFC000"/>
        </patternFill>
      </fill>
    </dxf>
    <dxf>
      <fill>
        <patternFill>
          <bgColor theme="7" tint="0.79998168889431442"/>
        </patternFill>
      </fill>
    </dxf>
    <dxf>
      <fill>
        <patternFill>
          <bgColor theme="7" tint="0.39994506668294322"/>
        </patternFill>
      </fill>
    </dxf>
    <dxf>
      <fill>
        <patternFill>
          <bgColor rgb="FFFF66FF"/>
        </patternFill>
      </fill>
    </dxf>
    <dxf>
      <fill>
        <patternFill>
          <bgColor theme="2" tint="-9.9948118533890809E-2"/>
        </patternFill>
      </fill>
    </dxf>
    <dxf>
      <fill>
        <patternFill>
          <bgColor rgb="FF92D050"/>
        </patternFill>
      </fill>
    </dxf>
    <dxf>
      <fill>
        <patternFill>
          <bgColor rgb="FFFFC000"/>
        </patternFill>
      </fill>
    </dxf>
    <dxf>
      <fill>
        <patternFill>
          <bgColor rgb="FFFF0000"/>
        </patternFill>
      </fill>
    </dxf>
    <dxf>
      <font>
        <color rgb="FF9C0006"/>
      </font>
      <fill>
        <patternFill>
          <bgColor rgb="FFFFC7CE"/>
        </patternFill>
      </fill>
    </dxf>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C000"/>
        </patternFill>
      </fill>
    </dxf>
    <dxf>
      <fill>
        <patternFill>
          <bgColor theme="1"/>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ill>
        <patternFill>
          <bgColor theme="5" tint="0.79998168889431442"/>
        </patternFill>
      </fill>
    </dxf>
    <dxf>
      <fill>
        <patternFill>
          <bgColor theme="4" tint="0.59996337778862885"/>
        </patternFill>
      </fill>
    </dxf>
    <dxf>
      <fill>
        <patternFill>
          <bgColor rgb="FFCC66FF"/>
        </patternFill>
      </fill>
    </dxf>
    <dxf>
      <fill>
        <patternFill>
          <bgColor theme="9" tint="0.79998168889431442"/>
        </patternFill>
      </fill>
    </dxf>
    <dxf>
      <font>
        <color rgb="FF9C0006"/>
      </font>
      <fill>
        <patternFill>
          <bgColor rgb="FFFFC7CE"/>
        </patternFill>
      </fill>
    </dxf>
    <dxf>
      <fill>
        <patternFill>
          <bgColor theme="2" tint="-9.9948118533890809E-2"/>
        </patternFill>
      </fill>
    </dxf>
    <dxf>
      <fill>
        <patternFill>
          <bgColor rgb="FFCC99FF"/>
        </patternFill>
      </fill>
    </dxf>
    <dxf>
      <fill>
        <patternFill>
          <bgColor rgb="FFFFC000"/>
        </patternFill>
      </fill>
    </dxf>
    <dxf>
      <fill>
        <patternFill>
          <bgColor theme="7" tint="0.79998168889431442"/>
        </patternFill>
      </fill>
    </dxf>
    <dxf>
      <fill>
        <patternFill>
          <bgColor rgb="FFFF66FF"/>
        </patternFill>
      </fill>
    </dxf>
    <dxf>
      <fill>
        <patternFill>
          <bgColor theme="9" tint="0.39994506668294322"/>
        </patternFill>
      </fill>
    </dxf>
    <dxf>
      <fill>
        <patternFill>
          <bgColor theme="4" tint="0.59996337778862885"/>
        </patternFill>
      </fill>
    </dxf>
    <dxf>
      <fill>
        <patternFill>
          <bgColor theme="7" tint="0.59996337778862885"/>
        </patternFill>
      </fill>
    </dxf>
    <dxf>
      <fill>
        <patternFill>
          <bgColor rgb="FF43E957"/>
        </patternFill>
      </fill>
    </dxf>
  </dxfs>
  <tableStyles count="1" defaultTableStyle="TableStyleMedium2" defaultPivotStyle="PivotStyleLight16">
    <tableStyle name="Invisible" pivot="0" table="0" count="0" xr9:uid="{36ACC6AA-6285-41BA-81CA-4F089CF21105}"/>
  </tableStyles>
  <colors>
    <mruColors>
      <color rgb="FF9966FF"/>
      <color rgb="FF00FF99"/>
      <color rgb="FF00FF00"/>
      <color rgb="FFFF66FF"/>
      <color rgb="FF43E957"/>
      <color rgb="FFCC99FF"/>
      <color rgb="FFCC66FF"/>
      <color rgb="FFFF99FF"/>
      <color rgb="FF66FF33"/>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 Target="richData/rdrichvalue.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FF0000"/>
              </a:solidFill>
              <a:round/>
            </a:ln>
            <a:effectLst/>
          </c:spPr>
          <c:marker>
            <c:symbol val="circle"/>
            <c:size val="5"/>
            <c:spPr>
              <a:solidFill>
                <a:schemeClr val="accent1"/>
              </a:solidFill>
              <a:ln w="9525">
                <a:solidFill>
                  <a:schemeClr val="accent1"/>
                </a:solidFill>
              </a:ln>
              <a:effectLst/>
            </c:spPr>
          </c:marker>
          <c:cat>
            <c:strRef>
              <c:f>RRImmédiat!$A$70:$A$79</c:f>
              <c:strCache>
                <c:ptCount val="10"/>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strCache>
            </c:strRef>
          </c:cat>
          <c:val>
            <c:numRef>
              <c:f>RRImmédiat!$C$70:$C$79</c:f>
              <c:numCache>
                <c:formatCode>General</c:formatCode>
                <c:ptCount val="10"/>
                <c:pt idx="0">
                  <c:v>1.2</c:v>
                </c:pt>
                <c:pt idx="1">
                  <c:v>0.9</c:v>
                </c:pt>
                <c:pt idx="2">
                  <c:v>0.9</c:v>
                </c:pt>
                <c:pt idx="3">
                  <c:v>2</c:v>
                </c:pt>
                <c:pt idx="4">
                  <c:v>2.4</c:v>
                </c:pt>
                <c:pt idx="5">
                  <c:v>3</c:v>
                </c:pt>
                <c:pt idx="6">
                  <c:v>1.2</c:v>
                </c:pt>
                <c:pt idx="7">
                  <c:v>1.2</c:v>
                </c:pt>
                <c:pt idx="8">
                  <c:v>1.8</c:v>
                </c:pt>
                <c:pt idx="9">
                  <c:v>3</c:v>
                </c:pt>
              </c:numCache>
            </c:numRef>
          </c:val>
          <c:extLst>
            <c:ext xmlns:c16="http://schemas.microsoft.com/office/drawing/2014/chart" uri="{C3380CC4-5D6E-409C-BE32-E72D297353CC}">
              <c16:uniqueId val="{00000000-2178-46D9-8C63-F8F0AFBDF36F}"/>
            </c:ext>
          </c:extLst>
        </c:ser>
        <c:ser>
          <c:idx val="1"/>
          <c:order val="1"/>
          <c:tx>
            <c:strRef>
              <c:f>RRImmédiat!$D$70:$D$79</c:f>
              <c:strCache>
                <c:ptCount val="10"/>
                <c:pt idx="0">
                  <c:v>1</c:v>
                </c:pt>
                <c:pt idx="1">
                  <c:v>1</c:v>
                </c:pt>
                <c:pt idx="2">
                  <c:v>1</c:v>
                </c:pt>
                <c:pt idx="3">
                  <c:v>1</c:v>
                </c:pt>
                <c:pt idx="4">
                  <c:v>1</c:v>
                </c:pt>
                <c:pt idx="5">
                  <c:v>1</c:v>
                </c:pt>
                <c:pt idx="6">
                  <c:v>1</c:v>
                </c:pt>
                <c:pt idx="7">
                  <c:v>1</c:v>
                </c:pt>
                <c:pt idx="8">
                  <c:v>1</c:v>
                </c:pt>
                <c:pt idx="9">
                  <c:v>1</c:v>
                </c:pt>
              </c:strCache>
            </c:strRef>
          </c:tx>
          <c:spPr>
            <a:ln w="28575" cap="rnd">
              <a:solidFill>
                <a:srgbClr val="00B0F0"/>
              </a:solidFill>
              <a:round/>
            </a:ln>
            <a:effectLst/>
          </c:spPr>
          <c:marker>
            <c:symbol val="none"/>
          </c:marker>
          <c:dPt>
            <c:idx val="9"/>
            <c:marker>
              <c:symbol val="none"/>
            </c:marker>
            <c:bubble3D val="0"/>
            <c:spPr>
              <a:ln w="12700" cap="rnd">
                <a:solidFill>
                  <a:srgbClr val="00B0F0"/>
                </a:solidFill>
                <a:round/>
              </a:ln>
              <a:effectLst/>
            </c:spPr>
            <c:extLst>
              <c:ext xmlns:c16="http://schemas.microsoft.com/office/drawing/2014/chart" uri="{C3380CC4-5D6E-409C-BE32-E72D297353CC}">
                <c16:uniqueId val="{00000004-2178-46D9-8C63-F8F0AFBDF36F}"/>
              </c:ext>
            </c:extLst>
          </c:dPt>
          <c:val>
            <c:numRef>
              <c:f>RRImmédiat!$D$70:$D$79</c:f>
              <c:numCache>
                <c:formatCode>General</c:formatCode>
                <c:ptCount val="10"/>
                <c:pt idx="0">
                  <c:v>1</c:v>
                </c:pt>
                <c:pt idx="1">
                  <c:v>1</c:v>
                </c:pt>
                <c:pt idx="2">
                  <c:v>1</c:v>
                </c:pt>
                <c:pt idx="3">
                  <c:v>1</c:v>
                </c:pt>
                <c:pt idx="4">
                  <c:v>1</c:v>
                </c:pt>
                <c:pt idx="5">
                  <c:v>1</c:v>
                </c:pt>
                <c:pt idx="6">
                  <c:v>1</c:v>
                </c:pt>
                <c:pt idx="7">
                  <c:v>1</c:v>
                </c:pt>
                <c:pt idx="8">
                  <c:v>1</c:v>
                </c:pt>
                <c:pt idx="9">
                  <c:v>1</c:v>
                </c:pt>
              </c:numCache>
            </c:numRef>
          </c:val>
          <c:extLst>
            <c:ext xmlns:c16="http://schemas.microsoft.com/office/drawing/2014/chart" uri="{C3380CC4-5D6E-409C-BE32-E72D297353CC}">
              <c16:uniqueId val="{00000001-2178-46D9-8C63-F8F0AFBDF36F}"/>
            </c:ext>
          </c:extLst>
        </c:ser>
        <c:ser>
          <c:idx val="2"/>
          <c:order val="2"/>
          <c:spPr>
            <a:ln w="12700" cap="rnd">
              <a:solidFill>
                <a:srgbClr val="FF66FF"/>
              </a:solidFill>
              <a:round/>
            </a:ln>
            <a:effectLst/>
          </c:spPr>
          <c:marker>
            <c:symbol val="none"/>
          </c:marker>
          <c:val>
            <c:numRef>
              <c:f>RRImmédiat!$E$70:$E$79</c:f>
              <c:numCache>
                <c:formatCode>General</c:formatCode>
                <c:ptCount val="10"/>
                <c:pt idx="0">
                  <c:v>2</c:v>
                </c:pt>
                <c:pt idx="1">
                  <c:v>2</c:v>
                </c:pt>
                <c:pt idx="2">
                  <c:v>2</c:v>
                </c:pt>
                <c:pt idx="3">
                  <c:v>2</c:v>
                </c:pt>
                <c:pt idx="4">
                  <c:v>2</c:v>
                </c:pt>
                <c:pt idx="5">
                  <c:v>2</c:v>
                </c:pt>
                <c:pt idx="6">
                  <c:v>2</c:v>
                </c:pt>
                <c:pt idx="7">
                  <c:v>2</c:v>
                </c:pt>
                <c:pt idx="8">
                  <c:v>2</c:v>
                </c:pt>
                <c:pt idx="9">
                  <c:v>2</c:v>
                </c:pt>
              </c:numCache>
            </c:numRef>
          </c:val>
          <c:extLst>
            <c:ext xmlns:c16="http://schemas.microsoft.com/office/drawing/2014/chart" uri="{C3380CC4-5D6E-409C-BE32-E72D297353CC}">
              <c16:uniqueId val="{00000002-2178-46D9-8C63-F8F0AFBDF36F}"/>
            </c:ext>
          </c:extLst>
        </c:ser>
        <c:dLbls>
          <c:showLegendKey val="0"/>
          <c:showVal val="0"/>
          <c:showCatName val="0"/>
          <c:showSerName val="0"/>
          <c:showPercent val="0"/>
          <c:showBubbleSize val="0"/>
        </c:dLbls>
        <c:axId val="895338703"/>
        <c:axId val="896454335"/>
      </c:radarChart>
      <c:catAx>
        <c:axId val="895338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896454335"/>
        <c:crosses val="autoZero"/>
        <c:auto val="1"/>
        <c:lblAlgn val="ctr"/>
        <c:lblOffset val="100"/>
        <c:noMultiLvlLbl val="0"/>
      </c:catAx>
      <c:valAx>
        <c:axId val="89645433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953387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r>
              <a:rPr lang="fr-FR"/>
              <a:t>Environnement</a:t>
            </a:r>
            <a:r>
              <a:rPr lang="fr-FR" baseline="0"/>
              <a:t>  et habitudes de vie</a:t>
            </a:r>
            <a:endParaRPr lang="fr-FR"/>
          </a:p>
        </c:rich>
      </c:tx>
      <c:overlay val="0"/>
      <c:spPr>
        <a:noFill/>
        <a:ln>
          <a:noFill/>
        </a:ln>
        <a:effectLst/>
      </c:spPr>
      <c:txPr>
        <a:bodyPr rot="0" spcFirstLastPara="1" vertOverflow="ellipsis" vert="horz" wrap="square" anchor="ctr" anchorCtr="1"/>
        <a:lstStyle/>
        <a:p>
          <a:pPr>
            <a:defRPr sz="144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Q'!$B$36:$B$46</c:f>
              <c:numCache>
                <c:formatCode>0.00</c:formatCode>
                <c:ptCount val="11"/>
                <c:pt idx="0">
                  <c:v>0.75</c:v>
                </c:pt>
                <c:pt idx="1">
                  <c:v>1.1000000000000001</c:v>
                </c:pt>
                <c:pt idx="2">
                  <c:v>0.73684210526315785</c:v>
                </c:pt>
                <c:pt idx="3">
                  <c:v>1</c:v>
                </c:pt>
                <c:pt idx="4">
                  <c:v>0.19999999999999996</c:v>
                </c:pt>
                <c:pt idx="5">
                  <c:v>1</c:v>
                </c:pt>
                <c:pt idx="6">
                  <c:v>1</c:v>
                </c:pt>
                <c:pt idx="7">
                  <c:v>0</c:v>
                </c:pt>
                <c:pt idx="8">
                  <c:v>0</c:v>
                </c:pt>
                <c:pt idx="9">
                  <c:v>0.8</c:v>
                </c:pt>
                <c:pt idx="10">
                  <c:v>1</c:v>
                </c:pt>
              </c:numCache>
            </c:numRef>
          </c:val>
          <c:extLst>
            <c:ext xmlns:c16="http://schemas.microsoft.com/office/drawing/2014/chart" uri="{C3380CC4-5D6E-409C-BE32-E72D297353CC}">
              <c16:uniqueId val="{00000000-585B-4227-9603-D5CC94EEF4C7}"/>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Q'!$C$36:$C$46</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1-585B-4227-9603-D5CC94EEF4C7}"/>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Q'!$D$36:$D$46</c:f>
              <c:numCache>
                <c:formatCode>General</c:formatCode>
                <c:ptCount val="11"/>
                <c:pt idx="0">
                  <c:v>0.5</c:v>
                </c:pt>
                <c:pt idx="1">
                  <c:v>0.5</c:v>
                </c:pt>
                <c:pt idx="2">
                  <c:v>0.5</c:v>
                </c:pt>
                <c:pt idx="3">
                  <c:v>0.5</c:v>
                </c:pt>
                <c:pt idx="4">
                  <c:v>0.5</c:v>
                </c:pt>
                <c:pt idx="5">
                  <c:v>0.5</c:v>
                </c:pt>
                <c:pt idx="6">
                  <c:v>0.5</c:v>
                </c:pt>
                <c:pt idx="7">
                  <c:v>0.5</c:v>
                </c:pt>
                <c:pt idx="8">
                  <c:v>0.5</c:v>
                </c:pt>
                <c:pt idx="9">
                  <c:v>0.5</c:v>
                </c:pt>
                <c:pt idx="10">
                  <c:v>0.5</c:v>
                </c:pt>
              </c:numCache>
            </c:numRef>
          </c:val>
          <c:extLst>
            <c:ext xmlns:c16="http://schemas.microsoft.com/office/drawing/2014/chart" uri="{C3380CC4-5D6E-409C-BE32-E72D297353CC}">
              <c16:uniqueId val="{00000002-585B-4227-9603-D5CC94EEF4C7}"/>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'Analyse Globale Q'!$A$36:$A$46</c:f>
              <c:strCache>
                <c:ptCount val="11"/>
                <c:pt idx="0">
                  <c:v>Sommeil</c:v>
                </c:pt>
                <c:pt idx="1">
                  <c:v>Pollution aerienne</c:v>
                </c:pt>
                <c:pt idx="2">
                  <c:v>Nutrition</c:v>
                </c:pt>
                <c:pt idx="3">
                  <c:v>Activité</c:v>
                </c:pt>
                <c:pt idx="4">
                  <c:v>Medications</c:v>
                </c:pt>
                <c:pt idx="5">
                  <c:v>Santé mentale</c:v>
                </c:pt>
                <c:pt idx="6">
                  <c:v>Addiction</c:v>
                </c:pt>
                <c:pt idx="7">
                  <c:v>Exposition IST</c:v>
                </c:pt>
                <c:pt idx="8">
                  <c:v>Sensibilité cutanée UV</c:v>
                </c:pt>
                <c:pt idx="9">
                  <c:v>Couverture vaccinale &amp; dépistage</c:v>
                </c:pt>
                <c:pt idx="10">
                  <c:v>Dépendance Autonomie</c:v>
                </c:pt>
              </c:strCache>
            </c:strRef>
          </c:cat>
          <c:val>
            <c:numRef>
              <c:f>'Analyse Globale Q'!$E$36:$E$46</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3-585B-4227-9603-D5CC94EEF4C7}"/>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200" b="1"/>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fr-FR" b="1"/>
              <a:t>Biométrie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1"/>
          <c:order val="1"/>
          <c:spPr>
            <a:ln w="28575" cap="rnd">
              <a:solidFill>
                <a:srgbClr val="00B0F0"/>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Q'!$C$48:$C$59</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1-37B6-4505-BEA7-06FF74FF2175}"/>
            </c:ext>
          </c:extLst>
        </c:ser>
        <c:ser>
          <c:idx val="2"/>
          <c:order val="2"/>
          <c:spPr>
            <a:ln w="28575" cap="rnd">
              <a:solidFill>
                <a:srgbClr val="9966FF"/>
              </a:solidFill>
              <a:round/>
            </a:ln>
            <a:effectLst/>
          </c:spPr>
          <c:marker>
            <c:symbol val="none"/>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Q'!$D$48:$D$59</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2-37B6-4505-BEA7-06FF74FF2175}"/>
            </c:ext>
          </c:extLst>
        </c:ser>
        <c:ser>
          <c:idx val="3"/>
          <c:order val="3"/>
          <c:spPr>
            <a:ln w="28575" cap="rnd">
              <a:solidFill>
                <a:srgbClr val="FF66FF"/>
              </a:solidFill>
              <a:round/>
            </a:ln>
            <a:effectLst/>
          </c:spPr>
          <c:marker>
            <c:symbol val="circle"/>
            <c:size val="5"/>
            <c:spPr>
              <a:solidFill>
                <a:schemeClr val="accent4"/>
              </a:solidFill>
              <a:ln w="9525">
                <a:solidFill>
                  <a:schemeClr val="accent4"/>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Q'!$E$48:$E$59</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3-37B6-4505-BEA7-06FF74FF2175}"/>
            </c:ext>
          </c:extLst>
        </c:ser>
        <c:dLbls>
          <c:showLegendKey val="0"/>
          <c:showVal val="0"/>
          <c:showCatName val="0"/>
          <c:showSerName val="0"/>
          <c:showPercent val="0"/>
          <c:showBubbleSize val="0"/>
        </c:dLbls>
        <c:axId val="1735534832"/>
        <c:axId val="1735532912"/>
      </c:radarChart>
      <c:radarChart>
        <c:radarStyle val="marker"/>
        <c:varyColors val="0"/>
        <c:ser>
          <c:idx val="0"/>
          <c:order val="0"/>
          <c:spPr>
            <a:ln w="28575" cap="rnd">
              <a:noFill/>
              <a:round/>
            </a:ln>
            <a:effectLst/>
          </c:spPr>
          <c:marker>
            <c:symbol val="circle"/>
            <c:size val="5"/>
            <c:spPr>
              <a:solidFill>
                <a:srgbClr val="FF0000"/>
              </a:solidFill>
              <a:ln w="66675">
                <a:solidFill>
                  <a:srgbClr val="FF0000"/>
                </a:solidFill>
              </a:ln>
              <a:effectLst/>
            </c:spPr>
          </c:marker>
          <c:cat>
            <c:strRef>
              <c:f>'Analyse Globale Q'!$A$48:$A$59</c:f>
              <c:strCache>
                <c:ptCount val="11"/>
                <c:pt idx="0">
                  <c:v>BMI</c:v>
                </c:pt>
                <c:pt idx="1">
                  <c:v>Presion artérielle systolique repos</c:v>
                </c:pt>
                <c:pt idx="2">
                  <c:v>Presion artérielle diastolique repos</c:v>
                </c:pt>
                <c:pt idx="3">
                  <c:v>Fréquence cardiaque repos</c:v>
                </c:pt>
                <c:pt idx="4">
                  <c:v>Delta FC assis-debout</c:v>
                </c:pt>
                <c:pt idx="5">
                  <c:v>Delta PA systolique  assis-debout</c:v>
                </c:pt>
                <c:pt idx="6">
                  <c:v>SP02</c:v>
                </c:pt>
                <c:pt idx="7">
                  <c:v>Acuité visuele</c:v>
                </c:pt>
                <c:pt idx="8">
                  <c:v>Test DMLA  (AMSLER)</c:v>
                </c:pt>
                <c:pt idx="9">
                  <c:v>Acuité auditive</c:v>
                </c:pt>
                <c:pt idx="10">
                  <c:v>Test appui unipodal</c:v>
                </c:pt>
              </c:strCache>
            </c:strRef>
          </c:cat>
          <c:val>
            <c:numRef>
              <c:f>'Analyse Globale Q'!$B$48:$B$59</c:f>
              <c:numCache>
                <c:formatCode>0.00</c:formatCode>
                <c:ptCount val="12"/>
                <c:pt idx="0">
                  <c:v>0.80246913580246915</c:v>
                </c:pt>
                <c:pt idx="1">
                  <c:v>0.7857142857142857</c:v>
                </c:pt>
                <c:pt idx="2">
                  <c:v>0.72222222222222221</c:v>
                </c:pt>
                <c:pt idx="3">
                  <c:v>0.875</c:v>
                </c:pt>
                <c:pt idx="4">
                  <c:v>0.33333333333333331</c:v>
                </c:pt>
                <c:pt idx="5">
                  <c:v>2</c:v>
                </c:pt>
                <c:pt idx="6">
                  <c:v>1.0421052631578946</c:v>
                </c:pt>
                <c:pt idx="7">
                  <c:v>0</c:v>
                </c:pt>
                <c:pt idx="8">
                  <c:v>1</c:v>
                </c:pt>
                <c:pt idx="9">
                  <c:v>3</c:v>
                </c:pt>
                <c:pt idx="10">
                  <c:v>2.5</c:v>
                </c:pt>
              </c:numCache>
            </c:numRef>
          </c:val>
          <c:extLst>
            <c:ext xmlns:c16="http://schemas.microsoft.com/office/drawing/2014/chart" uri="{C3380CC4-5D6E-409C-BE32-E72D297353CC}">
              <c16:uniqueId val="{00000000-37B6-4505-BEA7-06FF74FF2175}"/>
            </c:ext>
          </c:extLst>
        </c:ser>
        <c:dLbls>
          <c:showLegendKey val="0"/>
          <c:showVal val="0"/>
          <c:showCatName val="0"/>
          <c:showSerName val="0"/>
          <c:showPercent val="0"/>
          <c:showBubbleSize val="0"/>
        </c:dLbls>
        <c:axId val="1718023984"/>
        <c:axId val="1718030224"/>
      </c:radarChart>
      <c:catAx>
        <c:axId val="1735534832"/>
        <c:scaling>
          <c:orientation val="minMax"/>
        </c:scaling>
        <c:delete val="1"/>
        <c:axPos val="b"/>
        <c:numFmt formatCode="General" sourceLinked="1"/>
        <c:majorTickMark val="none"/>
        <c:minorTickMark val="none"/>
        <c:tickLblPos val="nextTo"/>
        <c:crossAx val="1735532912"/>
        <c:crosses val="autoZero"/>
        <c:auto val="1"/>
        <c:lblAlgn val="ctr"/>
        <c:lblOffset val="100"/>
        <c:noMultiLvlLbl val="0"/>
      </c:catAx>
      <c:valAx>
        <c:axId val="1735532912"/>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735534832"/>
        <c:crosses val="autoZero"/>
        <c:crossBetween val="between"/>
      </c:valAx>
      <c:valAx>
        <c:axId val="1718030224"/>
        <c:scaling>
          <c:orientation val="minMax"/>
        </c:scaling>
        <c:delete val="1"/>
        <c:axPos val="l"/>
        <c:numFmt formatCode="0.00" sourceLinked="1"/>
        <c:majorTickMark val="out"/>
        <c:minorTickMark val="none"/>
        <c:tickLblPos val="nextTo"/>
        <c:crossAx val="1718023984"/>
        <c:crosses val="max"/>
        <c:crossBetween val="between"/>
      </c:valAx>
      <c:catAx>
        <c:axId val="17180239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fr-FR"/>
          </a:p>
        </c:txPr>
        <c:crossAx val="1718030224"/>
        <c:crosses val="max"/>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Integratome_AugmentV2!$B$68:$B$78</c:f>
              <c:numCache>
                <c:formatCode>0.00</c:formatCode>
                <c:ptCount val="11"/>
                <c:pt idx="0">
                  <c:v>2.4</c:v>
                </c:pt>
                <c:pt idx="1">
                  <c:v>3</c:v>
                </c:pt>
                <c:pt idx="2">
                  <c:v>1.2</c:v>
                </c:pt>
                <c:pt idx="3">
                  <c:v>1.2</c:v>
                </c:pt>
                <c:pt idx="4">
                  <c:v>0.9</c:v>
                </c:pt>
                <c:pt idx="5">
                  <c:v>1.8</c:v>
                </c:pt>
                <c:pt idx="6">
                  <c:v>2</c:v>
                </c:pt>
                <c:pt idx="7">
                  <c:v>3</c:v>
                </c:pt>
                <c:pt idx="8">
                  <c:v>3</c:v>
                </c:pt>
                <c:pt idx="9">
                  <c:v>0.9</c:v>
                </c:pt>
                <c:pt idx="10">
                  <c:v>1.2</c:v>
                </c:pt>
              </c:numCache>
            </c:numRef>
          </c:val>
          <c:extLst>
            <c:ext xmlns:c16="http://schemas.microsoft.com/office/drawing/2014/chart" uri="{C3380CC4-5D6E-409C-BE32-E72D297353CC}">
              <c16:uniqueId val="{00000000-7408-4E46-AC3E-D573F6881703}"/>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Integratome_AugmentV2!$C$68:$C$78</c:f>
              <c:numCache>
                <c:formatCode>General</c:formatCode>
                <c:ptCount val="11"/>
                <c:pt idx="0">
                  <c:v>1</c:v>
                </c:pt>
                <c:pt idx="1">
                  <c:v>1</c:v>
                </c:pt>
                <c:pt idx="2">
                  <c:v>1</c:v>
                </c:pt>
                <c:pt idx="3">
                  <c:v>1</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1-7408-4E46-AC3E-D573F6881703}"/>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Integratome_AugmentV2!$D$68:$D$78</c:f>
              <c:numCache>
                <c:formatCode>General</c:formatCode>
                <c:ptCount val="11"/>
                <c:pt idx="0">
                  <c:v>2</c:v>
                </c:pt>
                <c:pt idx="1">
                  <c:v>2</c:v>
                </c:pt>
                <c:pt idx="2">
                  <c:v>2</c:v>
                </c:pt>
                <c:pt idx="3">
                  <c:v>2</c:v>
                </c:pt>
                <c:pt idx="4">
                  <c:v>2</c:v>
                </c:pt>
                <c:pt idx="5">
                  <c:v>2</c:v>
                </c:pt>
                <c:pt idx="6">
                  <c:v>2</c:v>
                </c:pt>
                <c:pt idx="7">
                  <c:v>2</c:v>
                </c:pt>
                <c:pt idx="8">
                  <c:v>2</c:v>
                </c:pt>
                <c:pt idx="9">
                  <c:v>2</c:v>
                </c:pt>
                <c:pt idx="10">
                  <c:v>2</c:v>
                </c:pt>
              </c:numCache>
            </c:numRef>
          </c:val>
          <c:extLst>
            <c:ext xmlns:c16="http://schemas.microsoft.com/office/drawing/2014/chart" uri="{C3380CC4-5D6E-409C-BE32-E72D297353CC}">
              <c16:uniqueId val="{00000002-7408-4E46-AC3E-D573F6881703}"/>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Integratome_AugmentV2!$A$68:$A$78</c:f>
              <c:strCache>
                <c:ptCount val="11"/>
                <c:pt idx="0">
                  <c:v>Système cardiovasculaire</c:v>
                </c:pt>
                <c:pt idx="1">
                  <c:v>Systéme endocrinien et métabolique</c:v>
                </c:pt>
                <c:pt idx="2">
                  <c:v>Systéme digestif</c:v>
                </c:pt>
                <c:pt idx="3">
                  <c:v>Systéme du foie et des voies biliaires</c:v>
                </c:pt>
                <c:pt idx="4">
                  <c:v>Système génital</c:v>
                </c:pt>
                <c:pt idx="5">
                  <c:v>Systéme locomoteur</c:v>
                </c:pt>
                <c:pt idx="6">
                  <c:v>Système nerveux et mental</c:v>
                </c:pt>
                <c:pt idx="7">
                  <c:v>Systéme respiratoire</c:v>
                </c:pt>
                <c:pt idx="8">
                  <c:v>Systéme sensoriel</c:v>
                </c:pt>
                <c:pt idx="9">
                  <c:v>Système urinaire</c:v>
                </c:pt>
                <c:pt idx="10">
                  <c:v>Cancérologie</c:v>
                </c:pt>
              </c:strCache>
            </c:strRef>
          </c:cat>
          <c:val>
            <c:numRef>
              <c:f>Integratome_AugmentV2!$E$68:$E$78</c:f>
              <c:numCache>
                <c:formatCode>General</c:formatCode>
                <c:ptCount val="11"/>
                <c:pt idx="0">
                  <c:v>3</c:v>
                </c:pt>
                <c:pt idx="1">
                  <c:v>3</c:v>
                </c:pt>
                <c:pt idx="2">
                  <c:v>3</c:v>
                </c:pt>
                <c:pt idx="3">
                  <c:v>3</c:v>
                </c:pt>
                <c:pt idx="4">
                  <c:v>3</c:v>
                </c:pt>
                <c:pt idx="5">
                  <c:v>3</c:v>
                </c:pt>
                <c:pt idx="6">
                  <c:v>3</c:v>
                </c:pt>
                <c:pt idx="7">
                  <c:v>3</c:v>
                </c:pt>
                <c:pt idx="8">
                  <c:v>3</c:v>
                </c:pt>
                <c:pt idx="9">
                  <c:v>3</c:v>
                </c:pt>
                <c:pt idx="10">
                  <c:v>3</c:v>
                </c:pt>
              </c:numCache>
            </c:numRef>
          </c:val>
          <c:extLst>
            <c:ext xmlns:c16="http://schemas.microsoft.com/office/drawing/2014/chart" uri="{C3380CC4-5D6E-409C-BE32-E72D297353CC}">
              <c16:uniqueId val="{00000003-7408-4E46-AC3E-D573F6881703}"/>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Integratome_AugmentV2!$B$90</c:f>
              <c:strCache>
                <c:ptCount val="1"/>
                <c:pt idx="0">
                  <c:v>Résultats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Integratome_AugmentV2!$A$91:$A$98</c:f>
              <c:strCache>
                <c:ptCount val="8"/>
                <c:pt idx="0">
                  <c:v>Appareil urinaire</c:v>
                </c:pt>
                <c:pt idx="1">
                  <c:v>Sexualité</c:v>
                </c:pt>
                <c:pt idx="2">
                  <c:v>Digestion</c:v>
                </c:pt>
                <c:pt idx="3">
                  <c:v>Muscles et articulation</c:v>
                </c:pt>
                <c:pt idx="4">
                  <c:v>Santé mentale</c:v>
                </c:pt>
                <c:pt idx="5">
                  <c:v>Sommeil</c:v>
                </c:pt>
                <c:pt idx="6">
                  <c:v>Vision</c:v>
                </c:pt>
                <c:pt idx="7">
                  <c:v>Audition</c:v>
                </c:pt>
              </c:strCache>
            </c:strRef>
          </c:cat>
          <c:val>
            <c:numRef>
              <c:f>Integratome_AugmentV2!$B$91:$B$98</c:f>
              <c:numCache>
                <c:formatCode>0%</c:formatCode>
                <c:ptCount val="8"/>
                <c:pt idx="0">
                  <c:v>0.66666666666666674</c:v>
                </c:pt>
                <c:pt idx="1">
                  <c:v>1</c:v>
                </c:pt>
                <c:pt idx="2">
                  <c:v>0.93333333333333335</c:v>
                </c:pt>
                <c:pt idx="3">
                  <c:v>1</c:v>
                </c:pt>
                <c:pt idx="4">
                  <c:v>0.625</c:v>
                </c:pt>
                <c:pt idx="5">
                  <c:v>0.25</c:v>
                </c:pt>
                <c:pt idx="6">
                  <c:v>1</c:v>
                </c:pt>
                <c:pt idx="7">
                  <c:v>0.5</c:v>
                </c:pt>
              </c:numCache>
            </c:numRef>
          </c:val>
          <c:extLst>
            <c:ext xmlns:c16="http://schemas.microsoft.com/office/drawing/2014/chart" uri="{C3380CC4-5D6E-409C-BE32-E72D297353CC}">
              <c16:uniqueId val="{00000000-F463-410C-907E-46AC5864D427}"/>
            </c:ext>
          </c:extLst>
        </c:ser>
        <c:dLbls>
          <c:dLblPos val="outEnd"/>
          <c:showLegendKey val="0"/>
          <c:showVal val="1"/>
          <c:showCatName val="0"/>
          <c:showSerName val="0"/>
          <c:showPercent val="0"/>
          <c:showBubbleSize val="0"/>
        </c:dLbls>
        <c:gapWidth val="182"/>
        <c:axId val="1219173615"/>
        <c:axId val="1219159695"/>
      </c:barChart>
      <c:catAx>
        <c:axId val="12191736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159695"/>
        <c:crosses val="autoZero"/>
        <c:auto val="1"/>
        <c:lblAlgn val="ctr"/>
        <c:lblOffset val="100"/>
        <c:noMultiLvlLbl val="0"/>
      </c:catAx>
      <c:valAx>
        <c:axId val="1219159695"/>
        <c:scaling>
          <c:orientation val="minMax"/>
        </c:scaling>
        <c:delete val="1"/>
        <c:axPos val="b"/>
        <c:numFmt formatCode="0%" sourceLinked="1"/>
        <c:majorTickMark val="none"/>
        <c:minorTickMark val="none"/>
        <c:tickLblPos val="nextTo"/>
        <c:crossAx val="1219173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12"/>
            <c:spPr>
              <a:solidFill>
                <a:srgbClr val="FF0000"/>
              </a:solidFill>
              <a:ln w="9525">
                <a:noFill/>
              </a:ln>
              <a:effectLst/>
            </c:spPr>
          </c:marker>
          <c:cat>
            <c:strRef>
              <c:f>Integratome_AugmentV2!$A$136:$A$146</c:f>
              <c:strCache>
                <c:ptCount val="11"/>
                <c:pt idx="0">
                  <c:v>Activité physique</c:v>
                </c:pt>
                <c:pt idx="1">
                  <c:v>Addictions &amp; consommations</c:v>
                </c:pt>
                <c:pt idx="2">
                  <c:v>Vaccination &amp; dépistages</c:v>
                </c:pt>
                <c:pt idx="3">
                  <c:v>Dépendance et autonomie</c:v>
                </c:pt>
                <c:pt idx="4">
                  <c:v>Exposition IST</c:v>
                </c:pt>
                <c:pt idx="5">
                  <c:v>Médications</c:v>
                </c:pt>
                <c:pt idx="6">
                  <c:v>Nutrition</c:v>
                </c:pt>
                <c:pt idx="7">
                  <c:v>Pollution aérienne</c:v>
                </c:pt>
                <c:pt idx="8">
                  <c:v>Santé et charge mentale</c:v>
                </c:pt>
                <c:pt idx="9">
                  <c:v>Sensibilité cutanée (UV)</c:v>
                </c:pt>
                <c:pt idx="10">
                  <c:v>Troubles du sommeil</c:v>
                </c:pt>
              </c:strCache>
            </c:strRef>
          </c:cat>
          <c:val>
            <c:numRef>
              <c:f>Integratome_AugmentV2!$B$136:$B$146</c:f>
              <c:numCache>
                <c:formatCode>0.00</c:formatCode>
                <c:ptCount val="11"/>
                <c:pt idx="0">
                  <c:v>1</c:v>
                </c:pt>
                <c:pt idx="1">
                  <c:v>1</c:v>
                </c:pt>
                <c:pt idx="2">
                  <c:v>0.8</c:v>
                </c:pt>
                <c:pt idx="3">
                  <c:v>1</c:v>
                </c:pt>
                <c:pt idx="4">
                  <c:v>0</c:v>
                </c:pt>
                <c:pt idx="5">
                  <c:v>0.19999999999999996</c:v>
                </c:pt>
                <c:pt idx="6">
                  <c:v>0.73684210526315785</c:v>
                </c:pt>
                <c:pt idx="7">
                  <c:v>1.1000000000000001</c:v>
                </c:pt>
                <c:pt idx="8">
                  <c:v>1</c:v>
                </c:pt>
                <c:pt idx="9">
                  <c:v>0</c:v>
                </c:pt>
                <c:pt idx="10">
                  <c:v>0.75</c:v>
                </c:pt>
              </c:numCache>
            </c:numRef>
          </c:val>
          <c:extLst>
            <c:ext xmlns:c16="http://schemas.microsoft.com/office/drawing/2014/chart" uri="{C3380CC4-5D6E-409C-BE32-E72D297353CC}">
              <c16:uniqueId val="{00000000-A5D3-4C85-A850-9869B9C13A0D}"/>
            </c:ext>
          </c:extLst>
        </c:ser>
        <c:dLbls>
          <c:showLegendKey val="0"/>
          <c:showVal val="0"/>
          <c:showCatName val="0"/>
          <c:showSerName val="0"/>
          <c:showPercent val="0"/>
          <c:showBubbleSize val="0"/>
        </c:dLbls>
        <c:axId val="554625584"/>
        <c:axId val="554626064"/>
      </c:radarChart>
      <c:catAx>
        <c:axId val="554625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554626064"/>
        <c:crosses val="autoZero"/>
        <c:auto val="1"/>
        <c:lblAlgn val="ctr"/>
        <c:lblOffset val="100"/>
        <c:noMultiLvlLbl val="0"/>
      </c:catAx>
      <c:valAx>
        <c:axId val="554626064"/>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554625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000" b="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tx>
            <c:strRef>
              <c:f>SIMULATEUR!$I$2</c:f>
              <c:strCache>
                <c:ptCount val="1"/>
                <c:pt idx="0">
                  <c:v>A 5 ans</c:v>
                </c:pt>
              </c:strCache>
            </c:strRef>
          </c:tx>
          <c:spPr>
            <a:solidFill>
              <a:schemeClr val="accent1"/>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SIMULATEUR!$I$3:$I$23</c15:sqref>
                  </c15:fullRef>
                </c:ext>
              </c:extLst>
              <c:f>(SIMULATEUR!$I$3,SIMULATEUR!$I$5:$I$23)</c:f>
              <c:numCache>
                <c:formatCode>0.00%</c:formatCode>
                <c:ptCount val="20"/>
                <c:pt idx="0">
                  <c:v>0</c:v>
                </c:pt>
                <c:pt idx="1">
                  <c:v>6.9822857142856937E-2</c:v>
                </c:pt>
                <c:pt idx="2">
                  <c:v>7.9650000000001678E-2</c:v>
                </c:pt>
                <c:pt idx="3">
                  <c:v>2.7126857142857119E-2</c:v>
                </c:pt>
                <c:pt idx="4">
                  <c:v>1.9266368008553577E-2</c:v>
                </c:pt>
                <c:pt idx="5">
                  <c:v>0</c:v>
                </c:pt>
                <c:pt idx="6">
                  <c:v>8.0000000000000016E-2</c:v>
                </c:pt>
                <c:pt idx="7">
                  <c:v>1</c:v>
                </c:pt>
                <c:pt idx="8">
                  <c:v>2.59714285714286E-2</c:v>
                </c:pt>
                <c:pt idx="9">
                  <c:v>9.2142857142857165E-2</c:v>
                </c:pt>
                <c:pt idx="10">
                  <c:v>2.1600000000000001E-2</c:v>
                </c:pt>
                <c:pt idx="11">
                  <c:v>4.3200000000000002E-2</c:v>
                </c:pt>
                <c:pt idx="12">
                  <c:v>6.4372440546666659E-2</c:v>
                </c:pt>
                <c:pt idx="13">
                  <c:v>0.19311732163999998</c:v>
                </c:pt>
                <c:pt idx="14">
                  <c:v>2.6452381196887587E-2</c:v>
                </c:pt>
                <c:pt idx="15">
                  <c:v>5.2767361561490589E-2</c:v>
                </c:pt>
                <c:pt idx="16">
                  <c:v>6.4799999999999996E-2</c:v>
                </c:pt>
                <c:pt idx="17">
                  <c:v>2.7037635371791112E-3</c:v>
                </c:pt>
                <c:pt idx="18">
                  <c:v>5.0128597402597529E-2</c:v>
                </c:pt>
                <c:pt idx="19">
                  <c:v>1.5806989436639652E-2</c:v>
                </c:pt>
              </c:numCache>
            </c:numRef>
          </c:val>
          <c:extLst>
            <c:ext xmlns:c16="http://schemas.microsoft.com/office/drawing/2014/chart" uri="{C3380CC4-5D6E-409C-BE32-E72D297353CC}">
              <c16:uniqueId val="{00000000-922D-4C35-AA1D-A1A32643B0A4}"/>
            </c:ext>
          </c:extLst>
        </c:ser>
        <c:ser>
          <c:idx val="1"/>
          <c:order val="1"/>
          <c:tx>
            <c:v>Corrigé</c:v>
          </c:tx>
          <c:spPr>
            <a:solidFill>
              <a:schemeClr val="accent2"/>
            </a:solidFill>
            <a:ln>
              <a:noFill/>
            </a:ln>
            <a:effectLst/>
          </c:spPr>
          <c:invertIfNegative val="0"/>
          <c:cat>
            <c:strRef>
              <c:extLst>
                <c:ext xmlns:c15="http://schemas.microsoft.com/office/drawing/2012/chart" uri="{02D57815-91ED-43cb-92C2-25804820EDAC}">
                  <c15:fullRef>
                    <c15:sqref>SIMULATEUR!$G$3:$G$23</c15:sqref>
                  </c15:fullRef>
                </c:ext>
              </c:extLst>
              <c:f>(SIMULATEUR!$G$3,SIMULATEUR!$G$5:$G$23)</c:f>
              <c:strCache>
                <c:ptCount val="20"/>
                <c:pt idx="0">
                  <c:v>Cancer de la prostate</c:v>
                </c:pt>
                <c:pt idx="1">
                  <c:v>Insuffisance rénale</c:v>
                </c:pt>
                <c:pt idx="2">
                  <c:v>Lithiase urinaire</c:v>
                </c:pt>
                <c:pt idx="3">
                  <c:v>Ostéopénie</c:v>
                </c:pt>
                <c:pt idx="4">
                  <c:v>Cancer du colon</c:v>
                </c:pt>
                <c:pt idx="5">
                  <c:v>Maladie du Foie et lithiase biliaire</c:v>
                </c:pt>
                <c:pt idx="6">
                  <c:v>Insuffisance thyroidienne</c:v>
                </c:pt>
                <c:pt idx="7">
                  <c:v>Dyslipidémie</c:v>
                </c:pt>
                <c:pt idx="8">
                  <c:v>Diabéte</c:v>
                </c:pt>
                <c:pt idx="9">
                  <c:v>Syndrome métabolique</c:v>
                </c:pt>
                <c:pt idx="10">
                  <c:v>Thrombophlébite</c:v>
                </c:pt>
                <c:pt idx="11">
                  <c:v>Anévrysme et artériopathie</c:v>
                </c:pt>
                <c:pt idx="12">
                  <c:v>Accident vasculaire cérébral</c:v>
                </c:pt>
                <c:pt idx="13">
                  <c:v>Cardiopathie ischémique</c:v>
                </c:pt>
                <c:pt idx="14">
                  <c:v>Cancer du poumon</c:v>
                </c:pt>
                <c:pt idx="15">
                  <c:v>Cancer ORL</c:v>
                </c:pt>
                <c:pt idx="16">
                  <c:v>Asthme et BPCO</c:v>
                </c:pt>
                <c:pt idx="17">
                  <c:v>Mélanome</c:v>
                </c:pt>
                <c:pt idx="18">
                  <c:v>Cancers du sein</c:v>
                </c:pt>
                <c:pt idx="19">
                  <c:v>Tumeur de vessie</c:v>
                </c:pt>
              </c:strCache>
            </c:strRef>
          </c:cat>
          <c:val>
            <c:numRef>
              <c:extLst>
                <c:ext xmlns:c15="http://schemas.microsoft.com/office/drawing/2012/chart" uri="{02D57815-91ED-43cb-92C2-25804820EDAC}">
                  <c15:fullRef>
                    <c15:sqref>SIMULATEUR!$J$3:$J$23</c15:sqref>
                  </c15:fullRef>
                </c:ext>
              </c:extLst>
              <c:f>(SIMULATEUR!$J$3,SIMULATEUR!$J$5:$J$23)</c:f>
              <c:numCache>
                <c:formatCode>0.00%</c:formatCode>
                <c:ptCount val="20"/>
                <c:pt idx="0">
                  <c:v>0</c:v>
                </c:pt>
                <c:pt idx="1">
                  <c:v>6.9822857142856937E-2</c:v>
                </c:pt>
                <c:pt idx="2">
                  <c:v>6.3720000000001345E-2</c:v>
                </c:pt>
                <c:pt idx="3">
                  <c:v>2.7126857142857119E-2</c:v>
                </c:pt>
                <c:pt idx="4">
                  <c:v>1.733973120769822E-2</c:v>
                </c:pt>
                <c:pt idx="5">
                  <c:v>0.13056000000000009</c:v>
                </c:pt>
                <c:pt idx="6">
                  <c:v>8.0000000000000016E-2</c:v>
                </c:pt>
                <c:pt idx="7">
                  <c:v>1</c:v>
                </c:pt>
                <c:pt idx="8">
                  <c:v>2.0777142857142883E-2</c:v>
                </c:pt>
                <c:pt idx="9">
                  <c:v>7.3714285714285732E-2</c:v>
                </c:pt>
                <c:pt idx="10">
                  <c:v>2.1600000000000001E-2</c:v>
                </c:pt>
                <c:pt idx="11">
                  <c:v>4.3200000000000002E-2</c:v>
                </c:pt>
                <c:pt idx="12">
                  <c:v>6.4372440546666659E-2</c:v>
                </c:pt>
                <c:pt idx="13">
                  <c:v>0.22247115452927996</c:v>
                </c:pt>
                <c:pt idx="14">
                  <c:v>2.6452381196887587E-2</c:v>
                </c:pt>
                <c:pt idx="15">
                  <c:v>0.52767361561490589</c:v>
                </c:pt>
                <c:pt idx="16">
                  <c:v>6.4799999999999996E-2</c:v>
                </c:pt>
                <c:pt idx="17">
                  <c:v>2.7037635371791112E-3</c:v>
                </c:pt>
                <c:pt idx="18">
                  <c:v>5.0128597402597529E-2</c:v>
                </c:pt>
                <c:pt idx="19">
                  <c:v>1.5806989436639652E-2</c:v>
                </c:pt>
              </c:numCache>
            </c:numRef>
          </c:val>
          <c:extLst>
            <c:ext xmlns:c16="http://schemas.microsoft.com/office/drawing/2014/chart" uri="{C3380CC4-5D6E-409C-BE32-E72D297353CC}">
              <c16:uniqueId val="{00000002-922D-4C35-AA1D-A1A32643B0A4}"/>
            </c:ext>
          </c:extLst>
        </c:ser>
        <c:dLbls>
          <c:showLegendKey val="0"/>
          <c:showVal val="0"/>
          <c:showCatName val="0"/>
          <c:showSerName val="0"/>
          <c:showPercent val="0"/>
          <c:showBubbleSize val="0"/>
        </c:dLbls>
        <c:gapWidth val="219"/>
        <c:overlap val="-27"/>
        <c:axId val="727864720"/>
        <c:axId val="727865048"/>
      </c:barChart>
      <c:catAx>
        <c:axId val="727864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fr-FR"/>
          </a:p>
        </c:txPr>
        <c:crossAx val="727865048"/>
        <c:crosses val="autoZero"/>
        <c:auto val="1"/>
        <c:lblAlgn val="ctr"/>
        <c:lblOffset val="100"/>
        <c:noMultiLvlLbl val="0"/>
      </c:catAx>
      <c:valAx>
        <c:axId val="727865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727864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SIMULATEUR!$E$2</c:f>
              <c:strCache>
                <c:ptCount val="1"/>
                <c:pt idx="0">
                  <c:v>Avec action colonne a utiliser</c:v>
                </c:pt>
              </c:strCache>
            </c:strRef>
          </c:tx>
          <c:spPr>
            <a:solidFill>
              <a:schemeClr val="accent1"/>
            </a:solidFill>
            <a:ln>
              <a:noFill/>
            </a:ln>
            <a:effectLst/>
          </c:spPr>
          <c:invertIfNegative val="0"/>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SIMULATEUR!$E$3:$E$23</c:f>
              <c:numCache>
                <c:formatCode>0.00</c:formatCode>
                <c:ptCount val="21"/>
                <c:pt idx="0">
                  <c:v>0</c:v>
                </c:pt>
                <c:pt idx="1">
                  <c:v>0</c:v>
                </c:pt>
                <c:pt idx="2">
                  <c:v>1</c:v>
                </c:pt>
                <c:pt idx="3">
                  <c:v>0.8</c:v>
                </c:pt>
                <c:pt idx="4">
                  <c:v>1</c:v>
                </c:pt>
                <c:pt idx="5">
                  <c:v>0.9</c:v>
                </c:pt>
                <c:pt idx="6">
                  <c:v>0</c:v>
                </c:pt>
                <c:pt idx="7">
                  <c:v>1</c:v>
                </c:pt>
                <c:pt idx="8">
                  <c:v>1</c:v>
                </c:pt>
                <c:pt idx="9">
                  <c:v>0.80000000000000016</c:v>
                </c:pt>
                <c:pt idx="10">
                  <c:v>0.8</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FADE-4E8F-B9A5-493EDC6DBF1B}"/>
            </c:ext>
          </c:extLst>
        </c:ser>
        <c:dLbls>
          <c:showLegendKey val="0"/>
          <c:showVal val="0"/>
          <c:showCatName val="0"/>
          <c:showSerName val="0"/>
          <c:showPercent val="0"/>
          <c:showBubbleSize val="0"/>
        </c:dLbls>
        <c:gapWidth val="219"/>
        <c:overlap val="-27"/>
        <c:axId val="201371135"/>
        <c:axId val="201380255"/>
      </c:barChart>
      <c:catAx>
        <c:axId val="2013711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80255"/>
        <c:crosses val="autoZero"/>
        <c:auto val="1"/>
        <c:lblAlgn val="ctr"/>
        <c:lblOffset val="100"/>
        <c:noMultiLvlLbl val="0"/>
      </c:catAx>
      <c:valAx>
        <c:axId val="201380255"/>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13711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RESULTATS!$T$3:$T$23</c:f>
              <c:numCache>
                <c:formatCode>0.00</c:formatCode>
                <c:ptCount val="21"/>
                <c:pt idx="0">
                  <c:v>0</c:v>
                </c:pt>
                <c:pt idx="1">
                  <c:v>0</c:v>
                </c:pt>
                <c:pt idx="2">
                  <c:v>1.2</c:v>
                </c:pt>
                <c:pt idx="3">
                  <c:v>0.90000000000000013</c:v>
                </c:pt>
                <c:pt idx="4">
                  <c:v>1.2</c:v>
                </c:pt>
                <c:pt idx="5">
                  <c:v>1.08</c:v>
                </c:pt>
                <c:pt idx="6">
                  <c:v>0</c:v>
                </c:pt>
                <c:pt idx="7">
                  <c:v>1</c:v>
                </c:pt>
                <c:pt idx="8">
                  <c:v>3</c:v>
                </c:pt>
                <c:pt idx="9">
                  <c:v>0.90000000000000013</c:v>
                </c:pt>
                <c:pt idx="10">
                  <c:v>0.5</c:v>
                </c:pt>
                <c:pt idx="11">
                  <c:v>1.08</c:v>
                </c:pt>
                <c:pt idx="12">
                  <c:v>1.08</c:v>
                </c:pt>
                <c:pt idx="13">
                  <c:v>0.9387156849611521</c:v>
                </c:pt>
                <c:pt idx="14">
                  <c:v>1.4418920852274382</c:v>
                </c:pt>
                <c:pt idx="15">
                  <c:v>2</c:v>
                </c:pt>
                <c:pt idx="16">
                  <c:v>2.5</c:v>
                </c:pt>
                <c:pt idx="17">
                  <c:v>1.08</c:v>
                </c:pt>
                <c:pt idx="18">
                  <c:v>0.89999999999999991</c:v>
                </c:pt>
                <c:pt idx="19">
                  <c:v>0.9</c:v>
                </c:pt>
                <c:pt idx="20">
                  <c:v>1.8</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du Sein</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Axes de vigilance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radarChart>
        <c:radarStyle val="marker"/>
        <c:varyColors val="0"/>
        <c:ser>
          <c:idx val="0"/>
          <c:order val="0"/>
          <c:spPr>
            <a:ln w="28575" cap="rnd">
              <a:solidFill>
                <a:srgbClr val="FF0000"/>
              </a:solidFill>
              <a:round/>
            </a:ln>
            <a:effectLst/>
          </c:spPr>
          <c:marker>
            <c:symbol val="circle"/>
            <c:size val="5"/>
            <c:spPr>
              <a:solidFill>
                <a:srgbClr val="FF0000"/>
              </a:solidFill>
              <a:ln w="63500">
                <a:solidFill>
                  <a:srgbClr val="FF0000"/>
                </a:solidFill>
              </a:ln>
              <a:effectLst/>
            </c:spPr>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Q'!$B$20:$B$31</c:f>
              <c:numCache>
                <c:formatCode>0.00</c:formatCode>
                <c:ptCount val="12"/>
                <c:pt idx="0">
                  <c:v>1.2</c:v>
                </c:pt>
                <c:pt idx="1">
                  <c:v>0.9</c:v>
                </c:pt>
                <c:pt idx="2">
                  <c:v>0.9</c:v>
                </c:pt>
                <c:pt idx="3">
                  <c:v>2</c:v>
                </c:pt>
                <c:pt idx="4">
                  <c:v>2.4</c:v>
                </c:pt>
                <c:pt idx="5">
                  <c:v>3</c:v>
                </c:pt>
                <c:pt idx="6">
                  <c:v>1.2</c:v>
                </c:pt>
                <c:pt idx="7">
                  <c:v>1.2</c:v>
                </c:pt>
                <c:pt idx="8">
                  <c:v>1.8</c:v>
                </c:pt>
                <c:pt idx="9">
                  <c:v>3</c:v>
                </c:pt>
                <c:pt idx="10">
                  <c:v>3</c:v>
                </c:pt>
                <c:pt idx="11">
                  <c:v>1</c:v>
                </c:pt>
              </c:numCache>
            </c:numRef>
          </c:val>
          <c:extLst>
            <c:ext xmlns:c16="http://schemas.microsoft.com/office/drawing/2014/chart" uri="{C3380CC4-5D6E-409C-BE32-E72D297353CC}">
              <c16:uniqueId val="{00000000-DD1C-4D4D-B7AB-DDB58C7F3029}"/>
            </c:ext>
          </c:extLst>
        </c:ser>
        <c:ser>
          <c:idx val="1"/>
          <c:order val="1"/>
          <c:spPr>
            <a:ln w="28575" cap="rnd">
              <a:solidFill>
                <a:schemeClr val="accent1">
                  <a:lumMod val="40000"/>
                  <a:lumOff val="60000"/>
                </a:schemeClr>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Q'!$C$20:$C$31</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c:ext xmlns:c16="http://schemas.microsoft.com/office/drawing/2014/chart" uri="{C3380CC4-5D6E-409C-BE32-E72D297353CC}">
              <c16:uniqueId val="{00000000-D4EF-46A0-A4CB-7706206766C0}"/>
            </c:ext>
          </c:extLst>
        </c:ser>
        <c:ser>
          <c:idx val="2"/>
          <c:order val="2"/>
          <c:spPr>
            <a:ln w="28575" cap="rnd">
              <a:solidFill>
                <a:srgbClr val="0070C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Q'!$D$20:$D$31</c:f>
              <c:numCache>
                <c:formatCode>General</c:formatCode>
                <c:ptCount val="12"/>
                <c:pt idx="0">
                  <c:v>2</c:v>
                </c:pt>
                <c:pt idx="1">
                  <c:v>2</c:v>
                </c:pt>
                <c:pt idx="2">
                  <c:v>2</c:v>
                </c:pt>
                <c:pt idx="3">
                  <c:v>2</c:v>
                </c:pt>
                <c:pt idx="4">
                  <c:v>2</c:v>
                </c:pt>
                <c:pt idx="5">
                  <c:v>2</c:v>
                </c:pt>
                <c:pt idx="6">
                  <c:v>2</c:v>
                </c:pt>
                <c:pt idx="7">
                  <c:v>2</c:v>
                </c:pt>
                <c:pt idx="8">
                  <c:v>2</c:v>
                </c:pt>
                <c:pt idx="9">
                  <c:v>2</c:v>
                </c:pt>
                <c:pt idx="10">
                  <c:v>2</c:v>
                </c:pt>
                <c:pt idx="11">
                  <c:v>2</c:v>
                </c:pt>
              </c:numCache>
            </c:numRef>
          </c:val>
          <c:extLst>
            <c:ext xmlns:c16="http://schemas.microsoft.com/office/drawing/2014/chart" uri="{C3380CC4-5D6E-409C-BE32-E72D297353CC}">
              <c16:uniqueId val="{00000001-D4EF-46A0-A4CB-7706206766C0}"/>
            </c:ext>
          </c:extLst>
        </c:ser>
        <c:ser>
          <c:idx val="3"/>
          <c:order val="3"/>
          <c:spPr>
            <a:ln w="28575" cap="rnd">
              <a:solidFill>
                <a:srgbClr val="7030A0"/>
              </a:solidFill>
              <a:round/>
            </a:ln>
            <a:effectLst/>
          </c:spPr>
          <c:marker>
            <c:symbol val="none"/>
          </c:marker>
          <c:dLbls>
            <c:delete val="1"/>
          </c:dLbls>
          <c:cat>
            <c:strRef>
              <c:f>'Analyse Globale Q'!$A$20:$A$31</c:f>
              <c:strCache>
                <c:ptCount val="12"/>
                <c:pt idx="0">
                  <c:v>Cancérologie</c:v>
                </c:pt>
                <c:pt idx="1">
                  <c:v>Système urinaire</c:v>
                </c:pt>
                <c:pt idx="2">
                  <c:v>Appareil génital</c:v>
                </c:pt>
                <c:pt idx="3">
                  <c:v>Système nerveux et état mental</c:v>
                </c:pt>
                <c:pt idx="4">
                  <c:v>Système cardiovasculaire et risque métabolique</c:v>
                </c:pt>
                <c:pt idx="5">
                  <c:v>Systéme des voies aeriennes</c:v>
                </c:pt>
                <c:pt idx="6">
                  <c:v>Systéme du tube digestif</c:v>
                </c:pt>
                <c:pt idx="7">
                  <c:v>Systéme hépato-biliaire</c:v>
                </c:pt>
                <c:pt idx="8">
                  <c:v>Appareil locomoteur</c:v>
                </c:pt>
                <c:pt idx="9">
                  <c:v>Appareil endocrinien et métabolique</c:v>
                </c:pt>
                <c:pt idx="10">
                  <c:v>Systéme sensoriel</c:v>
                </c:pt>
                <c:pt idx="11">
                  <c:v>Symptômes te Etat général</c:v>
                </c:pt>
              </c:strCache>
            </c:strRef>
          </c:cat>
          <c:val>
            <c:numRef>
              <c:f>'Analyse Globale Q'!$E$20:$E$31</c:f>
              <c:numCache>
                <c:formatCode>General</c:formatCode>
                <c:ptCount val="12"/>
                <c:pt idx="0">
                  <c:v>3</c:v>
                </c:pt>
                <c:pt idx="1">
                  <c:v>3</c:v>
                </c:pt>
                <c:pt idx="2">
                  <c:v>3</c:v>
                </c:pt>
                <c:pt idx="3">
                  <c:v>3</c:v>
                </c:pt>
                <c:pt idx="4">
                  <c:v>3</c:v>
                </c:pt>
                <c:pt idx="5">
                  <c:v>3</c:v>
                </c:pt>
                <c:pt idx="6">
                  <c:v>3</c:v>
                </c:pt>
                <c:pt idx="7">
                  <c:v>3</c:v>
                </c:pt>
                <c:pt idx="8">
                  <c:v>3</c:v>
                </c:pt>
                <c:pt idx="9">
                  <c:v>3</c:v>
                </c:pt>
                <c:pt idx="10">
                  <c:v>3</c:v>
                </c:pt>
                <c:pt idx="11">
                  <c:v>3</c:v>
                </c:pt>
              </c:numCache>
            </c:numRef>
          </c:val>
          <c:extLst>
            <c:ext xmlns:c16="http://schemas.microsoft.com/office/drawing/2014/chart" uri="{C3380CC4-5D6E-409C-BE32-E72D297353CC}">
              <c16:uniqueId val="{00000002-D4EF-46A0-A4CB-7706206766C0}"/>
            </c:ext>
          </c:extLst>
        </c:ser>
        <c:dLbls>
          <c:showLegendKey val="0"/>
          <c:showVal val="1"/>
          <c:showCatName val="0"/>
          <c:showSerName val="0"/>
          <c:showPercent val="0"/>
          <c:showBubbleSize val="0"/>
        </c:dLbls>
        <c:axId val="1068242943"/>
        <c:axId val="1068253503"/>
      </c:radarChart>
      <c:catAx>
        <c:axId val="10682429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fr-FR"/>
          </a:p>
        </c:txPr>
        <c:crossAx val="1068253503"/>
        <c:crosses val="autoZero"/>
        <c:auto val="1"/>
        <c:lblAlgn val="ctr"/>
        <c:lblOffset val="100"/>
        <c:noMultiLvlLbl val="0"/>
      </c:catAx>
      <c:valAx>
        <c:axId val="1068253503"/>
        <c:scaling>
          <c:orientation val="minMax"/>
        </c:scaling>
        <c:delete val="1"/>
        <c:axPos val="l"/>
        <c:majorGridlines>
          <c:spPr>
            <a:ln w="9525" cap="flat" cmpd="sng" algn="ctr">
              <a:noFill/>
              <a:round/>
            </a:ln>
            <a:effectLst/>
          </c:spPr>
        </c:majorGridlines>
        <c:numFmt formatCode="0.00" sourceLinked="1"/>
        <c:majorTickMark val="none"/>
        <c:minorTickMark val="none"/>
        <c:tickLblPos val="nextTo"/>
        <c:crossAx val="1068242943"/>
        <c:crosses val="autoZero"/>
        <c:crossBetween val="between"/>
        <c:majorUnit val="0.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noFill/>
              <a:round/>
            </a:ln>
            <a:effectLst/>
          </c:spPr>
          <c:marker>
            <c:symbol val="circle"/>
            <c:size val="5"/>
            <c:spPr>
              <a:solidFill>
                <a:srgbClr val="FF0000"/>
              </a:solidFill>
              <a:ln w="82550">
                <a:solidFill>
                  <a:srgbClr val="FF0000"/>
                </a:solidFill>
              </a:ln>
              <a:effectLst/>
            </c:spPr>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Q'!$B$2:$B$15</c:f>
              <c:numCache>
                <c:formatCode>0.00</c:formatCode>
                <c:ptCount val="14"/>
                <c:pt idx="0">
                  <c:v>0.32142857142857129</c:v>
                </c:pt>
                <c:pt idx="1">
                  <c:v>0.64705882352941169</c:v>
                </c:pt>
                <c:pt idx="2">
                  <c:v>0.25</c:v>
                </c:pt>
                <c:pt idx="3">
                  <c:v>-0.10000000000000009</c:v>
                </c:pt>
                <c:pt idx="4">
                  <c:v>0.26315789473684215</c:v>
                </c:pt>
                <c:pt idx="5">
                  <c:v>0</c:v>
                </c:pt>
                <c:pt idx="6">
                  <c:v>0.8</c:v>
                </c:pt>
                <c:pt idx="7">
                  <c:v>0</c:v>
                </c:pt>
                <c:pt idx="8">
                  <c:v>0</c:v>
                </c:pt>
                <c:pt idx="9">
                  <c:v>1</c:v>
                </c:pt>
                <c:pt idx="10">
                  <c:v>1</c:v>
                </c:pt>
                <c:pt idx="11">
                  <c:v>0.58333333333333326</c:v>
                </c:pt>
                <c:pt idx="12">
                  <c:v>0.55555555555555558</c:v>
                </c:pt>
                <c:pt idx="13">
                  <c:v>0.2</c:v>
                </c:pt>
              </c:numCache>
            </c:numRef>
          </c:val>
          <c:extLst>
            <c:ext xmlns:c16="http://schemas.microsoft.com/office/drawing/2014/chart" uri="{C3380CC4-5D6E-409C-BE32-E72D297353CC}">
              <c16:uniqueId val="{00000000-4960-4832-8BEA-A592BB72821E}"/>
            </c:ext>
          </c:extLst>
        </c:ser>
        <c:ser>
          <c:idx val="1"/>
          <c:order val="1"/>
          <c:spPr>
            <a:ln w="28575" cap="rnd">
              <a:solidFill>
                <a:schemeClr val="accent2"/>
              </a:solidFill>
              <a:round/>
            </a:ln>
            <a:effectLst/>
          </c:spPr>
          <c:marker>
            <c:symbol val="none"/>
          </c:marker>
          <c:cat>
            <c:strRef>
              <c:f>'Analyse Globale Q'!$A$2:$A$15</c:f>
              <c:strCache>
                <c:ptCount val="14"/>
                <c:pt idx="0">
                  <c:v> Symptomes (100% aucun symptome)</c:v>
                </c:pt>
                <c:pt idx="1">
                  <c:v> Qualité de vie 100% aucun trouble)</c:v>
                </c:pt>
                <c:pt idx="2">
                  <c:v> Qualité du sommeil, Fatigue (100% aucun trouble)</c:v>
                </c:pt>
                <c:pt idx="3">
                  <c:v> Pollution aerienne(100% aucune pollution)</c:v>
                </c:pt>
                <c:pt idx="4">
                  <c:v> Qualité Nutrition 100% bonne</c:v>
                </c:pt>
                <c:pt idx="5">
                  <c:v> Activité (100% bonne)</c:v>
                </c:pt>
                <c:pt idx="6">
                  <c:v> Medications (100% pas de polymédication)</c:v>
                </c:pt>
                <c:pt idx="7">
                  <c:v>Charge sociale et mentale (100% aucune charge sociale)</c:v>
                </c:pt>
                <c:pt idx="8">
                  <c:v>Addiction (aucune 100%)</c:v>
                </c:pt>
                <c:pt idx="9">
                  <c:v>Exposition IST (100% aucune)</c:v>
                </c:pt>
                <c:pt idx="10">
                  <c:v>Sensibilité cutanée UV(100% faible sensibilité)</c:v>
                </c:pt>
                <c:pt idx="11">
                  <c:v>Santé mentale et vieillissement cérébral</c:v>
                </c:pt>
                <c:pt idx="12">
                  <c:v>Couverture vaccinale</c:v>
                </c:pt>
                <c:pt idx="13">
                  <c:v>Couverture dépistage</c:v>
                </c:pt>
              </c:strCache>
            </c:strRef>
          </c:cat>
          <c:val>
            <c:numRef>
              <c:f>'Analyse Globale Q'!$C$2:$C$15</c:f>
              <c:numCache>
                <c:formatCode>General</c:formatCode>
                <c:ptCount val="14"/>
                <c:pt idx="0">
                  <c:v>1</c:v>
                </c:pt>
                <c:pt idx="1">
                  <c:v>1</c:v>
                </c:pt>
                <c:pt idx="2">
                  <c:v>1</c:v>
                </c:pt>
                <c:pt idx="3">
                  <c:v>1</c:v>
                </c:pt>
                <c:pt idx="4">
                  <c:v>1</c:v>
                </c:pt>
                <c:pt idx="5">
                  <c:v>1</c:v>
                </c:pt>
                <c:pt idx="6">
                  <c:v>1</c:v>
                </c:pt>
                <c:pt idx="7">
                  <c:v>1</c:v>
                </c:pt>
                <c:pt idx="8">
                  <c:v>1</c:v>
                </c:pt>
                <c:pt idx="9">
                  <c:v>1</c:v>
                </c:pt>
                <c:pt idx="10">
                  <c:v>1</c:v>
                </c:pt>
                <c:pt idx="11">
                  <c:v>1</c:v>
                </c:pt>
                <c:pt idx="12">
                  <c:v>1</c:v>
                </c:pt>
                <c:pt idx="13">
                  <c:v>1</c:v>
                </c:pt>
              </c:numCache>
            </c:numRef>
          </c:val>
          <c:extLst>
            <c:ext xmlns:c16="http://schemas.microsoft.com/office/drawing/2014/chart" uri="{C3380CC4-5D6E-409C-BE32-E72D297353CC}">
              <c16:uniqueId val="{00000001-4960-4832-8BEA-A592BB72821E}"/>
            </c:ext>
          </c:extLst>
        </c:ser>
        <c:dLbls>
          <c:showLegendKey val="0"/>
          <c:showVal val="0"/>
          <c:showCatName val="0"/>
          <c:showSerName val="0"/>
          <c:showPercent val="0"/>
          <c:showBubbleSize val="0"/>
        </c:dLbls>
        <c:axId val="1825661072"/>
        <c:axId val="1825662512"/>
      </c:radarChart>
      <c:catAx>
        <c:axId val="1825661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1825662512"/>
        <c:crosses val="autoZero"/>
        <c:auto val="1"/>
        <c:lblAlgn val="ctr"/>
        <c:lblOffset val="100"/>
        <c:noMultiLvlLbl val="0"/>
      </c:catAx>
      <c:valAx>
        <c:axId val="1825662512"/>
        <c:scaling>
          <c:orientation val="minMax"/>
        </c:scaling>
        <c:delete val="1"/>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crossAx val="1825661072"/>
        <c:crosses val="autoZero"/>
        <c:crossBetween val="between"/>
      </c:valAx>
      <c:spPr>
        <a:noFill/>
        <a:ln w="952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4</xdr:col>
      <xdr:colOff>641536</xdr:colOff>
      <xdr:row>82</xdr:row>
      <xdr:rowOff>43140</xdr:rowOff>
    </xdr:from>
    <xdr:to>
      <xdr:col>11</xdr:col>
      <xdr:colOff>28015</xdr:colOff>
      <xdr:row>108</xdr:row>
      <xdr:rowOff>33616</xdr:rowOff>
    </xdr:to>
    <xdr:graphicFrame macro="">
      <xdr:nvGraphicFramePr>
        <xdr:cNvPr id="4" name="Graphique 3">
          <a:extLst>
            <a:ext uri="{FF2B5EF4-FFF2-40B4-BE49-F238E27FC236}">
              <a16:creationId xmlns:a16="http://schemas.microsoft.com/office/drawing/2014/main" id="{F9641084-BCAB-44C2-BD22-1A8A744F4B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472440</xdr:colOff>
      <xdr:row>68</xdr:row>
      <xdr:rowOff>552450</xdr:rowOff>
    </xdr:from>
    <xdr:to>
      <xdr:col>16</xdr:col>
      <xdr:colOff>453390</xdr:colOff>
      <xdr:row>74</xdr:row>
      <xdr:rowOff>659130</xdr:rowOff>
    </xdr:to>
    <xdr:graphicFrame macro="">
      <xdr:nvGraphicFramePr>
        <xdr:cNvPr id="2" name="Graphique 6">
          <a:extLst>
            <a:ext uri="{FF2B5EF4-FFF2-40B4-BE49-F238E27FC236}">
              <a16:creationId xmlns:a16="http://schemas.microsoft.com/office/drawing/2014/main" id="{F35BE9F4-CC8F-4D6F-9A1B-A3DA59675B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245745</xdr:colOff>
      <xdr:row>86</xdr:row>
      <xdr:rowOff>74295</xdr:rowOff>
    </xdr:from>
    <xdr:to>
      <xdr:col>16</xdr:col>
      <xdr:colOff>102870</xdr:colOff>
      <xdr:row>103</xdr:row>
      <xdr:rowOff>156210</xdr:rowOff>
    </xdr:to>
    <xdr:graphicFrame macro="">
      <xdr:nvGraphicFramePr>
        <xdr:cNvPr id="3" name="Chart 2">
          <a:extLst>
            <a:ext uri="{FF2B5EF4-FFF2-40B4-BE49-F238E27FC236}">
              <a16:creationId xmlns:a16="http://schemas.microsoft.com/office/drawing/2014/main" id="{8B8F6C62-8C6A-43D6-92D0-B31DB99F8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144780</xdr:colOff>
      <xdr:row>128</xdr:row>
      <xdr:rowOff>76200</xdr:rowOff>
    </xdr:from>
    <xdr:to>
      <xdr:col>18</xdr:col>
      <xdr:colOff>57150</xdr:colOff>
      <xdr:row>152</xdr:row>
      <xdr:rowOff>102870</xdr:rowOff>
    </xdr:to>
    <xdr:graphicFrame macro="">
      <xdr:nvGraphicFramePr>
        <xdr:cNvPr id="4" name="Graphique 6">
          <a:extLst>
            <a:ext uri="{FF2B5EF4-FFF2-40B4-BE49-F238E27FC236}">
              <a16:creationId xmlns:a16="http://schemas.microsoft.com/office/drawing/2014/main" id="{E8F2F9A8-D6E9-4800-A349-75E9B92123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744535</xdr:colOff>
      <xdr:row>23</xdr:row>
      <xdr:rowOff>139699</xdr:rowOff>
    </xdr:from>
    <xdr:to>
      <xdr:col>11</xdr:col>
      <xdr:colOff>645583</xdr:colOff>
      <xdr:row>39</xdr:row>
      <xdr:rowOff>79903</xdr:rowOff>
    </xdr:to>
    <xdr:graphicFrame macro="">
      <xdr:nvGraphicFramePr>
        <xdr:cNvPr id="10" name="Graphique 9">
          <a:extLst>
            <a:ext uri="{FF2B5EF4-FFF2-40B4-BE49-F238E27FC236}">
              <a16:creationId xmlns:a16="http://schemas.microsoft.com/office/drawing/2014/main" id="{DAF11550-3C92-436C-98B0-9178A7F53A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93133</xdr:colOff>
      <xdr:row>0</xdr:row>
      <xdr:rowOff>84667</xdr:rowOff>
    </xdr:from>
    <xdr:to>
      <xdr:col>11</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10</xdr:col>
      <xdr:colOff>1343705</xdr:colOff>
      <xdr:row>18</xdr:row>
      <xdr:rowOff>138792</xdr:rowOff>
    </xdr:from>
    <xdr:to>
      <xdr:col>21</xdr:col>
      <xdr:colOff>408214</xdr:colOff>
      <xdr:row>47</xdr:row>
      <xdr:rowOff>27212</xdr:rowOff>
    </xdr:to>
    <xdr:graphicFrame macro="">
      <xdr:nvGraphicFramePr>
        <xdr:cNvPr id="2" name="Graphique 1">
          <a:extLst>
            <a:ext uri="{FF2B5EF4-FFF2-40B4-BE49-F238E27FC236}">
              <a16:creationId xmlns:a16="http://schemas.microsoft.com/office/drawing/2014/main" id="{E1181D22-9BC5-812B-E29C-B50724E4CF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101</xdr:row>
      <xdr:rowOff>0</xdr:rowOff>
    </xdr:from>
    <xdr:to>
      <xdr:col>11</xdr:col>
      <xdr:colOff>1866239</xdr:colOff>
      <xdr:row>140</xdr:row>
      <xdr:rowOff>123408</xdr:rowOff>
    </xdr:to>
    <xdr:pic>
      <xdr:nvPicPr>
        <xdr:cNvPr id="2" name="Image 1">
          <a:extLst>
            <a:ext uri="{FF2B5EF4-FFF2-40B4-BE49-F238E27FC236}">
              <a16:creationId xmlns:a16="http://schemas.microsoft.com/office/drawing/2014/main" id="{60E2A66F-2993-4E6D-A755-645956932449}"/>
            </a:ext>
          </a:extLst>
        </xdr:cNvPr>
        <xdr:cNvPicPr>
          <a:picLocks noChangeAspect="1"/>
        </xdr:cNvPicPr>
      </xdr:nvPicPr>
      <xdr:blipFill>
        <a:blip xmlns:r="http://schemas.openxmlformats.org/officeDocument/2006/relationships" r:embed="rId1"/>
        <a:stretch>
          <a:fillRect/>
        </a:stretch>
      </xdr:blipFill>
      <xdr:spPr>
        <a:xfrm>
          <a:off x="7386638" y="20850225"/>
          <a:ext cx="6409664" cy="8267283"/>
        </a:xfrm>
        <a:prstGeom prst="rect">
          <a:avLst/>
        </a:prstGeom>
      </xdr:spPr>
    </xdr:pic>
    <xdr:clientData/>
  </xdr:twoCellAnchor>
  <xdr:twoCellAnchor editAs="oneCell">
    <xdr:from>
      <xdr:col>10</xdr:col>
      <xdr:colOff>0</xdr:colOff>
      <xdr:row>97</xdr:row>
      <xdr:rowOff>0</xdr:rowOff>
    </xdr:from>
    <xdr:to>
      <xdr:col>21</xdr:col>
      <xdr:colOff>749301</xdr:colOff>
      <xdr:row>133</xdr:row>
      <xdr:rowOff>172543</xdr:rowOff>
    </xdr:to>
    <xdr:pic>
      <xdr:nvPicPr>
        <xdr:cNvPr id="3" name="Image 2">
          <a:extLst>
            <a:ext uri="{FF2B5EF4-FFF2-40B4-BE49-F238E27FC236}">
              <a16:creationId xmlns:a16="http://schemas.microsoft.com/office/drawing/2014/main" id="{50C2A065-EC0D-DD02-603A-D9F202A95458}"/>
            </a:ext>
          </a:extLst>
        </xdr:cNvPr>
        <xdr:cNvPicPr>
          <a:picLocks noChangeAspect="1"/>
        </xdr:cNvPicPr>
      </xdr:nvPicPr>
      <xdr:blipFill>
        <a:blip xmlns:r="http://schemas.openxmlformats.org/officeDocument/2006/relationships" r:embed="rId2"/>
        <a:stretch>
          <a:fillRect/>
        </a:stretch>
      </xdr:blipFill>
      <xdr:spPr>
        <a:xfrm>
          <a:off x="11153775" y="19935825"/>
          <a:ext cx="11383964" cy="78306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335755</xdr:colOff>
      <xdr:row>6</xdr:row>
      <xdr:rowOff>117702</xdr:rowOff>
    </xdr:from>
    <xdr:to>
      <xdr:col>20</xdr:col>
      <xdr:colOff>510268</xdr:colOff>
      <xdr:row>39</xdr:row>
      <xdr:rowOff>95250</xdr:rowOff>
    </xdr:to>
    <xdr:graphicFrame macro="">
      <xdr:nvGraphicFramePr>
        <xdr:cNvPr id="3" name="Graphique 2">
          <a:extLst>
            <a:ext uri="{FF2B5EF4-FFF2-40B4-BE49-F238E27FC236}">
              <a16:creationId xmlns:a16="http://schemas.microsoft.com/office/drawing/2014/main" id="{6CE06539-2AD5-0AD2-5F5C-CE5BA9D07FE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112257</xdr:colOff>
      <xdr:row>1</xdr:row>
      <xdr:rowOff>27215</xdr:rowOff>
    </xdr:from>
    <xdr:to>
      <xdr:col>31</xdr:col>
      <xdr:colOff>238123</xdr:colOff>
      <xdr:row>40</xdr:row>
      <xdr:rowOff>129269</xdr:rowOff>
    </xdr:to>
    <xdr:graphicFrame macro="">
      <xdr:nvGraphicFramePr>
        <xdr:cNvPr id="6" name="Graphique 5">
          <a:extLst>
            <a:ext uri="{FF2B5EF4-FFF2-40B4-BE49-F238E27FC236}">
              <a16:creationId xmlns:a16="http://schemas.microsoft.com/office/drawing/2014/main" id="{266E1EF9-2A54-9418-E3E5-E6AB87DC05D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537481</xdr:colOff>
      <xdr:row>6</xdr:row>
      <xdr:rowOff>136071</xdr:rowOff>
    </xdr:from>
    <xdr:to>
      <xdr:col>13</xdr:col>
      <xdr:colOff>102053</xdr:colOff>
      <xdr:row>39</xdr:row>
      <xdr:rowOff>34018</xdr:rowOff>
    </xdr:to>
    <xdr:graphicFrame macro="">
      <xdr:nvGraphicFramePr>
        <xdr:cNvPr id="7" name="Graphique 6">
          <a:extLst>
            <a:ext uri="{FF2B5EF4-FFF2-40B4-BE49-F238E27FC236}">
              <a16:creationId xmlns:a16="http://schemas.microsoft.com/office/drawing/2014/main" id="{910F52E8-328A-299B-9C51-273B23ACB1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561292</xdr:colOff>
      <xdr:row>40</xdr:row>
      <xdr:rowOff>13608</xdr:rowOff>
    </xdr:from>
    <xdr:to>
      <xdr:col>18</xdr:col>
      <xdr:colOff>27214</xdr:colOff>
      <xdr:row>81</xdr:row>
      <xdr:rowOff>129268</xdr:rowOff>
    </xdr:to>
    <xdr:graphicFrame macro="">
      <xdr:nvGraphicFramePr>
        <xdr:cNvPr id="2" name="Graphique 1">
          <a:extLst>
            <a:ext uri="{FF2B5EF4-FFF2-40B4-BE49-F238E27FC236}">
              <a16:creationId xmlns:a16="http://schemas.microsoft.com/office/drawing/2014/main" id="{8FDCF355-8F6E-BAF8-5308-8D9CE74992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com"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5EF08-F516-4186-A376-C302E1F621A4}">
  <sheetPr codeName="Feuil2">
    <tabColor rgb="FF00B0F0"/>
    <pageSetUpPr fitToPage="1"/>
  </sheetPr>
  <dimension ref="A1:BP658"/>
  <sheetViews>
    <sheetView showFormulas="1" tabSelected="1" zoomScale="73" zoomScaleNormal="73" workbookViewId="0">
      <pane xSplit="4" ySplit="1" topLeftCell="P151" activePane="bottomRight" state="frozen"/>
      <selection pane="topRight" activeCell="E1" sqref="E1"/>
      <selection pane="bottomLeft" activeCell="A2" sqref="A2"/>
      <selection pane="bottomRight" activeCell="A175" sqref="A175:XFD175"/>
    </sheetView>
  </sheetViews>
  <sheetFormatPr baseColWidth="10" defaultColWidth="97.5703125" defaultRowHeight="18.75"/>
  <cols>
    <col min="1" max="1" width="4.28515625" style="329" customWidth="1"/>
    <col min="2" max="2" width="27" style="329" customWidth="1"/>
    <col min="3" max="3" width="17.140625" style="447" customWidth="1"/>
    <col min="4" max="4" width="127.85546875" style="537" customWidth="1"/>
    <col min="5" max="5" width="10.85546875" style="448" customWidth="1"/>
    <col min="6" max="6" width="15.28515625" style="324" customWidth="1"/>
    <col min="7" max="7" width="12.28515625" style="329" bestFit="1" customWidth="1"/>
    <col min="8" max="8" width="9.140625" style="329" customWidth="1"/>
    <col min="9" max="9" width="8.85546875" style="329" bestFit="1" customWidth="1"/>
    <col min="10" max="10" width="23.5703125" style="329" customWidth="1"/>
    <col min="11" max="11" width="9.28515625" style="329" customWidth="1"/>
    <col min="12" max="12" width="22.85546875" style="329" bestFit="1" customWidth="1"/>
    <col min="13" max="13" width="22.85546875" style="329" customWidth="1"/>
    <col min="14" max="14" width="5.42578125" style="521" bestFit="1" customWidth="1"/>
    <col min="15" max="15" width="6.140625" style="329" customWidth="1"/>
    <col min="16" max="16" width="6.7109375" style="521" bestFit="1" customWidth="1"/>
    <col min="17" max="17" width="8.28515625" style="329" bestFit="1" customWidth="1"/>
    <col min="18" max="18" width="8.5703125" style="521" bestFit="1" customWidth="1"/>
    <col min="19" max="19" width="9" style="329" bestFit="1" customWidth="1"/>
    <col min="20" max="20" width="9.42578125" style="521" bestFit="1" customWidth="1"/>
    <col min="21" max="21" width="6" style="329" bestFit="1" customWidth="1"/>
    <col min="22" max="22" width="6.140625" style="521" bestFit="1" customWidth="1"/>
    <col min="23" max="23" width="9.28515625" style="329" bestFit="1" customWidth="1"/>
    <col min="24" max="24" width="8.7109375" style="521" bestFit="1" customWidth="1"/>
    <col min="25" max="25" width="12" style="329" bestFit="1" customWidth="1"/>
    <col min="26" max="26" width="7.42578125" style="521" bestFit="1" customWidth="1"/>
    <col min="27" max="27" width="7.5703125" style="329" customWidth="1"/>
    <col min="28" max="28" width="8.42578125" style="521" bestFit="1" customWidth="1"/>
    <col min="29" max="29" width="11.42578125" style="329" bestFit="1" customWidth="1"/>
    <col min="30" max="30" width="10.140625" style="521" bestFit="1" customWidth="1"/>
    <col min="31" max="31" width="12.7109375" style="329" bestFit="1" customWidth="1"/>
    <col min="32" max="32" width="9.7109375" style="521" bestFit="1" customWidth="1"/>
    <col min="33" max="33" width="5.42578125" style="329" bestFit="1" customWidth="1"/>
    <col min="34" max="34" width="11.7109375" style="521" bestFit="1" customWidth="1"/>
    <col min="35" max="35" width="5.7109375" style="329" bestFit="1" customWidth="1"/>
    <col min="36" max="36" width="11.7109375" style="521" bestFit="1" customWidth="1"/>
    <col min="37" max="37" width="5.42578125" style="329" bestFit="1" customWidth="1"/>
    <col min="38" max="38" width="7" style="521" bestFit="1" customWidth="1"/>
    <col min="39" max="39" width="8.42578125" style="329" bestFit="1" customWidth="1"/>
    <col min="40" max="40" width="9.7109375" style="521" bestFit="1" customWidth="1"/>
    <col min="41" max="41" width="10.7109375" style="329" bestFit="1" customWidth="1"/>
    <col min="42" max="42" width="17.42578125" style="521" bestFit="1" customWidth="1"/>
    <col min="43" max="43" width="8.42578125" style="329" bestFit="1" customWidth="1"/>
    <col min="44" max="44" width="7.28515625" style="521" bestFit="1" customWidth="1"/>
    <col min="45" max="45" width="8.85546875" style="329" bestFit="1" customWidth="1"/>
    <col min="46" max="46" width="6.7109375" style="521" bestFit="1" customWidth="1"/>
    <col min="47" max="47" width="6.85546875" style="329" bestFit="1" customWidth="1"/>
    <col min="48" max="48" width="7.7109375" style="521" bestFit="1" customWidth="1"/>
    <col min="49" max="49" width="8.28515625" style="329" bestFit="1" customWidth="1"/>
    <col min="50" max="50" width="6.140625" style="521" bestFit="1" customWidth="1"/>
    <col min="51" max="51" width="9.7109375" style="329" bestFit="1" customWidth="1"/>
    <col min="52" max="52" width="9.7109375" style="331" bestFit="1" customWidth="1"/>
    <col min="53" max="53" width="7.28515625" style="329" bestFit="1" customWidth="1"/>
    <col min="54" max="54" width="7.28515625" style="331" bestFit="1" customWidth="1"/>
    <col min="55" max="55" width="6.7109375" style="329" bestFit="1" customWidth="1"/>
    <col min="56" max="56" width="7.7109375" style="331" bestFit="1" customWidth="1"/>
    <col min="57" max="57" width="7.140625" style="329" bestFit="1" customWidth="1"/>
    <col min="58" max="58" width="8.85546875" style="331" bestFit="1" customWidth="1"/>
    <col min="59" max="59" width="6.140625" style="329" bestFit="1" customWidth="1"/>
    <col min="60" max="60" width="10.7109375" style="331" bestFit="1" customWidth="1"/>
    <col min="61" max="61" width="9.5703125" style="329" customWidth="1"/>
    <col min="62" max="62" width="8.28515625" style="331" bestFit="1" customWidth="1"/>
    <col min="63" max="63" width="6.140625" style="329" bestFit="1" customWidth="1"/>
    <col min="64" max="64" width="5.42578125" style="331" bestFit="1" customWidth="1"/>
    <col min="65" max="65" width="5.42578125" style="329" customWidth="1"/>
    <col min="66" max="66" width="6.42578125" style="331" bestFit="1" customWidth="1"/>
    <col min="67" max="67" width="9.140625" style="329" bestFit="1" customWidth="1"/>
    <col min="68" max="16384" width="97.5703125" style="329"/>
  </cols>
  <sheetData>
    <row r="1" spans="1:67">
      <c r="A1" s="329" t="s">
        <v>2373</v>
      </c>
      <c r="B1" s="334" t="s">
        <v>1158</v>
      </c>
      <c r="D1" s="335" t="s">
        <v>1159</v>
      </c>
      <c r="E1" s="448" t="s">
        <v>1493</v>
      </c>
      <c r="F1" s="319" t="s">
        <v>85</v>
      </c>
      <c r="G1" s="329" t="s">
        <v>1202</v>
      </c>
      <c r="H1" s="329" t="s">
        <v>1203</v>
      </c>
      <c r="I1" s="329" t="s">
        <v>1643</v>
      </c>
      <c r="J1" s="336" t="s">
        <v>1160</v>
      </c>
      <c r="N1" s="307" t="s">
        <v>1196</v>
      </c>
      <c r="O1" s="303" t="s">
        <v>1187</v>
      </c>
      <c r="P1" s="307" t="s">
        <v>1637</v>
      </c>
      <c r="Q1" s="303" t="s">
        <v>1614</v>
      </c>
      <c r="R1" s="307" t="s">
        <v>1193</v>
      </c>
      <c r="S1" s="303" t="s">
        <v>1615</v>
      </c>
      <c r="T1" s="307" t="s">
        <v>1616</v>
      </c>
      <c r="U1" s="303" t="s">
        <v>1594</v>
      </c>
      <c r="V1" s="307" t="s">
        <v>1595</v>
      </c>
      <c r="W1" s="303" t="s">
        <v>1590</v>
      </c>
      <c r="X1" s="307" t="s">
        <v>1617</v>
      </c>
      <c r="Y1" s="303" t="s">
        <v>1618</v>
      </c>
      <c r="Z1" s="307" t="s">
        <v>1596</v>
      </c>
      <c r="AA1" s="303" t="s">
        <v>1597</v>
      </c>
      <c r="AB1" s="307" t="s">
        <v>1619</v>
      </c>
      <c r="AC1" s="303" t="s">
        <v>1620</v>
      </c>
      <c r="AD1" s="307" t="s">
        <v>1621</v>
      </c>
      <c r="AE1" s="303" t="s">
        <v>1622</v>
      </c>
      <c r="AF1" s="307" t="s">
        <v>1623</v>
      </c>
      <c r="AG1" s="303" t="s">
        <v>124</v>
      </c>
      <c r="AH1" s="307" t="s">
        <v>1598</v>
      </c>
      <c r="AI1" s="303" t="s">
        <v>1599</v>
      </c>
      <c r="AJ1" s="307" t="s">
        <v>1591</v>
      </c>
      <c r="AK1" s="303" t="s">
        <v>1188</v>
      </c>
      <c r="AL1" s="307" t="s">
        <v>1600</v>
      </c>
      <c r="AM1" s="303" t="s">
        <v>1592</v>
      </c>
      <c r="AN1" s="307" t="s">
        <v>1601</v>
      </c>
      <c r="AO1" s="303" t="s">
        <v>1602</v>
      </c>
      <c r="AP1" s="307" t="s">
        <v>1603</v>
      </c>
      <c r="AQ1" s="303" t="s">
        <v>1604</v>
      </c>
      <c r="AR1" s="317" t="s">
        <v>1624</v>
      </c>
      <c r="AS1" s="303" t="s">
        <v>1625</v>
      </c>
      <c r="AT1" s="307" t="s">
        <v>1626</v>
      </c>
      <c r="AU1" s="303" t="s">
        <v>1627</v>
      </c>
      <c r="AV1" s="307" t="s">
        <v>1628</v>
      </c>
      <c r="AW1" s="303" t="s">
        <v>1593</v>
      </c>
      <c r="AX1" s="307" t="s">
        <v>1605</v>
      </c>
      <c r="AY1" s="303" t="s">
        <v>1606</v>
      </c>
      <c r="AZ1" s="302" t="s">
        <v>1607</v>
      </c>
      <c r="BA1" s="303" t="s">
        <v>1629</v>
      </c>
      <c r="BB1" s="302" t="s">
        <v>1630</v>
      </c>
      <c r="BC1" s="303" t="s">
        <v>1631</v>
      </c>
      <c r="BD1" s="302" t="s">
        <v>1632</v>
      </c>
      <c r="BE1" s="303" t="s">
        <v>1633</v>
      </c>
      <c r="BF1" s="302" t="s">
        <v>1608</v>
      </c>
      <c r="BG1" s="303" t="s">
        <v>1609</v>
      </c>
      <c r="BH1" s="302" t="s">
        <v>1610</v>
      </c>
      <c r="BI1" s="303" t="s">
        <v>1634</v>
      </c>
      <c r="BJ1" s="302" t="s">
        <v>1635</v>
      </c>
      <c r="BK1" s="284" t="s">
        <v>1611</v>
      </c>
      <c r="BL1" s="150" t="s">
        <v>1612</v>
      </c>
      <c r="BM1" s="25" t="s">
        <v>1693</v>
      </c>
      <c r="BN1" s="302" t="s">
        <v>1636</v>
      </c>
      <c r="BO1" s="303" t="s">
        <v>1613</v>
      </c>
    </row>
    <row r="2" spans="1:67">
      <c r="B2" s="529"/>
      <c r="D2" s="530" t="s">
        <v>1150</v>
      </c>
      <c r="F2" s="375">
        <f ca="1">TODAY()</f>
        <v>46189</v>
      </c>
    </row>
    <row r="3" spans="1:67" ht="37.5">
      <c r="A3" s="531">
        <v>1</v>
      </c>
      <c r="B3" s="360" t="s">
        <v>1040</v>
      </c>
      <c r="D3" s="530" t="s">
        <v>2694</v>
      </c>
      <c r="E3" s="448" t="s">
        <v>1492</v>
      </c>
      <c r="F3" s="320">
        <v>0</v>
      </c>
      <c r="H3" s="329">
        <f>IF(F3=1,1,0)</f>
        <v>0</v>
      </c>
      <c r="I3" s="329">
        <f>IF(F3=0,1,0)</f>
        <v>1</v>
      </c>
    </row>
    <row r="4" spans="1:67" ht="37.5">
      <c r="A4" s="531">
        <v>1</v>
      </c>
      <c r="B4" s="360" t="s">
        <v>1040</v>
      </c>
      <c r="D4" s="530" t="s">
        <v>2350</v>
      </c>
      <c r="E4" s="448" t="s">
        <v>1494</v>
      </c>
      <c r="F4" s="321">
        <v>65</v>
      </c>
    </row>
    <row r="5" spans="1:67" ht="56.25">
      <c r="A5" s="531">
        <v>1</v>
      </c>
      <c r="B5" s="360" t="s">
        <v>1040</v>
      </c>
      <c r="D5" s="530" t="s">
        <v>2674</v>
      </c>
      <c r="E5" s="448" t="s">
        <v>1495</v>
      </c>
      <c r="F5" s="320">
        <v>0</v>
      </c>
      <c r="H5" s="337"/>
      <c r="I5" s="337"/>
      <c r="J5" s="337"/>
    </row>
    <row r="6" spans="1:67" s="330" customFormat="1">
      <c r="A6" s="531">
        <v>1</v>
      </c>
      <c r="B6" s="329" t="s">
        <v>1454</v>
      </c>
      <c r="C6" s="447"/>
      <c r="D6" s="530" t="s">
        <v>1983</v>
      </c>
      <c r="E6" s="448" t="s">
        <v>1496</v>
      </c>
      <c r="F6" s="326">
        <v>180</v>
      </c>
      <c r="G6" s="563" t="s">
        <v>0</v>
      </c>
      <c r="H6" s="337">
        <f>(F7*100)/(F6*F6)</f>
        <v>0.20061728395061729</v>
      </c>
      <c r="I6" s="594"/>
      <c r="J6" s="594"/>
      <c r="K6" s="346"/>
      <c r="L6" s="346"/>
      <c r="M6" s="346"/>
      <c r="N6" s="346"/>
      <c r="O6" s="346"/>
      <c r="P6" s="346"/>
      <c r="Q6" s="346"/>
      <c r="R6" s="346">
        <f>IF($H$6&gt;0.3,1.2,0.8)</f>
        <v>0.8</v>
      </c>
      <c r="S6" s="346">
        <f>IF($H$6&gt;0.3,1.2,0.8)</f>
        <v>0.8</v>
      </c>
      <c r="T6" s="346">
        <f>IF($H$6&gt;0.3,1.2,0.8)</f>
        <v>0.8</v>
      </c>
      <c r="U6" s="346">
        <f>IF($H$6&gt;0.3,1.2,0.8)</f>
        <v>0.8</v>
      </c>
      <c r="V6" s="346">
        <f>IF($H$6&gt;0.3,1.2,0.8)</f>
        <v>0.8</v>
      </c>
      <c r="W6" s="346"/>
      <c r="X6" s="346">
        <f>IF($H$6&gt;0.3,1.2,0.8)</f>
        <v>0.8</v>
      </c>
      <c r="Y6" s="346">
        <f>IF($H$6&gt;0.3,1.2,0.8)</f>
        <v>0.8</v>
      </c>
      <c r="Z6" s="346"/>
      <c r="AA6" s="346">
        <f>IF($H$6&gt;0.3,1.2,0.8)</f>
        <v>0.8</v>
      </c>
      <c r="AB6" s="346"/>
      <c r="AC6" s="346"/>
      <c r="AD6" s="346"/>
      <c r="AE6" s="346">
        <f t="shared" ref="AE6:AG6" si="0">IF($H$6&gt;0.3,1.2,0.8)</f>
        <v>0.8</v>
      </c>
      <c r="AF6" s="346">
        <f t="shared" si="0"/>
        <v>0.8</v>
      </c>
      <c r="AG6" s="346">
        <f t="shared" si="0"/>
        <v>0.8</v>
      </c>
      <c r="AH6" s="346"/>
      <c r="AI6" s="346"/>
      <c r="AJ6" s="346">
        <f t="shared" ref="AJ6:AL6" si="1">IF($H$6&gt;0.3,1.2,0.8)</f>
        <v>0.8</v>
      </c>
      <c r="AK6" s="346">
        <f t="shared" si="1"/>
        <v>0.8</v>
      </c>
      <c r="AL6" s="346">
        <f t="shared" si="1"/>
        <v>0.8</v>
      </c>
      <c r="AM6" s="346"/>
      <c r="AN6" s="346"/>
      <c r="AO6" s="346"/>
      <c r="AP6" s="346">
        <f>IF($H$6&gt;0.3,1.2,0.8)</f>
        <v>0.8</v>
      </c>
      <c r="AQ6" s="346">
        <f t="shared" ref="AQ6:AR6" si="2">IF($H$6&gt;0.3,1.2,0.8)</f>
        <v>0.8</v>
      </c>
      <c r="AR6" s="346">
        <f t="shared" si="2"/>
        <v>0.8</v>
      </c>
      <c r="AS6" s="346">
        <f>IF($H$6&lt;0.18,1.2,0.8)</f>
        <v>0.8</v>
      </c>
      <c r="AT6" s="346">
        <f>IF($H$6&lt;0.18,1.5,0.8)</f>
        <v>0.8</v>
      </c>
      <c r="AU6" s="346">
        <f>IF($H$6&gt;0.3,1.2,0.8)</f>
        <v>0.8</v>
      </c>
      <c r="AV6" s="346"/>
      <c r="AW6" s="346"/>
      <c r="AX6" s="346"/>
      <c r="AY6" s="346"/>
      <c r="AZ6" s="346"/>
      <c r="BA6" s="346">
        <f>IF($H$6&gt;0.3,1.1,0.8)</f>
        <v>0.8</v>
      </c>
      <c r="BB6" s="346"/>
      <c r="BC6" s="346"/>
      <c r="BD6" s="346">
        <f>IF($H$6&gt;0.3,1.1,0.8)</f>
        <v>0.8</v>
      </c>
      <c r="BE6" s="346">
        <f>IF($H$6&gt;0.3,1.1,0.8)</f>
        <v>0.8</v>
      </c>
      <c r="BF6" s="346"/>
      <c r="BG6" s="346"/>
      <c r="BH6" s="346"/>
      <c r="BI6" s="346"/>
      <c r="BJ6" s="346"/>
      <c r="BK6" s="346">
        <f>IF($H$6&gt;0.3,1.2,0.8)</f>
        <v>0.8</v>
      </c>
      <c r="BL6" s="346"/>
      <c r="BM6" s="346">
        <f>IF($H$6&gt;0.3,1.1,0.8)</f>
        <v>0.8</v>
      </c>
      <c r="BN6" s="346"/>
      <c r="BO6" s="346">
        <f>IF($H$6&gt;0.3,1.1,0.8)</f>
        <v>0.8</v>
      </c>
    </row>
    <row r="7" spans="1:67" s="330" customFormat="1">
      <c r="A7" s="531">
        <v>1</v>
      </c>
      <c r="B7" s="329" t="s">
        <v>1454</v>
      </c>
      <c r="C7" s="447"/>
      <c r="D7" s="530" t="s">
        <v>1984</v>
      </c>
      <c r="E7" s="448" t="s">
        <v>1497</v>
      </c>
      <c r="F7" s="326">
        <v>65</v>
      </c>
      <c r="H7" s="337"/>
      <c r="I7" s="337"/>
      <c r="J7" s="337"/>
      <c r="K7" s="329"/>
      <c r="N7" s="521"/>
      <c r="O7" s="329"/>
      <c r="P7" s="521"/>
      <c r="Q7" s="329"/>
      <c r="R7" s="521"/>
      <c r="S7" s="329"/>
      <c r="T7" s="521"/>
      <c r="U7" s="329"/>
      <c r="V7" s="521"/>
      <c r="W7" s="329"/>
      <c r="X7" s="521"/>
      <c r="Y7" s="329"/>
      <c r="Z7" s="521"/>
      <c r="AA7" s="329"/>
      <c r="AB7" s="521"/>
      <c r="AC7" s="329"/>
      <c r="AD7" s="521"/>
      <c r="AE7" s="329"/>
      <c r="AF7" s="521"/>
      <c r="AG7" s="329"/>
      <c r="AH7" s="521"/>
      <c r="AI7" s="329"/>
      <c r="AJ7" s="521"/>
      <c r="AK7" s="329"/>
      <c r="AL7" s="521"/>
      <c r="AM7" s="329"/>
      <c r="AN7" s="521"/>
      <c r="AO7" s="329"/>
      <c r="AP7" s="521"/>
      <c r="AQ7" s="329"/>
      <c r="AR7" s="521"/>
      <c r="AS7" s="329"/>
      <c r="AT7" s="521"/>
      <c r="AU7" s="329"/>
      <c r="AV7" s="521"/>
      <c r="AW7" s="329"/>
      <c r="AX7" s="521"/>
      <c r="AY7" s="329"/>
      <c r="AZ7" s="331"/>
      <c r="BA7" s="329"/>
      <c r="BB7" s="331"/>
      <c r="BC7" s="329"/>
      <c r="BD7" s="331"/>
      <c r="BE7" s="329"/>
      <c r="BF7" s="331"/>
      <c r="BG7" s="329"/>
      <c r="BH7" s="331"/>
      <c r="BI7" s="329"/>
      <c r="BJ7" s="331"/>
      <c r="BK7" s="329"/>
      <c r="BL7" s="331"/>
      <c r="BM7" s="329"/>
      <c r="BN7" s="331"/>
      <c r="BO7" s="329"/>
    </row>
    <row r="8" spans="1:67" s="323" customFormat="1" ht="37.5">
      <c r="B8" s="532" t="s">
        <v>1124</v>
      </c>
      <c r="C8" s="447"/>
      <c r="D8" s="533" t="s">
        <v>2393</v>
      </c>
      <c r="E8" s="448"/>
      <c r="F8" s="555">
        <v>1</v>
      </c>
      <c r="G8" s="331">
        <f>F8</f>
        <v>1</v>
      </c>
      <c r="N8" s="522"/>
      <c r="P8" s="522"/>
      <c r="R8" s="522"/>
      <c r="T8" s="522"/>
      <c r="V8" s="522"/>
      <c r="X8" s="522"/>
      <c r="Z8" s="522"/>
      <c r="AB8" s="522"/>
      <c r="AD8" s="522"/>
      <c r="AF8" s="522"/>
      <c r="AH8" s="522"/>
      <c r="AJ8" s="522"/>
      <c r="AL8" s="522"/>
      <c r="AN8" s="522"/>
      <c r="AP8" s="522"/>
      <c r="AR8" s="522"/>
      <c r="AT8" s="522"/>
      <c r="AV8" s="522"/>
      <c r="AX8" s="522"/>
      <c r="AZ8" s="341"/>
      <c r="BB8" s="341"/>
      <c r="BD8" s="341"/>
      <c r="BF8" s="341"/>
      <c r="BH8" s="341"/>
      <c r="BJ8" s="341"/>
      <c r="BL8" s="341"/>
      <c r="BN8" s="341"/>
    </row>
    <row r="9" spans="1:67" s="323" customFormat="1" ht="37.5">
      <c r="B9" s="532" t="s">
        <v>1124</v>
      </c>
      <c r="C9" s="447"/>
      <c r="D9" s="533" t="s">
        <v>2394</v>
      </c>
      <c r="E9" s="589"/>
      <c r="F9" s="555">
        <v>1</v>
      </c>
      <c r="G9" s="331">
        <f>F9</f>
        <v>1</v>
      </c>
      <c r="N9" s="522"/>
      <c r="P9" s="522"/>
      <c r="R9" s="522"/>
      <c r="T9" s="522"/>
      <c r="V9" s="522"/>
      <c r="X9" s="522"/>
      <c r="Z9" s="522"/>
      <c r="AB9" s="522"/>
      <c r="AD9" s="522"/>
      <c r="AF9" s="522"/>
      <c r="AH9" s="522"/>
      <c r="AJ9" s="522"/>
      <c r="AL9" s="522"/>
      <c r="AN9" s="522"/>
      <c r="AP9" s="522"/>
      <c r="AR9" s="522"/>
      <c r="AT9" s="522"/>
      <c r="AV9" s="522"/>
      <c r="AX9" s="522"/>
      <c r="AZ9" s="341"/>
      <c r="BB9" s="341"/>
      <c r="BD9" s="341"/>
      <c r="BF9" s="341"/>
      <c r="BH9" s="341"/>
      <c r="BJ9" s="341"/>
      <c r="BL9" s="341"/>
      <c r="BN9" s="341"/>
    </row>
    <row r="10" spans="1:67" s="323" customFormat="1" ht="56.25">
      <c r="B10" s="532" t="s">
        <v>1124</v>
      </c>
      <c r="C10" s="447"/>
      <c r="D10" s="533" t="s">
        <v>2695</v>
      </c>
      <c r="E10" s="448"/>
      <c r="F10" s="323">
        <v>2</v>
      </c>
      <c r="G10" s="331">
        <f>IF(F10=2,0.5,0)</f>
        <v>0.5</v>
      </c>
      <c r="N10" s="522"/>
      <c r="P10" s="522"/>
      <c r="R10" s="522"/>
      <c r="T10" s="522"/>
      <c r="V10" s="522"/>
      <c r="X10" s="522"/>
      <c r="Z10" s="522"/>
      <c r="AB10" s="522"/>
      <c r="AD10" s="522"/>
      <c r="AF10" s="522"/>
      <c r="AH10" s="522"/>
      <c r="AJ10" s="522"/>
      <c r="AL10" s="522"/>
      <c r="AN10" s="522"/>
      <c r="AP10" s="522"/>
      <c r="AR10" s="522"/>
      <c r="AT10" s="522"/>
      <c r="AV10" s="522"/>
      <c r="AX10" s="522"/>
      <c r="AZ10" s="341"/>
      <c r="BB10" s="341"/>
      <c r="BD10" s="341"/>
      <c r="BF10" s="341"/>
      <c r="BH10" s="341"/>
      <c r="BJ10" s="341"/>
      <c r="BL10" s="341"/>
      <c r="BN10" s="341"/>
    </row>
    <row r="11" spans="1:67" s="323" customFormat="1" ht="56.25">
      <c r="A11" s="531">
        <v>1</v>
      </c>
      <c r="B11" s="532" t="s">
        <v>1124</v>
      </c>
      <c r="C11" s="447"/>
      <c r="D11" s="533" t="s">
        <v>2600</v>
      </c>
      <c r="E11" s="448"/>
      <c r="F11" s="323">
        <v>0</v>
      </c>
      <c r="G11" s="331">
        <f>IF(F11=0,0.5,0)</f>
        <v>0.5</v>
      </c>
      <c r="N11" s="522"/>
      <c r="P11" s="522"/>
      <c r="R11" s="522"/>
      <c r="T11" s="522"/>
      <c r="V11" s="522"/>
      <c r="X11" s="522"/>
      <c r="Z11" s="522"/>
      <c r="AB11" s="522"/>
      <c r="AD11" s="522"/>
      <c r="AF11" s="522"/>
      <c r="AH11" s="522"/>
      <c r="AJ11" s="522"/>
      <c r="AL11" s="522"/>
      <c r="AN11" s="522"/>
      <c r="AP11" s="522"/>
      <c r="AR11" s="522"/>
      <c r="AT11" s="522"/>
      <c r="AV11" s="522"/>
      <c r="AX11" s="522"/>
      <c r="AZ11" s="341"/>
      <c r="BB11" s="341"/>
      <c r="BD11" s="341"/>
      <c r="BF11" s="341"/>
      <c r="BH11" s="341"/>
      <c r="BJ11" s="341"/>
      <c r="BL11" s="341"/>
      <c r="BN11" s="341"/>
    </row>
    <row r="12" spans="1:67" s="323" customFormat="1">
      <c r="B12" s="532" t="s">
        <v>1124</v>
      </c>
      <c r="C12" s="447" t="s">
        <v>2248</v>
      </c>
      <c r="D12" s="533" t="s">
        <v>2395</v>
      </c>
      <c r="E12" s="589"/>
      <c r="F12" s="322">
        <v>1</v>
      </c>
      <c r="G12" s="331"/>
      <c r="N12" s="522"/>
      <c r="P12" s="522"/>
      <c r="R12" s="522"/>
      <c r="T12" s="522"/>
      <c r="V12" s="522"/>
      <c r="X12" s="522"/>
      <c r="Z12" s="522"/>
      <c r="AB12" s="522"/>
      <c r="AD12" s="522"/>
      <c r="AF12" s="522"/>
      <c r="AH12" s="522"/>
      <c r="AJ12" s="522"/>
      <c r="AL12" s="522"/>
      <c r="AN12" s="522"/>
      <c r="AP12" s="522"/>
      <c r="AR12" s="522"/>
      <c r="AT12" s="522"/>
      <c r="AV12" s="522"/>
      <c r="AX12" s="522"/>
      <c r="AZ12" s="341"/>
      <c r="BB12" s="341"/>
      <c r="BD12" s="341"/>
      <c r="BF12" s="341"/>
      <c r="BH12" s="341"/>
      <c r="BJ12" s="341"/>
      <c r="BL12" s="341"/>
      <c r="BN12" s="341"/>
    </row>
    <row r="13" spans="1:67" s="323" customFormat="1">
      <c r="B13" s="532" t="s">
        <v>1124</v>
      </c>
      <c r="C13" s="447"/>
      <c r="D13" s="533" t="s">
        <v>2396</v>
      </c>
      <c r="E13" s="589"/>
      <c r="F13" s="555">
        <v>0</v>
      </c>
      <c r="G13" s="331">
        <f>IF(F13=0,1,0)</f>
        <v>1</v>
      </c>
      <c r="N13" s="522"/>
      <c r="P13" s="522"/>
      <c r="R13" s="522"/>
      <c r="T13" s="522"/>
      <c r="V13" s="522"/>
      <c r="X13" s="522"/>
      <c r="Z13" s="522"/>
      <c r="AB13" s="522"/>
      <c r="AD13" s="522"/>
      <c r="AF13" s="522"/>
      <c r="AH13" s="522"/>
      <c r="AJ13" s="522"/>
      <c r="AL13" s="522"/>
      <c r="AN13" s="522"/>
      <c r="AP13" s="522"/>
      <c r="AR13" s="522"/>
      <c r="AT13" s="522"/>
      <c r="AV13" s="522"/>
      <c r="AX13" s="522"/>
      <c r="AZ13" s="341"/>
      <c r="BB13" s="341"/>
      <c r="BD13" s="341"/>
      <c r="BF13" s="341"/>
      <c r="BH13" s="341"/>
      <c r="BJ13" s="341"/>
      <c r="BL13" s="341"/>
      <c r="BN13" s="341"/>
    </row>
    <row r="14" spans="1:67" s="323" customFormat="1">
      <c r="B14" s="532" t="s">
        <v>1124</v>
      </c>
      <c r="C14" s="447" t="s">
        <v>2245</v>
      </c>
      <c r="D14" s="533" t="s">
        <v>2397</v>
      </c>
      <c r="E14" s="589"/>
      <c r="F14" s="555">
        <v>1</v>
      </c>
      <c r="G14" s="331">
        <f t="shared" ref="G14:G15" si="3">F14</f>
        <v>1</v>
      </c>
      <c r="N14" s="522"/>
      <c r="P14" s="522"/>
      <c r="R14" s="522"/>
      <c r="T14" s="522"/>
      <c r="V14" s="522"/>
      <c r="X14" s="522"/>
      <c r="Z14" s="522"/>
      <c r="AB14" s="522"/>
      <c r="AD14" s="522"/>
      <c r="AF14" s="522"/>
      <c r="AH14" s="522"/>
      <c r="AJ14" s="522"/>
      <c r="AL14" s="522"/>
      <c r="AN14" s="522"/>
      <c r="AP14" s="522"/>
      <c r="AR14" s="522"/>
      <c r="AT14" s="522"/>
      <c r="AV14" s="522"/>
      <c r="AX14" s="522"/>
      <c r="AZ14" s="341"/>
      <c r="BB14" s="341"/>
      <c r="BD14" s="341"/>
      <c r="BF14" s="341"/>
      <c r="BH14" s="341"/>
      <c r="BJ14" s="341"/>
      <c r="BL14" s="341"/>
      <c r="BN14" s="341"/>
    </row>
    <row r="15" spans="1:67" s="323" customFormat="1" ht="37.5">
      <c r="B15" s="532" t="s">
        <v>1124</v>
      </c>
      <c r="C15" s="447" t="s">
        <v>2249</v>
      </c>
      <c r="D15" s="533" t="s">
        <v>2398</v>
      </c>
      <c r="E15" s="589"/>
      <c r="F15" s="555">
        <v>1</v>
      </c>
      <c r="G15" s="331">
        <f t="shared" si="3"/>
        <v>1</v>
      </c>
      <c r="N15" s="522"/>
      <c r="P15" s="522"/>
      <c r="R15" s="522"/>
      <c r="T15" s="522"/>
      <c r="V15" s="522"/>
      <c r="X15" s="522"/>
      <c r="Z15" s="522"/>
      <c r="AB15" s="522"/>
      <c r="AD15" s="522"/>
      <c r="AF15" s="522"/>
      <c r="AH15" s="522"/>
      <c r="AJ15" s="522"/>
      <c r="AL15" s="522"/>
      <c r="AN15" s="522"/>
      <c r="AP15" s="522"/>
      <c r="AR15" s="522"/>
      <c r="AT15" s="522"/>
      <c r="AV15" s="522"/>
      <c r="AX15" s="522"/>
      <c r="AZ15" s="341"/>
      <c r="BB15" s="341"/>
      <c r="BD15" s="341"/>
      <c r="BF15" s="341"/>
      <c r="BH15" s="341"/>
      <c r="BJ15" s="341"/>
      <c r="BL15" s="341"/>
      <c r="BN15" s="341"/>
    </row>
    <row r="16" spans="1:67" ht="56.25">
      <c r="B16" s="532" t="s">
        <v>1124</v>
      </c>
      <c r="C16" s="447" t="s">
        <v>2246</v>
      </c>
      <c r="D16" s="835" t="s">
        <v>2399</v>
      </c>
      <c r="F16" s="555">
        <v>0</v>
      </c>
      <c r="G16" s="331">
        <f>IF(F16=0,1,0)</f>
        <v>1</v>
      </c>
    </row>
    <row r="17" spans="1:67" s="323" customFormat="1" ht="37.5">
      <c r="B17" s="532" t="s">
        <v>1124</v>
      </c>
      <c r="C17" s="447" t="s">
        <v>2247</v>
      </c>
      <c r="D17" s="533" t="s">
        <v>2619</v>
      </c>
      <c r="E17" s="448"/>
      <c r="F17" s="322">
        <v>0</v>
      </c>
      <c r="G17" s="341">
        <f>IF(F17=0,0.5,0)</f>
        <v>0.5</v>
      </c>
      <c r="N17" s="522"/>
      <c r="P17" s="522"/>
      <c r="R17" s="522"/>
      <c r="T17" s="522"/>
      <c r="V17" s="522"/>
      <c r="X17" s="522"/>
      <c r="Z17" s="522"/>
      <c r="AB17" s="522"/>
      <c r="AD17" s="522"/>
      <c r="AF17" s="522"/>
      <c r="AH17" s="522"/>
      <c r="AJ17" s="522"/>
      <c r="AL17" s="522"/>
      <c r="AN17" s="522"/>
      <c r="AP17" s="522"/>
      <c r="AR17" s="522"/>
      <c r="AT17" s="522"/>
      <c r="AV17" s="522"/>
      <c r="AX17" s="522"/>
      <c r="AZ17" s="341"/>
      <c r="BB17" s="341"/>
      <c r="BD17" s="341"/>
      <c r="BF17" s="341"/>
      <c r="BH17" s="341"/>
      <c r="BJ17" s="341"/>
      <c r="BL17" s="341"/>
      <c r="BN17" s="341"/>
    </row>
    <row r="18" spans="1:67" s="323" customFormat="1" ht="37.5">
      <c r="A18" s="531">
        <v>1</v>
      </c>
      <c r="B18" s="532" t="s">
        <v>1124</v>
      </c>
      <c r="C18" s="447"/>
      <c r="D18" s="699" t="s">
        <v>2400</v>
      </c>
      <c r="E18" s="589"/>
      <c r="F18" s="555">
        <v>1</v>
      </c>
      <c r="G18" s="331">
        <f t="shared" ref="G18:G19" si="4">F18</f>
        <v>1</v>
      </c>
      <c r="J18" s="889" t="s">
        <v>2730</v>
      </c>
      <c r="K18" s="890">
        <f>1-(G16+G18+F337+F338+F340)/5</f>
        <v>0</v>
      </c>
      <c r="N18" s="522"/>
      <c r="P18" s="522"/>
      <c r="R18" s="522"/>
      <c r="T18" s="522"/>
      <c r="V18" s="522"/>
      <c r="X18" s="522"/>
      <c r="Z18" s="522"/>
      <c r="AB18" s="522"/>
      <c r="AD18" s="522"/>
      <c r="AF18" s="522"/>
      <c r="AH18" s="522"/>
      <c r="AJ18" s="522"/>
      <c r="AL18" s="522"/>
      <c r="AN18" s="522"/>
      <c r="AP18" s="522"/>
      <c r="AR18" s="522"/>
      <c r="AT18" s="522"/>
      <c r="AV18" s="522"/>
      <c r="AX18" s="522"/>
      <c r="AZ18" s="341"/>
      <c r="BB18" s="341"/>
      <c r="BD18" s="341"/>
      <c r="BF18" s="341"/>
      <c r="BH18" s="341"/>
      <c r="BJ18" s="341"/>
      <c r="BL18" s="341"/>
      <c r="BN18" s="341"/>
    </row>
    <row r="19" spans="1:67" s="327" customFormat="1" ht="37.5">
      <c r="B19" s="532" t="s">
        <v>1124</v>
      </c>
      <c r="C19" s="447"/>
      <c r="D19" s="852" t="s">
        <v>2401</v>
      </c>
      <c r="E19" s="448"/>
      <c r="F19" s="555">
        <v>1</v>
      </c>
      <c r="G19" s="331">
        <f t="shared" si="4"/>
        <v>1</v>
      </c>
      <c r="H19" s="323"/>
      <c r="I19" s="323"/>
      <c r="J19" s="341" t="s">
        <v>1161</v>
      </c>
      <c r="K19" s="369">
        <f>1-((G8+G9+G10+G11+G13+G13+G14+G15+G17+G19))/8.5</f>
        <v>0</v>
      </c>
      <c r="N19" s="522"/>
      <c r="O19" s="323"/>
      <c r="P19" s="522"/>
      <c r="Q19" s="323"/>
      <c r="R19" s="522"/>
      <c r="S19" s="323"/>
      <c r="T19" s="522"/>
      <c r="U19" s="323"/>
      <c r="V19" s="522"/>
      <c r="W19" s="323"/>
      <c r="X19" s="522"/>
      <c r="Y19" s="323"/>
      <c r="Z19" s="522"/>
      <c r="AA19" s="323"/>
      <c r="AB19" s="522"/>
      <c r="AC19" s="323"/>
      <c r="AD19" s="522"/>
      <c r="AE19" s="323"/>
      <c r="AF19" s="522"/>
      <c r="AG19" s="323"/>
      <c r="AH19" s="522"/>
      <c r="AI19" s="323"/>
      <c r="AJ19" s="522"/>
      <c r="AK19" s="323"/>
      <c r="AL19" s="522"/>
      <c r="AM19" s="323"/>
      <c r="AN19" s="522"/>
      <c r="AO19" s="323"/>
      <c r="AP19" s="522"/>
      <c r="AQ19" s="323"/>
      <c r="AR19" s="522"/>
      <c r="AS19" s="323"/>
      <c r="AT19" s="522"/>
      <c r="AU19" s="323"/>
      <c r="AV19" s="522"/>
      <c r="AW19" s="323"/>
      <c r="AX19" s="522"/>
      <c r="AY19" s="323"/>
      <c r="AZ19" s="341"/>
      <c r="BA19" s="323"/>
      <c r="BB19" s="341"/>
      <c r="BC19" s="323"/>
      <c r="BD19" s="341"/>
      <c r="BE19" s="323"/>
      <c r="BF19" s="341"/>
      <c r="BG19" s="323"/>
      <c r="BH19" s="341"/>
      <c r="BI19" s="323"/>
      <c r="BJ19" s="341"/>
      <c r="BK19" s="323"/>
      <c r="BL19" s="341"/>
      <c r="BM19" s="323"/>
      <c r="BN19" s="341"/>
      <c r="BO19" s="323"/>
    </row>
    <row r="20" spans="1:67" s="556" customFormat="1">
      <c r="C20" s="557"/>
      <c r="D20" s="861"/>
      <c r="E20" s="448"/>
      <c r="M20" s="557" t="s">
        <v>1192</v>
      </c>
      <c r="N20" s="522"/>
      <c r="P20" s="522"/>
      <c r="R20" s="522"/>
      <c r="T20" s="522"/>
      <c r="V20" s="522"/>
      <c r="X20" s="522"/>
      <c r="Z20" s="522"/>
      <c r="AB20" s="522"/>
      <c r="AD20" s="522"/>
      <c r="AF20" s="522"/>
      <c r="AH20" s="522"/>
      <c r="AJ20" s="522"/>
      <c r="AL20" s="522"/>
      <c r="AN20" s="522"/>
      <c r="AP20" s="522"/>
      <c r="AR20" s="522"/>
      <c r="AT20" s="522"/>
      <c r="AV20" s="522"/>
      <c r="AX20" s="522"/>
      <c r="AZ20" s="341"/>
      <c r="BB20" s="341"/>
      <c r="BD20" s="341"/>
      <c r="BF20" s="341"/>
      <c r="BH20" s="341"/>
      <c r="BJ20" s="341"/>
      <c r="BL20" s="341"/>
      <c r="BM20" s="323"/>
      <c r="BN20" s="341"/>
      <c r="BO20" s="323"/>
    </row>
    <row r="21" spans="1:67" s="323" customFormat="1">
      <c r="A21" s="531">
        <v>1</v>
      </c>
      <c r="B21" s="534" t="s">
        <v>1041</v>
      </c>
      <c r="C21" s="447" t="s">
        <v>2278</v>
      </c>
      <c r="D21" s="535" t="s">
        <v>2402</v>
      </c>
      <c r="E21" s="589"/>
      <c r="F21" s="555">
        <v>0</v>
      </c>
      <c r="G21" s="331">
        <f t="shared" ref="G21:G50" si="5">F21</f>
        <v>0</v>
      </c>
      <c r="H21" s="329">
        <f>IF(F21=1,1.2,0.9)</f>
        <v>0.9</v>
      </c>
      <c r="N21" s="522"/>
      <c r="P21" s="522"/>
      <c r="R21" s="522"/>
      <c r="T21" s="522"/>
      <c r="V21" s="522"/>
      <c r="X21" s="522"/>
      <c r="Z21" s="522"/>
      <c r="AB21" s="522"/>
      <c r="AD21" s="522"/>
      <c r="AF21" s="522"/>
      <c r="AH21" s="522"/>
      <c r="AJ21" s="522"/>
      <c r="AL21" s="522"/>
      <c r="AN21" s="522"/>
      <c r="AP21" s="522"/>
      <c r="AR21" s="522"/>
      <c r="AT21" s="522"/>
      <c r="AV21" s="522"/>
      <c r="AX21" s="522"/>
      <c r="AZ21" s="341"/>
      <c r="BB21" s="341"/>
      <c r="BD21" s="341"/>
      <c r="BF21" s="341"/>
      <c r="BH21" s="341"/>
      <c r="BJ21" s="341"/>
      <c r="BL21" s="341"/>
      <c r="BN21" s="341"/>
    </row>
    <row r="22" spans="1:67">
      <c r="A22" s="531">
        <v>1</v>
      </c>
      <c r="B22" s="534" t="s">
        <v>1041</v>
      </c>
      <c r="D22" s="535" t="s">
        <v>2403</v>
      </c>
      <c r="E22" s="448" t="s">
        <v>1498</v>
      </c>
      <c r="F22" s="555">
        <v>0</v>
      </c>
      <c r="G22" s="331">
        <f t="shared" si="5"/>
        <v>0</v>
      </c>
      <c r="H22" s="329">
        <f>IF(F22=1,1.2,0.9)</f>
        <v>0.9</v>
      </c>
      <c r="I22" s="329">
        <f>F22</f>
        <v>0</v>
      </c>
      <c r="K22" s="338"/>
      <c r="L22" s="323"/>
      <c r="M22" s="323"/>
      <c r="N22" s="522"/>
      <c r="O22" s="323"/>
      <c r="P22" s="522"/>
      <c r="Q22" s="323"/>
      <c r="R22" s="522"/>
      <c r="S22" s="323"/>
      <c r="T22" s="522"/>
      <c r="U22" s="323"/>
      <c r="V22" s="522"/>
      <c r="W22" s="323"/>
      <c r="X22" s="522"/>
      <c r="Y22" s="323"/>
      <c r="Z22" s="522"/>
      <c r="AA22" s="323"/>
      <c r="AB22" s="522"/>
      <c r="AC22" s="323"/>
      <c r="AD22" s="522"/>
      <c r="AE22" s="323"/>
      <c r="AF22" s="522"/>
      <c r="AZ22" s="331">
        <f>$H22</f>
        <v>0.9</v>
      </c>
      <c r="BA22" s="329">
        <f>$H22</f>
        <v>0.9</v>
      </c>
      <c r="BB22" s="331">
        <f t="shared" ref="BB22:BL22" si="6">$H22</f>
        <v>0.9</v>
      </c>
      <c r="BC22" s="329">
        <f t="shared" si="6"/>
        <v>0.9</v>
      </c>
      <c r="BD22" s="331">
        <f t="shared" si="6"/>
        <v>0.9</v>
      </c>
      <c r="BE22" s="329">
        <f t="shared" si="6"/>
        <v>0.9</v>
      </c>
      <c r="BF22" s="331">
        <f t="shared" si="6"/>
        <v>0.9</v>
      </c>
      <c r="BG22" s="329">
        <f t="shared" si="6"/>
        <v>0.9</v>
      </c>
      <c r="BH22" s="331">
        <f t="shared" si="6"/>
        <v>0.9</v>
      </c>
      <c r="BI22" s="329">
        <f t="shared" si="6"/>
        <v>0.9</v>
      </c>
      <c r="BJ22" s="331">
        <f t="shared" si="6"/>
        <v>0.9</v>
      </c>
      <c r="BK22" s="329">
        <f t="shared" si="6"/>
        <v>0.9</v>
      </c>
      <c r="BL22" s="331">
        <f t="shared" si="6"/>
        <v>0.9</v>
      </c>
    </row>
    <row r="23" spans="1:67" s="333" customFormat="1">
      <c r="A23" s="531">
        <v>1</v>
      </c>
      <c r="B23" s="534" t="s">
        <v>1041</v>
      </c>
      <c r="C23" s="447" t="s">
        <v>2250</v>
      </c>
      <c r="D23" s="540" t="s">
        <v>2404</v>
      </c>
      <c r="E23" s="448" t="s">
        <v>1499</v>
      </c>
      <c r="F23" s="555">
        <v>0</v>
      </c>
      <c r="G23" s="331">
        <f t="shared" si="5"/>
        <v>0</v>
      </c>
      <c r="H23" s="329">
        <f t="shared" ref="H23:H51" si="7">IF(F23=1,1.2,0.9)</f>
        <v>0.9</v>
      </c>
      <c r="I23" s="329">
        <f t="shared" ref="I23:I51" si="8">F23</f>
        <v>0</v>
      </c>
      <c r="N23" s="368"/>
      <c r="O23" s="338"/>
      <c r="P23" s="368"/>
      <c r="Q23" s="338"/>
      <c r="R23" s="368"/>
      <c r="S23" s="338"/>
      <c r="T23" s="521"/>
      <c r="U23" s="329"/>
      <c r="V23" s="521"/>
      <c r="W23" s="329"/>
      <c r="X23" s="521"/>
      <c r="Y23" s="329"/>
      <c r="Z23" s="368"/>
      <c r="AA23" s="329"/>
      <c r="AB23" s="521"/>
      <c r="AC23" s="329"/>
      <c r="AD23" s="521"/>
      <c r="AE23" s="338"/>
      <c r="AF23" s="368"/>
      <c r="AG23" s="329"/>
      <c r="AH23" s="368"/>
      <c r="AI23" s="329"/>
      <c r="AJ23" s="521"/>
      <c r="AK23" s="338"/>
      <c r="AL23" s="521"/>
      <c r="AM23" s="329"/>
      <c r="AN23" s="521"/>
      <c r="AO23" s="329"/>
      <c r="AP23" s="368"/>
      <c r="AQ23" s="329"/>
      <c r="AR23" s="521"/>
      <c r="AS23" s="338"/>
      <c r="AT23" s="368"/>
      <c r="AU23" s="329"/>
      <c r="AV23" s="521"/>
      <c r="AW23" s="338"/>
      <c r="AX23" s="521"/>
      <c r="AY23" s="329"/>
      <c r="AZ23" s="331"/>
      <c r="BA23" s="329"/>
      <c r="BB23" s="331"/>
      <c r="BC23" s="329"/>
      <c r="BD23" s="331"/>
      <c r="BE23" s="329"/>
      <c r="BF23" s="331"/>
      <c r="BG23" s="329"/>
      <c r="BH23" s="331"/>
      <c r="BI23" s="329"/>
      <c r="BJ23" s="331"/>
      <c r="BK23" s="338"/>
      <c r="BL23" s="331"/>
      <c r="BM23" s="329"/>
      <c r="BN23" s="331"/>
      <c r="BO23" s="329"/>
    </row>
    <row r="24" spans="1:67">
      <c r="A24" s="531">
        <v>1</v>
      </c>
      <c r="B24" s="534" t="s">
        <v>1041</v>
      </c>
      <c r="C24" s="447" t="s">
        <v>2252</v>
      </c>
      <c r="D24" s="540" t="s">
        <v>2405</v>
      </c>
      <c r="E24" s="448" t="s">
        <v>1500</v>
      </c>
      <c r="F24" s="555">
        <v>0</v>
      </c>
      <c r="G24" s="331">
        <f t="shared" si="5"/>
        <v>0</v>
      </c>
      <c r="H24" s="329">
        <f t="shared" si="7"/>
        <v>0.9</v>
      </c>
      <c r="I24" s="329">
        <f t="shared" si="8"/>
        <v>0</v>
      </c>
      <c r="K24" s="149"/>
      <c r="AD24" s="538"/>
      <c r="AG24" s="149"/>
      <c r="BA24" s="521"/>
      <c r="BB24" s="579"/>
    </row>
    <row r="25" spans="1:67">
      <c r="A25" s="531">
        <v>1</v>
      </c>
      <c r="B25" s="534" t="s">
        <v>1041</v>
      </c>
      <c r="C25" s="447" t="s">
        <v>2252</v>
      </c>
      <c r="D25" s="540" t="s">
        <v>2406</v>
      </c>
      <c r="E25" s="448" t="s">
        <v>1501</v>
      </c>
      <c r="F25" s="555">
        <v>0</v>
      </c>
      <c r="G25" s="331">
        <f t="shared" si="5"/>
        <v>0</v>
      </c>
      <c r="H25" s="329">
        <f t="shared" si="7"/>
        <v>0.9</v>
      </c>
      <c r="I25" s="329">
        <f t="shared" si="8"/>
        <v>0</v>
      </c>
      <c r="K25" s="149"/>
      <c r="AD25" s="538"/>
      <c r="AG25" s="149"/>
      <c r="BA25" s="539"/>
      <c r="BB25" s="579"/>
    </row>
    <row r="26" spans="1:67">
      <c r="A26" s="531">
        <v>1</v>
      </c>
      <c r="B26" s="534" t="s">
        <v>1041</v>
      </c>
      <c r="C26" s="447" t="s">
        <v>2252</v>
      </c>
      <c r="D26" s="540" t="s">
        <v>2407</v>
      </c>
      <c r="E26" s="448" t="s">
        <v>1502</v>
      </c>
      <c r="F26" s="555">
        <v>0</v>
      </c>
      <c r="G26" s="331">
        <f t="shared" si="5"/>
        <v>0</v>
      </c>
      <c r="H26" s="329">
        <f t="shared" si="7"/>
        <v>0.9</v>
      </c>
      <c r="I26" s="329">
        <f t="shared" si="8"/>
        <v>0</v>
      </c>
      <c r="K26" s="149"/>
      <c r="AD26" s="538"/>
      <c r="AG26" s="149"/>
      <c r="BA26" s="539"/>
      <c r="BB26" s="579"/>
      <c r="BI26" s="329">
        <f>$H26</f>
        <v>0.9</v>
      </c>
      <c r="BL26" s="329">
        <f>$H26</f>
        <v>0.9</v>
      </c>
    </row>
    <row r="27" spans="1:67">
      <c r="A27" s="531">
        <v>1</v>
      </c>
      <c r="B27" s="534" t="s">
        <v>1041</v>
      </c>
      <c r="C27" s="447" t="s">
        <v>2252</v>
      </c>
      <c r="D27" s="540" t="s">
        <v>2408</v>
      </c>
      <c r="E27" s="448" t="s">
        <v>1504</v>
      </c>
      <c r="F27" s="555">
        <v>0</v>
      </c>
      <c r="G27" s="331">
        <f t="shared" si="5"/>
        <v>0</v>
      </c>
      <c r="H27" s="329">
        <f t="shared" si="7"/>
        <v>0.9</v>
      </c>
      <c r="I27" s="329">
        <f t="shared" si="8"/>
        <v>0</v>
      </c>
      <c r="K27" s="149"/>
      <c r="AD27" s="538"/>
      <c r="AG27" s="149"/>
      <c r="AZ27" s="331">
        <f>$H27</f>
        <v>0.9</v>
      </c>
      <c r="BA27" s="539"/>
      <c r="BB27" s="579"/>
    </row>
    <row r="28" spans="1:67">
      <c r="A28" s="531">
        <v>1</v>
      </c>
      <c r="B28" s="534" t="s">
        <v>1041</v>
      </c>
      <c r="C28" s="447" t="s">
        <v>2251</v>
      </c>
      <c r="D28" s="540" t="s">
        <v>2409</v>
      </c>
      <c r="F28" s="555">
        <v>0</v>
      </c>
      <c r="G28" s="331">
        <f t="shared" si="5"/>
        <v>0</v>
      </c>
      <c r="H28" s="329">
        <f t="shared" si="7"/>
        <v>0.9</v>
      </c>
      <c r="I28" s="329">
        <f t="shared" si="8"/>
        <v>0</v>
      </c>
      <c r="K28" s="149"/>
      <c r="AD28" s="538"/>
      <c r="AG28" s="149"/>
      <c r="AZ28" s="331">
        <f>$H28</f>
        <v>0.9</v>
      </c>
      <c r="BA28" s="539"/>
    </row>
    <row r="29" spans="1:67">
      <c r="A29" s="531">
        <v>1</v>
      </c>
      <c r="B29" s="534" t="s">
        <v>1041</v>
      </c>
      <c r="C29" s="447" t="s">
        <v>2252</v>
      </c>
      <c r="D29" s="540" t="s">
        <v>2410</v>
      </c>
      <c r="F29" s="555">
        <v>0</v>
      </c>
      <c r="G29" s="331">
        <f t="shared" si="5"/>
        <v>0</v>
      </c>
      <c r="H29" s="329">
        <f t="shared" si="7"/>
        <v>0.9</v>
      </c>
      <c r="I29" s="329">
        <f t="shared" si="8"/>
        <v>0</v>
      </c>
      <c r="K29" s="149"/>
      <c r="AD29" s="538"/>
      <c r="AG29" s="149"/>
      <c r="BA29" s="329">
        <f>$H29</f>
        <v>0.9</v>
      </c>
      <c r="BB29" s="579"/>
      <c r="BK29" s="521"/>
    </row>
    <row r="30" spans="1:67">
      <c r="A30" s="531">
        <v>1</v>
      </c>
      <c r="B30" s="534" t="s">
        <v>1041</v>
      </c>
      <c r="C30" s="447" t="s">
        <v>2252</v>
      </c>
      <c r="D30" s="540" t="s">
        <v>2411</v>
      </c>
      <c r="F30" s="555">
        <v>0</v>
      </c>
      <c r="G30" s="331">
        <f t="shared" si="5"/>
        <v>0</v>
      </c>
      <c r="H30" s="329">
        <f t="shared" si="7"/>
        <v>0.9</v>
      </c>
      <c r="I30" s="329">
        <f t="shared" si="8"/>
        <v>0</v>
      </c>
      <c r="K30" s="149"/>
      <c r="AB30" s="541"/>
      <c r="AD30" s="538"/>
      <c r="AG30" s="149"/>
      <c r="BA30" s="539"/>
    </row>
    <row r="31" spans="1:67">
      <c r="A31" s="531">
        <v>1</v>
      </c>
      <c r="B31" s="534" t="s">
        <v>1041</v>
      </c>
      <c r="C31" s="447" t="s">
        <v>2252</v>
      </c>
      <c r="D31" s="540" t="s">
        <v>2412</v>
      </c>
      <c r="E31" s="448" t="s">
        <v>1503</v>
      </c>
      <c r="F31" s="555">
        <v>0</v>
      </c>
      <c r="G31" s="331">
        <f t="shared" si="5"/>
        <v>0</v>
      </c>
      <c r="H31" s="329">
        <f t="shared" si="7"/>
        <v>0.9</v>
      </c>
      <c r="I31" s="329">
        <f t="shared" si="8"/>
        <v>0</v>
      </c>
      <c r="BI31" s="521"/>
    </row>
    <row r="32" spans="1:67">
      <c r="A32" s="531">
        <v>1</v>
      </c>
      <c r="B32" s="534" t="s">
        <v>1041</v>
      </c>
      <c r="C32" s="447" t="s">
        <v>2252</v>
      </c>
      <c r="D32" s="540" t="s">
        <v>2413</v>
      </c>
      <c r="E32" s="448" t="s">
        <v>1505</v>
      </c>
      <c r="F32" s="555">
        <v>0</v>
      </c>
      <c r="G32" s="331">
        <f t="shared" si="5"/>
        <v>0</v>
      </c>
      <c r="H32" s="329">
        <f t="shared" si="7"/>
        <v>0.9</v>
      </c>
      <c r="I32" s="329">
        <f t="shared" si="8"/>
        <v>0</v>
      </c>
    </row>
    <row r="33" spans="1:54">
      <c r="A33" s="531">
        <v>1</v>
      </c>
      <c r="B33" s="534" t="s">
        <v>1041</v>
      </c>
      <c r="D33" s="535" t="s">
        <v>2414</v>
      </c>
      <c r="E33" s="448" t="s">
        <v>1506</v>
      </c>
      <c r="F33" s="555">
        <v>0</v>
      </c>
      <c r="G33" s="331">
        <f t="shared" si="5"/>
        <v>0</v>
      </c>
      <c r="H33" s="329">
        <f t="shared" si="7"/>
        <v>0.9</v>
      </c>
      <c r="I33" s="329">
        <f t="shared" si="8"/>
        <v>0</v>
      </c>
      <c r="AE33" s="521"/>
      <c r="AF33" s="521">
        <f>$H33</f>
        <v>0.9</v>
      </c>
      <c r="AK33" s="329">
        <f>$H33</f>
        <v>0.9</v>
      </c>
    </row>
    <row r="34" spans="1:54">
      <c r="A34" s="531">
        <v>1</v>
      </c>
      <c r="B34" s="534" t="s">
        <v>1041</v>
      </c>
      <c r="D34" s="535" t="s">
        <v>2415</v>
      </c>
      <c r="E34" s="448" t="s">
        <v>1507</v>
      </c>
      <c r="F34" s="555">
        <v>0</v>
      </c>
      <c r="G34" s="331">
        <f t="shared" si="5"/>
        <v>0</v>
      </c>
      <c r="H34" s="329">
        <f t="shared" si="7"/>
        <v>0.9</v>
      </c>
      <c r="I34" s="329">
        <f t="shared" si="8"/>
        <v>0</v>
      </c>
    </row>
    <row r="35" spans="1:54">
      <c r="A35" s="531">
        <v>1</v>
      </c>
      <c r="B35" s="534" t="s">
        <v>1041</v>
      </c>
      <c r="D35" s="535" t="s">
        <v>2416</v>
      </c>
      <c r="F35" s="555">
        <v>0</v>
      </c>
      <c r="G35" s="331">
        <f t="shared" si="5"/>
        <v>0</v>
      </c>
      <c r="H35" s="329">
        <f t="shared" si="7"/>
        <v>0.9</v>
      </c>
      <c r="I35" s="329">
        <f t="shared" si="8"/>
        <v>0</v>
      </c>
      <c r="BB35" s="331">
        <f>$H35</f>
        <v>0.9</v>
      </c>
    </row>
    <row r="36" spans="1:54">
      <c r="A36" s="531">
        <v>1</v>
      </c>
      <c r="B36" s="534" t="s">
        <v>1041</v>
      </c>
      <c r="D36" s="658" t="s">
        <v>2417</v>
      </c>
      <c r="E36" s="448" t="s">
        <v>1508</v>
      </c>
      <c r="F36" s="555">
        <v>0</v>
      </c>
      <c r="G36" s="331">
        <f t="shared" si="5"/>
        <v>0</v>
      </c>
      <c r="H36" s="329">
        <f t="shared" si="7"/>
        <v>0.9</v>
      </c>
      <c r="I36" s="329">
        <f t="shared" si="8"/>
        <v>0</v>
      </c>
      <c r="AK36" s="521"/>
    </row>
    <row r="37" spans="1:54">
      <c r="A37" s="531">
        <v>1</v>
      </c>
      <c r="B37" s="534" t="s">
        <v>1041</v>
      </c>
      <c r="D37" s="535" t="s">
        <v>2418</v>
      </c>
      <c r="F37" s="555">
        <v>0</v>
      </c>
      <c r="G37" s="331">
        <f t="shared" si="5"/>
        <v>0</v>
      </c>
      <c r="H37" s="329">
        <f t="shared" si="7"/>
        <v>0.9</v>
      </c>
      <c r="I37" s="329">
        <f t="shared" si="8"/>
        <v>0</v>
      </c>
    </row>
    <row r="38" spans="1:54">
      <c r="A38" s="531">
        <v>1</v>
      </c>
      <c r="B38" s="534" t="s">
        <v>1041</v>
      </c>
      <c r="D38" s="535" t="s">
        <v>2419</v>
      </c>
      <c r="E38" s="448" t="s">
        <v>1509</v>
      </c>
      <c r="F38" s="555">
        <v>0</v>
      </c>
      <c r="G38" s="331">
        <f t="shared" si="5"/>
        <v>0</v>
      </c>
      <c r="H38" s="329">
        <f t="shared" si="7"/>
        <v>0.9</v>
      </c>
      <c r="I38" s="329">
        <f t="shared" si="8"/>
        <v>0</v>
      </c>
      <c r="S38" s="521">
        <f>IF($G38=1,1.5,0.8)</f>
        <v>0.8</v>
      </c>
    </row>
    <row r="39" spans="1:54" ht="37.5">
      <c r="A39" s="531">
        <v>1</v>
      </c>
      <c r="B39" s="534" t="s">
        <v>1041</v>
      </c>
      <c r="D39" s="535" t="s">
        <v>2420</v>
      </c>
      <c r="E39" s="448" t="s">
        <v>1510</v>
      </c>
      <c r="F39" s="555">
        <v>0</v>
      </c>
      <c r="G39" s="331">
        <f t="shared" si="5"/>
        <v>0</v>
      </c>
      <c r="H39" s="329">
        <f t="shared" si="7"/>
        <v>0.9</v>
      </c>
      <c r="I39" s="329">
        <f t="shared" si="8"/>
        <v>0</v>
      </c>
      <c r="AH39" s="521">
        <f>IF($G39=1,1.5,0.8)</f>
        <v>0.8</v>
      </c>
    </row>
    <row r="40" spans="1:54" ht="37.5">
      <c r="A40" s="531">
        <v>1</v>
      </c>
      <c r="B40" s="534" t="s">
        <v>1041</v>
      </c>
      <c r="D40" s="535" t="s">
        <v>2421</v>
      </c>
      <c r="F40" s="555">
        <v>0</v>
      </c>
      <c r="G40" s="331">
        <f t="shared" si="5"/>
        <v>0</v>
      </c>
      <c r="H40" s="329">
        <f t="shared" si="7"/>
        <v>0.9</v>
      </c>
      <c r="I40" s="329">
        <f t="shared" si="8"/>
        <v>0</v>
      </c>
      <c r="S40" s="521">
        <f>$H40</f>
        <v>0.9</v>
      </c>
      <c r="BA40" s="329">
        <f>$H40</f>
        <v>0.9</v>
      </c>
    </row>
    <row r="41" spans="1:54">
      <c r="A41" s="531">
        <v>1</v>
      </c>
      <c r="B41" s="534" t="s">
        <v>1041</v>
      </c>
      <c r="D41" s="535" t="s">
        <v>2422</v>
      </c>
      <c r="F41" s="555">
        <v>0</v>
      </c>
      <c r="G41" s="331">
        <f t="shared" si="5"/>
        <v>0</v>
      </c>
      <c r="H41" s="329">
        <f t="shared" si="7"/>
        <v>0.9</v>
      </c>
      <c r="I41" s="329">
        <f t="shared" si="8"/>
        <v>0</v>
      </c>
    </row>
    <row r="42" spans="1:54">
      <c r="A42" s="531">
        <v>1</v>
      </c>
      <c r="B42" s="534" t="s">
        <v>1041</v>
      </c>
      <c r="D42" s="535" t="s">
        <v>2390</v>
      </c>
      <c r="F42" s="555">
        <v>0</v>
      </c>
      <c r="G42" s="331">
        <f t="shared" si="5"/>
        <v>0</v>
      </c>
      <c r="H42" s="329">
        <f t="shared" si="7"/>
        <v>0.9</v>
      </c>
      <c r="I42" s="329">
        <f t="shared" si="8"/>
        <v>0</v>
      </c>
      <c r="AS42" s="521"/>
      <c r="AT42" s="521">
        <f>$H42</f>
        <v>0.9</v>
      </c>
    </row>
    <row r="43" spans="1:54" ht="37.5">
      <c r="A43" s="531">
        <v>1</v>
      </c>
      <c r="B43" s="534" t="s">
        <v>1041</v>
      </c>
      <c r="D43" s="535" t="s">
        <v>2423</v>
      </c>
      <c r="E43" s="448" t="s">
        <v>1511</v>
      </c>
      <c r="F43" s="555">
        <v>1</v>
      </c>
      <c r="G43" s="331">
        <f t="shared" si="5"/>
        <v>1</v>
      </c>
      <c r="H43" s="329">
        <f t="shared" si="7"/>
        <v>1.2</v>
      </c>
      <c r="I43" s="329">
        <f t="shared" si="8"/>
        <v>1</v>
      </c>
      <c r="AW43" s="521"/>
      <c r="AY43" s="521"/>
    </row>
    <row r="44" spans="1:54">
      <c r="A44" s="531">
        <v>1</v>
      </c>
      <c r="B44" s="534" t="s">
        <v>1041</v>
      </c>
      <c r="C44" s="447" t="s">
        <v>2276</v>
      </c>
      <c r="D44" s="535" t="s">
        <v>2424</v>
      </c>
      <c r="F44" s="555">
        <v>0</v>
      </c>
      <c r="G44" s="331">
        <f t="shared" si="5"/>
        <v>0</v>
      </c>
      <c r="H44" s="329">
        <f t="shared" si="7"/>
        <v>0.9</v>
      </c>
      <c r="I44" s="329">
        <f t="shared" si="8"/>
        <v>0</v>
      </c>
    </row>
    <row r="45" spans="1:54" ht="37.5">
      <c r="A45" s="531">
        <v>1</v>
      </c>
      <c r="B45" s="534" t="s">
        <v>1041</v>
      </c>
      <c r="C45" s="447" t="s">
        <v>2276</v>
      </c>
      <c r="D45" s="535" t="s">
        <v>2425</v>
      </c>
      <c r="F45" s="555">
        <v>0</v>
      </c>
      <c r="G45" s="331">
        <f t="shared" si="5"/>
        <v>0</v>
      </c>
      <c r="H45" s="329">
        <f t="shared" si="7"/>
        <v>0.9</v>
      </c>
      <c r="I45" s="329">
        <f t="shared" si="8"/>
        <v>0</v>
      </c>
    </row>
    <row r="46" spans="1:54">
      <c r="A46" s="531">
        <v>1</v>
      </c>
      <c r="B46" s="534" t="s">
        <v>1041</v>
      </c>
      <c r="C46" s="447" t="s">
        <v>2276</v>
      </c>
      <c r="D46" s="535" t="s">
        <v>2427</v>
      </c>
      <c r="F46" s="555">
        <v>0</v>
      </c>
      <c r="G46" s="331">
        <f t="shared" si="5"/>
        <v>0</v>
      </c>
      <c r="H46" s="329">
        <f t="shared" si="7"/>
        <v>0.9</v>
      </c>
      <c r="I46" s="329">
        <f t="shared" si="8"/>
        <v>0</v>
      </c>
      <c r="AC46" s="521">
        <f>I46</f>
        <v>0</v>
      </c>
    </row>
    <row r="47" spans="1:54">
      <c r="A47" s="531">
        <v>1</v>
      </c>
      <c r="B47" s="534" t="s">
        <v>1041</v>
      </c>
      <c r="D47" s="535" t="s">
        <v>2426</v>
      </c>
      <c r="E47" s="448" t="s">
        <v>1512</v>
      </c>
      <c r="F47" s="555">
        <v>0</v>
      </c>
      <c r="G47" s="331">
        <f t="shared" si="5"/>
        <v>0</v>
      </c>
      <c r="H47" s="329">
        <f t="shared" si="7"/>
        <v>0.9</v>
      </c>
      <c r="I47" s="329">
        <f t="shared" si="8"/>
        <v>0</v>
      </c>
      <c r="AH47" s="521">
        <f>$H47</f>
        <v>0.9</v>
      </c>
    </row>
    <row r="48" spans="1:54">
      <c r="A48" s="531">
        <v>1</v>
      </c>
      <c r="B48" s="534" t="s">
        <v>1041</v>
      </c>
      <c r="D48" s="535" t="s">
        <v>2428</v>
      </c>
      <c r="F48" s="555">
        <v>0</v>
      </c>
      <c r="G48" s="331">
        <f t="shared" si="5"/>
        <v>0</v>
      </c>
      <c r="H48" s="329">
        <f t="shared" si="7"/>
        <v>0.9</v>
      </c>
      <c r="I48" s="329">
        <f t="shared" si="8"/>
        <v>0</v>
      </c>
      <c r="N48" s="521">
        <f>IF($G48=1,1.5,0.8)</f>
        <v>0.8</v>
      </c>
    </row>
    <row r="49" spans="1:67">
      <c r="A49" s="531">
        <v>1</v>
      </c>
      <c r="B49" s="534" t="s">
        <v>1041</v>
      </c>
      <c r="D49" s="535" t="s">
        <v>2429</v>
      </c>
      <c r="F49" s="555">
        <v>0</v>
      </c>
      <c r="G49" s="331">
        <f t="shared" si="5"/>
        <v>0</v>
      </c>
      <c r="H49" s="329">
        <f t="shared" si="7"/>
        <v>0.9</v>
      </c>
      <c r="I49" s="329">
        <f t="shared" si="8"/>
        <v>0</v>
      </c>
    </row>
    <row r="50" spans="1:67" s="330" customFormat="1">
      <c r="A50" s="531">
        <v>1</v>
      </c>
      <c r="B50" s="534" t="s">
        <v>1041</v>
      </c>
      <c r="C50" s="447"/>
      <c r="D50" s="535" t="s">
        <v>2430</v>
      </c>
      <c r="E50" s="448"/>
      <c r="F50" s="555">
        <v>0</v>
      </c>
      <c r="G50" s="331">
        <f t="shared" si="5"/>
        <v>0</v>
      </c>
      <c r="H50" s="329">
        <f t="shared" si="7"/>
        <v>0.9</v>
      </c>
      <c r="I50" s="329">
        <f t="shared" si="8"/>
        <v>0</v>
      </c>
      <c r="J50" s="329"/>
      <c r="K50" s="329"/>
      <c r="N50" s="521"/>
      <c r="O50" s="329"/>
      <c r="P50" s="521"/>
      <c r="Q50" s="329"/>
      <c r="R50" s="521"/>
      <c r="S50" s="329"/>
      <c r="T50" s="521"/>
      <c r="U50" s="329"/>
      <c r="V50" s="521"/>
      <c r="W50" s="329"/>
      <c r="X50" s="521"/>
      <c r="Y50" s="329"/>
      <c r="Z50" s="521"/>
      <c r="AA50" s="329"/>
      <c r="AB50" s="521"/>
      <c r="AC50" s="329"/>
      <c r="AD50" s="521"/>
      <c r="AE50" s="329"/>
      <c r="AF50" s="521"/>
      <c r="AG50" s="329"/>
      <c r="AH50" s="521"/>
      <c r="AI50" s="329"/>
      <c r="AJ50" s="521"/>
      <c r="AK50" s="329"/>
      <c r="AL50" s="521"/>
      <c r="AM50" s="329"/>
      <c r="AN50" s="521"/>
      <c r="AO50" s="329"/>
      <c r="AP50" s="521"/>
      <c r="AQ50" s="329"/>
      <c r="AR50" s="521"/>
      <c r="AS50" s="329"/>
      <c r="AT50" s="521"/>
      <c r="AU50" s="329"/>
      <c r="AV50" s="521"/>
      <c r="AW50" s="329"/>
      <c r="AX50" s="521"/>
      <c r="AY50" s="329"/>
      <c r="AZ50" s="331"/>
      <c r="BA50" s="329"/>
      <c r="BB50" s="331"/>
      <c r="BC50" s="329"/>
      <c r="BD50" s="331"/>
      <c r="BE50" s="329"/>
      <c r="BF50" s="331"/>
      <c r="BG50" s="329"/>
      <c r="BH50" s="331"/>
      <c r="BI50" s="329"/>
      <c r="BJ50" s="331"/>
      <c r="BK50" s="329"/>
      <c r="BL50" s="331"/>
      <c r="BM50" s="329"/>
      <c r="BN50" s="331"/>
      <c r="BO50" s="329"/>
    </row>
    <row r="51" spans="1:67" s="346" customFormat="1">
      <c r="A51" s="531">
        <v>1</v>
      </c>
      <c r="B51" s="534" t="s">
        <v>1041</v>
      </c>
      <c r="C51" s="447"/>
      <c r="D51" s="535" t="s">
        <v>2431</v>
      </c>
      <c r="E51" s="448"/>
      <c r="F51" s="555">
        <v>1</v>
      </c>
      <c r="G51" s="331">
        <f>F51</f>
        <v>1</v>
      </c>
      <c r="H51" s="329">
        <f t="shared" si="7"/>
        <v>1.2</v>
      </c>
      <c r="I51" s="329">
        <f t="shared" si="8"/>
        <v>1</v>
      </c>
      <c r="M51" s="346" t="s">
        <v>1638</v>
      </c>
      <c r="N51" s="521"/>
      <c r="P51" s="521"/>
      <c r="R51" s="521"/>
      <c r="T51" s="521"/>
      <c r="V51" s="521"/>
      <c r="X51" s="521"/>
      <c r="Z51" s="521"/>
      <c r="AB51" s="521"/>
      <c r="AD51" s="521"/>
      <c r="AF51" s="521"/>
      <c r="AH51" s="521"/>
      <c r="AJ51" s="521"/>
      <c r="AL51" s="521"/>
      <c r="AN51" s="521"/>
      <c r="AP51" s="521"/>
      <c r="AR51" s="521"/>
      <c r="AT51" s="521"/>
      <c r="AV51" s="521"/>
      <c r="AX51" s="521"/>
      <c r="AZ51" s="331"/>
      <c r="BB51" s="331"/>
      <c r="BD51" s="331"/>
      <c r="BF51" s="331"/>
      <c r="BH51" s="331"/>
      <c r="BJ51" s="331"/>
      <c r="BL51" s="331"/>
      <c r="BM51" s="329"/>
      <c r="BN51" s="331"/>
      <c r="BO51" s="329"/>
    </row>
    <row r="52" spans="1:67" ht="37.5">
      <c r="A52" s="531">
        <v>1</v>
      </c>
      <c r="B52" s="346" t="s">
        <v>1155</v>
      </c>
      <c r="D52" s="530" t="s">
        <v>2432</v>
      </c>
      <c r="E52" s="448" t="s">
        <v>1513</v>
      </c>
      <c r="F52" s="555">
        <v>0</v>
      </c>
      <c r="G52" s="331">
        <f>IF(F52=1,0,1)</f>
        <v>1</v>
      </c>
      <c r="H52" s="339">
        <f t="shared" ref="H52:H61" si="9">F52</f>
        <v>0</v>
      </c>
      <c r="I52" s="339"/>
      <c r="J52" s="342"/>
      <c r="K52" s="343"/>
      <c r="N52" s="595"/>
      <c r="O52" s="595"/>
      <c r="P52" s="595"/>
      <c r="Q52" s="595"/>
      <c r="R52" s="595"/>
      <c r="S52" s="595"/>
      <c r="T52" s="595"/>
      <c r="U52" s="595"/>
      <c r="V52" s="595"/>
      <c r="W52" s="595"/>
      <c r="X52" s="595"/>
      <c r="Y52" s="595"/>
      <c r="Z52" s="595"/>
      <c r="AA52" s="595"/>
      <c r="AB52" s="595"/>
      <c r="AC52" s="595"/>
      <c r="AD52" s="595"/>
      <c r="AE52" s="595"/>
      <c r="AF52" s="595"/>
      <c r="AG52" s="595"/>
      <c r="AH52" s="595"/>
      <c r="AI52" s="595"/>
      <c r="AJ52" s="595"/>
      <c r="AK52" s="595"/>
      <c r="AL52" s="595"/>
      <c r="AM52" s="595"/>
      <c r="AN52" s="595"/>
      <c r="AO52" s="595"/>
      <c r="AP52" s="595"/>
      <c r="AQ52" s="595"/>
      <c r="AR52" s="595"/>
      <c r="AS52" s="595"/>
      <c r="AT52" s="595"/>
      <c r="AU52" s="595"/>
      <c r="AV52" s="595"/>
      <c r="AW52" s="595"/>
      <c r="AX52" s="595"/>
      <c r="AY52" s="595"/>
      <c r="AZ52" s="595"/>
      <c r="BA52" s="595"/>
      <c r="BB52" s="595"/>
      <c r="BC52" s="595"/>
      <c r="BD52" s="595"/>
      <c r="BE52" s="595"/>
      <c r="BF52" s="595"/>
      <c r="BG52" s="595"/>
      <c r="BH52" s="595"/>
      <c r="BI52" s="595"/>
      <c r="BJ52" s="595"/>
      <c r="BK52" s="595"/>
      <c r="BL52" s="595"/>
      <c r="BM52" s="595"/>
      <c r="BN52" s="595"/>
      <c r="BO52" s="595"/>
    </row>
    <row r="53" spans="1:67">
      <c r="A53" s="531"/>
      <c r="B53" s="346" t="s">
        <v>1155</v>
      </c>
      <c r="C53" s="447" t="s">
        <v>2253</v>
      </c>
      <c r="D53" s="530" t="s">
        <v>2433</v>
      </c>
      <c r="E53" s="448" t="s">
        <v>1515</v>
      </c>
      <c r="F53" s="555">
        <v>0</v>
      </c>
      <c r="G53" s="331">
        <f>IF(F53=1,0,1)</f>
        <v>1</v>
      </c>
      <c r="H53" s="339">
        <f t="shared" si="9"/>
        <v>0</v>
      </c>
      <c r="I53" s="339"/>
      <c r="N53" s="595"/>
      <c r="O53" s="595"/>
      <c r="P53" s="595"/>
      <c r="Q53" s="595"/>
      <c r="R53" s="595"/>
      <c r="S53" s="595"/>
      <c r="T53" s="595"/>
      <c r="U53" s="595"/>
      <c r="V53" s="595"/>
      <c r="W53" s="595"/>
      <c r="X53" s="595"/>
      <c r="Y53" s="595"/>
      <c r="Z53" s="595"/>
      <c r="AA53" s="595"/>
      <c r="AB53" s="595"/>
      <c r="AC53" s="595"/>
      <c r="AD53" s="595"/>
      <c r="AE53" s="595"/>
      <c r="AF53" s="595"/>
      <c r="AG53" s="595"/>
      <c r="AH53" s="595"/>
      <c r="AI53" s="595"/>
      <c r="AJ53" s="595"/>
      <c r="AK53" s="595"/>
      <c r="AL53" s="595"/>
      <c r="AM53" s="595"/>
      <c r="AN53" s="595"/>
      <c r="AO53" s="595"/>
      <c r="AP53" s="595"/>
      <c r="AQ53" s="595"/>
      <c r="AR53" s="595"/>
      <c r="AS53" s="595"/>
      <c r="AT53" s="595"/>
      <c r="AU53" s="595"/>
      <c r="AV53" s="595"/>
      <c r="AW53" s="595"/>
      <c r="AX53" s="595"/>
      <c r="AY53" s="595"/>
      <c r="AZ53" s="595"/>
      <c r="BA53" s="595"/>
      <c r="BB53" s="595"/>
      <c r="BC53" s="595"/>
      <c r="BD53" s="595"/>
      <c r="BE53" s="595"/>
      <c r="BF53" s="595"/>
      <c r="BG53" s="595"/>
      <c r="BH53" s="595"/>
      <c r="BI53" s="595"/>
      <c r="BJ53" s="595"/>
      <c r="BK53" s="595"/>
      <c r="BL53" s="595"/>
      <c r="BM53" s="595"/>
      <c r="BN53" s="595"/>
      <c r="BO53" s="595"/>
    </row>
    <row r="54" spans="1:67" ht="37.5">
      <c r="A54" s="531"/>
      <c r="B54" s="346" t="s">
        <v>1155</v>
      </c>
      <c r="C54" s="447" t="s">
        <v>2254</v>
      </c>
      <c r="D54" s="530" t="s">
        <v>2434</v>
      </c>
      <c r="E54" s="448" t="s">
        <v>1516</v>
      </c>
      <c r="F54" s="555">
        <v>0</v>
      </c>
      <c r="G54" s="331">
        <f t="shared" ref="G54:G67" si="10">IF(F54=1,0,1)</f>
        <v>1</v>
      </c>
      <c r="H54" s="339">
        <f t="shared" si="9"/>
        <v>0</v>
      </c>
      <c r="I54" s="850">
        <f>K60*K62*G54</f>
        <v>1</v>
      </c>
      <c r="N54" s="595"/>
      <c r="O54" s="595"/>
      <c r="P54" s="595"/>
      <c r="Q54" s="595"/>
      <c r="R54" s="595"/>
      <c r="S54" s="595"/>
      <c r="T54" s="595"/>
      <c r="U54" s="595"/>
      <c r="V54" s="595"/>
      <c r="W54" s="595"/>
      <c r="X54" s="595"/>
      <c r="Y54" s="595"/>
      <c r="Z54" s="595"/>
      <c r="AA54" s="595"/>
      <c r="AB54" s="595"/>
      <c r="AC54" s="595"/>
      <c r="AD54" s="595"/>
      <c r="AE54" s="595"/>
      <c r="AF54" s="595"/>
      <c r="AG54" s="595"/>
      <c r="AH54" s="595"/>
      <c r="AI54" s="595"/>
      <c r="AJ54" s="595"/>
      <c r="AK54" s="595"/>
      <c r="AL54" s="595"/>
      <c r="AM54" s="595"/>
      <c r="AN54" s="595"/>
      <c r="AO54" s="595"/>
      <c r="AP54" s="595"/>
      <c r="AQ54" s="595"/>
      <c r="AR54" s="595"/>
      <c r="AS54" s="595"/>
      <c r="AT54" s="595"/>
      <c r="AU54" s="595"/>
      <c r="AV54" s="595"/>
      <c r="AW54" s="595"/>
      <c r="AX54" s="595"/>
      <c r="AY54" s="595"/>
      <c r="AZ54" s="595"/>
      <c r="BA54" s="595"/>
      <c r="BB54" s="595"/>
      <c r="BC54" s="595"/>
      <c r="BD54" s="595"/>
      <c r="BE54" s="595"/>
      <c r="BF54" s="595"/>
      <c r="BG54" s="595"/>
      <c r="BH54" s="595"/>
      <c r="BI54" s="595"/>
      <c r="BJ54" s="595"/>
      <c r="BK54" s="595"/>
      <c r="BL54" s="595"/>
      <c r="BM54" s="595"/>
      <c r="BN54" s="595"/>
      <c r="BO54" s="595"/>
    </row>
    <row r="55" spans="1:67" ht="37.5">
      <c r="A55" s="531"/>
      <c r="B55" s="346" t="s">
        <v>1155</v>
      </c>
      <c r="C55" s="447" t="s">
        <v>2254</v>
      </c>
      <c r="D55" s="530" t="s">
        <v>2435</v>
      </c>
      <c r="E55" s="448" t="s">
        <v>1517</v>
      </c>
      <c r="F55" s="555">
        <v>0</v>
      </c>
      <c r="G55" s="331">
        <f t="shared" si="10"/>
        <v>1</v>
      </c>
      <c r="H55" s="339">
        <f t="shared" si="9"/>
        <v>0</v>
      </c>
      <c r="I55" s="851">
        <f>K60*K63*G55</f>
        <v>1</v>
      </c>
      <c r="N55" s="595"/>
      <c r="O55" s="595"/>
      <c r="P55" s="595"/>
      <c r="Q55" s="595"/>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595"/>
      <c r="AU55" s="595"/>
      <c r="AV55" s="595"/>
      <c r="AW55" s="595"/>
      <c r="AX55" s="595"/>
      <c r="AY55" s="595"/>
      <c r="AZ55" s="595"/>
      <c r="BA55" s="595"/>
      <c r="BB55" s="595"/>
      <c r="BC55" s="595"/>
      <c r="BD55" s="595"/>
      <c r="BE55" s="595"/>
      <c r="BF55" s="595"/>
      <c r="BG55" s="595"/>
      <c r="BH55" s="595"/>
      <c r="BI55" s="595"/>
      <c r="BJ55" s="595"/>
      <c r="BK55" s="595"/>
      <c r="BL55" s="595"/>
      <c r="BM55" s="595"/>
      <c r="BN55" s="595"/>
      <c r="BO55" s="595"/>
    </row>
    <row r="56" spans="1:67" ht="37.5">
      <c r="A56" s="531">
        <v>1</v>
      </c>
      <c r="B56" s="346" t="s">
        <v>1155</v>
      </c>
      <c r="D56" s="530" t="s">
        <v>2436</v>
      </c>
      <c r="E56" s="448" t="s">
        <v>1518</v>
      </c>
      <c r="F56" s="555">
        <v>0</v>
      </c>
      <c r="G56" s="331">
        <f t="shared" si="10"/>
        <v>1</v>
      </c>
      <c r="H56" s="339">
        <f t="shared" si="9"/>
        <v>0</v>
      </c>
      <c r="I56" s="340"/>
      <c r="N56" s="595"/>
      <c r="O56" s="595"/>
      <c r="P56" s="595"/>
      <c r="Q56" s="595"/>
      <c r="R56" s="595"/>
      <c r="S56" s="595"/>
      <c r="T56" s="595"/>
      <c r="U56" s="595"/>
      <c r="V56" s="595"/>
      <c r="W56" s="595"/>
      <c r="X56" s="595"/>
      <c r="Y56" s="595"/>
      <c r="Z56" s="595"/>
      <c r="AA56" s="595"/>
      <c r="AB56" s="595"/>
      <c r="AC56" s="595"/>
      <c r="AD56" s="595"/>
      <c r="AE56" s="595"/>
      <c r="AF56" s="595"/>
      <c r="AG56" s="595"/>
      <c r="AH56" s="595"/>
      <c r="AI56" s="595"/>
      <c r="AJ56" s="595"/>
      <c r="AK56" s="595"/>
      <c r="AL56" s="595"/>
      <c r="AM56" s="595"/>
      <c r="AN56" s="595"/>
      <c r="AO56" s="595"/>
      <c r="AP56" s="595"/>
      <c r="AQ56" s="595"/>
      <c r="AR56" s="595"/>
      <c r="AS56" s="595"/>
      <c r="AT56" s="595"/>
      <c r="AU56" s="595"/>
      <c r="AV56" s="595"/>
      <c r="AW56" s="595"/>
      <c r="AX56" s="595"/>
      <c r="AY56" s="595"/>
      <c r="AZ56" s="595"/>
      <c r="BA56" s="595"/>
      <c r="BB56" s="595"/>
      <c r="BC56" s="595"/>
      <c r="BD56" s="595"/>
      <c r="BE56" s="595"/>
      <c r="BF56" s="595"/>
      <c r="BG56" s="595"/>
      <c r="BH56" s="595"/>
      <c r="BI56" s="595"/>
      <c r="BJ56" s="595"/>
      <c r="BK56" s="595"/>
      <c r="BL56" s="595"/>
      <c r="BM56" s="595"/>
      <c r="BN56" s="595"/>
      <c r="BO56" s="595"/>
    </row>
    <row r="57" spans="1:67" ht="37.5">
      <c r="A57" s="531"/>
      <c r="B57" s="346" t="s">
        <v>1155</v>
      </c>
      <c r="D57" s="530" t="s">
        <v>2437</v>
      </c>
      <c r="F57" s="555">
        <v>0</v>
      </c>
      <c r="G57" s="331">
        <f t="shared" si="10"/>
        <v>1</v>
      </c>
      <c r="H57" s="339">
        <f t="shared" si="9"/>
        <v>0</v>
      </c>
      <c r="I57" s="339"/>
      <c r="J57" s="342" t="s">
        <v>2380</v>
      </c>
      <c r="K57" s="343">
        <f>1-((G62+G63+G64+G66+G67+G179+G189+G191+G192)/9)</f>
        <v>0.55555555555555558</v>
      </c>
      <c r="N57" s="595"/>
      <c r="O57" s="595"/>
      <c r="P57" s="595"/>
      <c r="Q57" s="595"/>
      <c r="R57" s="595"/>
      <c r="S57" s="595"/>
      <c r="T57" s="595"/>
      <c r="U57" s="595"/>
      <c r="V57" s="595"/>
      <c r="W57" s="595"/>
      <c r="X57" s="595"/>
      <c r="Y57" s="595"/>
      <c r="Z57" s="595"/>
      <c r="AA57" s="595"/>
      <c r="AB57" s="595"/>
      <c r="AC57" s="595"/>
      <c r="AD57" s="595"/>
      <c r="AE57" s="595"/>
      <c r="AF57" s="595"/>
      <c r="AG57" s="595"/>
      <c r="AH57" s="595"/>
      <c r="AI57" s="595"/>
      <c r="AJ57" s="595"/>
      <c r="AK57" s="595"/>
      <c r="AL57" s="595"/>
      <c r="AM57" s="595"/>
      <c r="AN57" s="595"/>
      <c r="AO57" s="595"/>
      <c r="AP57" s="595"/>
      <c r="AQ57" s="595"/>
      <c r="AR57" s="595"/>
      <c r="AS57" s="595"/>
      <c r="AT57" s="595"/>
      <c r="AU57" s="595"/>
      <c r="AV57" s="595"/>
      <c r="AW57" s="595"/>
      <c r="AX57" s="595"/>
      <c r="AY57" s="595"/>
      <c r="AZ57" s="595"/>
      <c r="BA57" s="595"/>
      <c r="BB57" s="595"/>
      <c r="BC57" s="595"/>
      <c r="BD57" s="595"/>
      <c r="BE57" s="595"/>
      <c r="BF57" s="595"/>
      <c r="BG57" s="595"/>
      <c r="BH57" s="595"/>
      <c r="BI57" s="595"/>
      <c r="BJ57" s="595"/>
      <c r="BK57" s="595"/>
      <c r="BL57" s="595"/>
      <c r="BM57" s="595"/>
      <c r="BN57" s="595"/>
      <c r="BO57" s="595"/>
    </row>
    <row r="58" spans="1:67" ht="37.5">
      <c r="A58" s="531"/>
      <c r="B58" s="346" t="s">
        <v>1155</v>
      </c>
      <c r="D58" s="530" t="s">
        <v>2438</v>
      </c>
      <c r="E58" s="448" t="s">
        <v>1519</v>
      </c>
      <c r="F58" s="555">
        <v>0</v>
      </c>
      <c r="G58" s="331">
        <f t="shared" si="10"/>
        <v>1</v>
      </c>
      <c r="H58" s="339">
        <f t="shared" si="9"/>
        <v>0</v>
      </c>
      <c r="I58" s="340"/>
      <c r="J58" s="346" t="s">
        <v>2381</v>
      </c>
      <c r="K58" s="348">
        <f>(H54+H55+H58+H59+H60)/5</f>
        <v>0.2</v>
      </c>
      <c r="N58" s="595"/>
      <c r="O58" s="595"/>
      <c r="P58" s="595"/>
      <c r="Q58" s="595"/>
      <c r="R58" s="595"/>
      <c r="S58" s="595"/>
      <c r="T58" s="595"/>
      <c r="U58" s="595"/>
      <c r="V58" s="595"/>
      <c r="W58" s="595"/>
      <c r="X58" s="595"/>
      <c r="Y58" s="595"/>
      <c r="Z58" s="595"/>
      <c r="AA58" s="595"/>
      <c r="AB58" s="595"/>
      <c r="AC58" s="595"/>
      <c r="AD58" s="595"/>
      <c r="AE58" s="595"/>
      <c r="AF58" s="595"/>
      <c r="AG58" s="595"/>
      <c r="AH58" s="595"/>
      <c r="AI58" s="595"/>
      <c r="AJ58" s="595"/>
      <c r="AK58" s="595"/>
      <c r="AL58" s="595"/>
      <c r="AM58" s="595"/>
      <c r="AN58" s="595"/>
      <c r="AO58" s="595"/>
      <c r="AP58" s="595"/>
      <c r="AQ58" s="595"/>
      <c r="AR58" s="595"/>
      <c r="AS58" s="595"/>
      <c r="AT58" s="595"/>
      <c r="AU58" s="595"/>
      <c r="AV58" s="595"/>
      <c r="AW58" s="595"/>
      <c r="AX58" s="595"/>
      <c r="AY58" s="595"/>
      <c r="AZ58" s="595"/>
      <c r="BA58" s="595"/>
      <c r="BB58" s="595"/>
      <c r="BC58" s="595"/>
      <c r="BD58" s="595"/>
      <c r="BE58" s="595"/>
      <c r="BF58" s="595"/>
      <c r="BG58" s="595"/>
      <c r="BH58" s="595"/>
      <c r="BI58" s="595"/>
      <c r="BJ58" s="595"/>
      <c r="BK58" s="595"/>
      <c r="BL58" s="595"/>
      <c r="BM58" s="595"/>
      <c r="BN58" s="595"/>
      <c r="BO58" s="595"/>
    </row>
    <row r="59" spans="1:67">
      <c r="B59" s="346" t="s">
        <v>1155</v>
      </c>
      <c r="D59" s="530" t="s">
        <v>2439</v>
      </c>
      <c r="F59" s="555">
        <v>0</v>
      </c>
      <c r="G59" s="331">
        <f t="shared" si="10"/>
        <v>1</v>
      </c>
      <c r="H59" s="339">
        <f t="shared" si="9"/>
        <v>0</v>
      </c>
      <c r="I59" s="340"/>
      <c r="N59" s="595"/>
      <c r="O59" s="595"/>
      <c r="P59" s="595"/>
      <c r="Q59" s="595"/>
      <c r="R59" s="595"/>
      <c r="S59" s="595"/>
      <c r="T59" s="595"/>
      <c r="U59" s="595"/>
      <c r="V59" s="595"/>
      <c r="W59" s="595"/>
      <c r="X59" s="595"/>
      <c r="Y59" s="595"/>
      <c r="Z59" s="595"/>
      <c r="AA59" s="595"/>
      <c r="AB59" s="595"/>
      <c r="AC59" s="595"/>
      <c r="AD59" s="595"/>
      <c r="AE59" s="595"/>
      <c r="AF59" s="595"/>
      <c r="AG59" s="595"/>
      <c r="AH59" s="595"/>
      <c r="AI59" s="595"/>
      <c r="AJ59" s="595"/>
      <c r="AK59" s="595"/>
      <c r="AL59" s="595"/>
      <c r="AM59" s="595"/>
      <c r="AN59" s="595"/>
      <c r="AO59" s="595"/>
      <c r="AP59" s="595"/>
      <c r="AQ59" s="595"/>
      <c r="AR59" s="595"/>
      <c r="AS59" s="595"/>
      <c r="AT59" s="595"/>
      <c r="AU59" s="595"/>
      <c r="AV59" s="595"/>
      <c r="AW59" s="595"/>
      <c r="AX59" s="595"/>
      <c r="AY59" s="595"/>
      <c r="AZ59" s="595"/>
      <c r="BA59" s="595"/>
      <c r="BB59" s="595"/>
      <c r="BC59" s="595"/>
      <c r="BD59" s="595"/>
      <c r="BE59" s="595"/>
      <c r="BF59" s="595"/>
      <c r="BG59" s="595"/>
      <c r="BH59" s="595"/>
      <c r="BI59" s="595"/>
      <c r="BJ59" s="595"/>
      <c r="BK59" s="595"/>
      <c r="BL59" s="595"/>
      <c r="BM59" s="595"/>
      <c r="BN59" s="595"/>
      <c r="BO59" s="595"/>
    </row>
    <row r="60" spans="1:67">
      <c r="B60" s="346" t="s">
        <v>1155</v>
      </c>
      <c r="D60" s="530" t="s">
        <v>2440</v>
      </c>
      <c r="F60" s="555">
        <v>1</v>
      </c>
      <c r="G60" s="331">
        <f t="shared" si="10"/>
        <v>0</v>
      </c>
      <c r="H60" s="339">
        <f t="shared" si="9"/>
        <v>1</v>
      </c>
      <c r="I60" s="340"/>
      <c r="J60" s="329" t="s">
        <v>2387</v>
      </c>
      <c r="K60" s="329">
        <f>IF(F4&gt;50,1,0)</f>
        <v>1</v>
      </c>
      <c r="N60" s="595"/>
      <c r="O60" s="595"/>
      <c r="P60" s="595"/>
      <c r="Q60" s="595"/>
      <c r="R60" s="595"/>
      <c r="S60" s="595"/>
      <c r="T60" s="595"/>
      <c r="U60" s="595"/>
      <c r="V60" s="595"/>
      <c r="W60" s="595"/>
      <c r="X60" s="595"/>
      <c r="Y60" s="595"/>
      <c r="Z60" s="595"/>
      <c r="AA60" s="595"/>
      <c r="AB60" s="595"/>
      <c r="AC60" s="595"/>
      <c r="AD60" s="595"/>
      <c r="AE60" s="595"/>
      <c r="AF60" s="595"/>
      <c r="AG60" s="595"/>
      <c r="AH60" s="595"/>
      <c r="AI60" s="595"/>
      <c r="AJ60" s="595"/>
      <c r="AK60" s="595"/>
      <c r="AL60" s="595"/>
      <c r="AM60" s="595"/>
      <c r="AN60" s="595"/>
      <c r="AO60" s="595"/>
      <c r="AP60" s="595"/>
      <c r="AQ60" s="595"/>
      <c r="AR60" s="595"/>
      <c r="AS60" s="595"/>
      <c r="AT60" s="595"/>
      <c r="AU60" s="595"/>
      <c r="AV60" s="595"/>
      <c r="AW60" s="595"/>
      <c r="AX60" s="595"/>
      <c r="AY60" s="595"/>
      <c r="AZ60" s="595"/>
      <c r="BA60" s="595"/>
      <c r="BB60" s="595"/>
      <c r="BC60" s="595"/>
      <c r="BD60" s="595"/>
      <c r="BE60" s="595"/>
      <c r="BF60" s="595"/>
      <c r="BG60" s="595"/>
      <c r="BH60" s="595"/>
      <c r="BI60" s="595"/>
      <c r="BJ60" s="595"/>
      <c r="BK60" s="595"/>
      <c r="BL60" s="595"/>
      <c r="BM60" s="595"/>
      <c r="BN60" s="595"/>
      <c r="BO60" s="595"/>
    </row>
    <row r="61" spans="1:67" ht="37.5">
      <c r="B61" s="346" t="s">
        <v>1155</v>
      </c>
      <c r="D61" s="530" t="s">
        <v>2747</v>
      </c>
      <c r="F61" s="555">
        <v>1</v>
      </c>
      <c r="G61" s="331">
        <f t="shared" si="10"/>
        <v>0</v>
      </c>
      <c r="H61" s="339">
        <f t="shared" si="9"/>
        <v>1</v>
      </c>
      <c r="I61" s="340"/>
      <c r="N61" s="595"/>
      <c r="O61" s="595"/>
      <c r="P61" s="595"/>
      <c r="Q61" s="595"/>
      <c r="R61" s="595"/>
      <c r="S61" s="595"/>
      <c r="T61" s="595"/>
      <c r="U61" s="595"/>
      <c r="V61" s="595"/>
      <c r="W61" s="595"/>
      <c r="X61" s="595"/>
      <c r="Y61" s="595"/>
      <c r="Z61" s="595"/>
      <c r="AA61" s="595"/>
      <c r="AB61" s="595"/>
      <c r="AC61" s="595"/>
      <c r="AD61" s="595"/>
      <c r="AE61" s="595"/>
      <c r="AF61" s="595"/>
      <c r="AG61" s="595"/>
      <c r="AH61" s="595"/>
      <c r="AI61" s="595"/>
      <c r="AJ61" s="595"/>
      <c r="AK61" s="595"/>
      <c r="AL61" s="595"/>
      <c r="AM61" s="595"/>
      <c r="AN61" s="595"/>
      <c r="AO61" s="595"/>
      <c r="AP61" s="595"/>
      <c r="AQ61" s="595"/>
      <c r="AR61" s="595"/>
      <c r="AS61" s="595"/>
      <c r="AT61" s="595"/>
      <c r="AU61" s="595"/>
      <c r="AV61" s="595"/>
      <c r="AW61" s="595"/>
      <c r="AX61" s="595"/>
      <c r="AY61" s="595"/>
      <c r="AZ61" s="595"/>
      <c r="BA61" s="595"/>
      <c r="BB61" s="595"/>
      <c r="BC61" s="595"/>
      <c r="BD61" s="595"/>
      <c r="BE61" s="595"/>
      <c r="BF61" s="595"/>
      <c r="BG61" s="595"/>
      <c r="BH61" s="595"/>
      <c r="BI61" s="595"/>
      <c r="BJ61" s="595"/>
      <c r="BK61" s="595"/>
      <c r="BL61" s="595"/>
      <c r="BM61" s="595"/>
      <c r="BN61" s="595"/>
      <c r="BO61" s="595"/>
    </row>
    <row r="62" spans="1:67">
      <c r="B62" s="346" t="s">
        <v>1155</v>
      </c>
      <c r="C62" s="447" t="s">
        <v>2257</v>
      </c>
      <c r="D62" s="530" t="s">
        <v>2441</v>
      </c>
      <c r="F62" s="555">
        <v>0</v>
      </c>
      <c r="G62" s="331">
        <f t="shared" si="10"/>
        <v>1</v>
      </c>
      <c r="H62" s="339">
        <f>F62</f>
        <v>0</v>
      </c>
      <c r="I62" s="340"/>
      <c r="J62" s="329" t="s">
        <v>2385</v>
      </c>
      <c r="K62" s="329">
        <f>I3</f>
        <v>1</v>
      </c>
      <c r="N62" s="595"/>
      <c r="O62" s="595"/>
      <c r="P62" s="595"/>
      <c r="Q62" s="595"/>
      <c r="R62" s="595"/>
      <c r="S62" s="595"/>
      <c r="T62" s="595"/>
      <c r="U62" s="595"/>
      <c r="V62" s="595"/>
      <c r="W62" s="595"/>
      <c r="X62" s="595"/>
      <c r="Y62" s="595"/>
      <c r="Z62" s="595"/>
      <c r="AA62" s="595"/>
      <c r="AB62" s="595"/>
      <c r="AC62" s="595"/>
      <c r="AD62" s="595"/>
      <c r="AE62" s="595"/>
      <c r="AF62" s="595"/>
      <c r="AG62" s="595"/>
      <c r="AH62" s="595"/>
      <c r="AI62" s="595"/>
      <c r="AJ62" s="595"/>
      <c r="AK62" s="595"/>
      <c r="AL62" s="595"/>
      <c r="AM62" s="595"/>
      <c r="AN62" s="595"/>
      <c r="AO62" s="595"/>
      <c r="AP62" s="595"/>
      <c r="AQ62" s="595"/>
      <c r="AR62" s="595"/>
      <c r="AS62" s="595"/>
      <c r="AT62" s="595"/>
      <c r="AU62" s="595"/>
      <c r="AV62" s="595"/>
      <c r="AW62" s="595"/>
      <c r="AX62" s="595"/>
      <c r="AY62" s="595"/>
      <c r="AZ62" s="595"/>
      <c r="BA62" s="595"/>
      <c r="BB62" s="595"/>
      <c r="BC62" s="595"/>
      <c r="BD62" s="595"/>
      <c r="BE62" s="595"/>
      <c r="BF62" s="595"/>
      <c r="BG62" s="595"/>
      <c r="BH62" s="595"/>
      <c r="BI62" s="595"/>
      <c r="BJ62" s="595"/>
      <c r="BK62" s="595"/>
      <c r="BL62" s="595"/>
      <c r="BM62" s="595"/>
      <c r="BN62" s="595"/>
      <c r="BO62" s="595"/>
    </row>
    <row r="63" spans="1:67">
      <c r="B63" s="346" t="s">
        <v>1155</v>
      </c>
      <c r="C63" s="447" t="s">
        <v>2256</v>
      </c>
      <c r="D63" s="530" t="s">
        <v>2442</v>
      </c>
      <c r="F63" s="322">
        <v>0</v>
      </c>
      <c r="G63" s="331">
        <f t="shared" si="10"/>
        <v>1</v>
      </c>
      <c r="H63" s="339">
        <f>IF(F63=1,1,0)</f>
        <v>0</v>
      </c>
      <c r="I63" s="340"/>
      <c r="J63" s="329" t="s">
        <v>2386</v>
      </c>
      <c r="K63" s="329">
        <f>I3</f>
        <v>1</v>
      </c>
      <c r="N63" s="595"/>
      <c r="O63" s="595"/>
      <c r="P63" s="595"/>
      <c r="Q63" s="595"/>
      <c r="R63" s="595"/>
      <c r="S63" s="595"/>
      <c r="T63" s="595"/>
      <c r="U63" s="595"/>
      <c r="V63" s="595"/>
      <c r="W63" s="595"/>
      <c r="X63" s="595"/>
      <c r="Y63" s="595"/>
      <c r="Z63" s="595"/>
      <c r="AA63" s="595"/>
      <c r="AB63" s="595"/>
      <c r="AC63" s="595"/>
      <c r="AD63" s="595"/>
      <c r="AE63" s="595"/>
      <c r="AF63" s="595"/>
      <c r="AG63" s="595"/>
      <c r="AH63" s="595"/>
      <c r="AI63" s="595"/>
      <c r="AJ63" s="595"/>
      <c r="AK63" s="595"/>
      <c r="AL63" s="595"/>
      <c r="AM63" s="595"/>
      <c r="AN63" s="595"/>
      <c r="AO63" s="595"/>
      <c r="AP63" s="595"/>
      <c r="AQ63" s="595"/>
      <c r="AR63" s="595"/>
      <c r="AS63" s="595"/>
      <c r="AT63" s="595"/>
      <c r="AU63" s="595"/>
      <c r="AV63" s="595"/>
      <c r="AW63" s="595"/>
      <c r="AX63" s="595"/>
      <c r="AY63" s="595"/>
      <c r="AZ63" s="595"/>
      <c r="BA63" s="595"/>
      <c r="BB63" s="595"/>
      <c r="BC63" s="595"/>
      <c r="BD63" s="595"/>
      <c r="BE63" s="595"/>
      <c r="BF63" s="595"/>
      <c r="BG63" s="595"/>
      <c r="BH63" s="595"/>
      <c r="BI63" s="595"/>
      <c r="BJ63" s="595"/>
      <c r="BK63" s="595"/>
      <c r="BL63" s="595"/>
      <c r="BM63" s="595"/>
      <c r="BN63" s="595"/>
      <c r="BO63" s="595"/>
    </row>
    <row r="64" spans="1:67" ht="37.5">
      <c r="B64" s="346" t="s">
        <v>1155</v>
      </c>
      <c r="C64" s="447" t="s">
        <v>2255</v>
      </c>
      <c r="D64" s="530" t="s">
        <v>2443</v>
      </c>
      <c r="F64" s="322">
        <v>0</v>
      </c>
      <c r="G64" s="331">
        <f t="shared" si="10"/>
        <v>1</v>
      </c>
      <c r="H64" s="339">
        <f>IF(F64=1,1,0)</f>
        <v>0</v>
      </c>
      <c r="I64" s="340"/>
      <c r="N64" s="595"/>
      <c r="O64" s="595"/>
      <c r="P64" s="595"/>
      <c r="Q64" s="595"/>
      <c r="R64" s="595"/>
      <c r="S64" s="595"/>
      <c r="T64" s="595"/>
      <c r="U64" s="595"/>
      <c r="V64" s="595"/>
      <c r="W64" s="595"/>
      <c r="X64" s="595"/>
      <c r="Y64" s="595"/>
      <c r="Z64" s="595"/>
      <c r="AA64" s="595"/>
      <c r="AB64" s="595"/>
      <c r="AC64" s="595"/>
      <c r="AD64" s="595"/>
      <c r="AE64" s="595"/>
      <c r="AF64" s="595"/>
      <c r="AG64" s="595"/>
      <c r="AH64" s="595"/>
      <c r="AI64" s="595"/>
      <c r="AJ64" s="595"/>
      <c r="AK64" s="595"/>
      <c r="AL64" s="595"/>
      <c r="AM64" s="595"/>
      <c r="AN64" s="595"/>
      <c r="AO64" s="595"/>
      <c r="AP64" s="595"/>
      <c r="AQ64" s="595"/>
      <c r="AR64" s="595"/>
      <c r="AS64" s="595"/>
      <c r="AT64" s="595"/>
      <c r="AU64" s="595"/>
      <c r="AV64" s="595"/>
      <c r="AW64" s="595"/>
      <c r="AX64" s="595"/>
      <c r="AY64" s="595"/>
      <c r="AZ64" s="595"/>
      <c r="BA64" s="595"/>
      <c r="BB64" s="595"/>
      <c r="BC64" s="595"/>
      <c r="BD64" s="595"/>
      <c r="BE64" s="595"/>
      <c r="BF64" s="595"/>
      <c r="BG64" s="595"/>
      <c r="BH64" s="595"/>
      <c r="BI64" s="595"/>
      <c r="BJ64" s="595"/>
      <c r="BK64" s="595"/>
      <c r="BL64" s="595"/>
      <c r="BM64" s="595"/>
      <c r="BN64" s="595"/>
      <c r="BO64" s="595"/>
    </row>
    <row r="65" spans="1:67">
      <c r="B65" s="346" t="s">
        <v>1155</v>
      </c>
      <c r="D65" s="530" t="s">
        <v>2444</v>
      </c>
      <c r="F65" s="555">
        <v>0</v>
      </c>
      <c r="G65" s="331">
        <f t="shared" si="10"/>
        <v>1</v>
      </c>
      <c r="H65" s="339">
        <f>IF(F65=1,1,0)</f>
        <v>0</v>
      </c>
      <c r="K65" s="347"/>
      <c r="N65" s="595"/>
      <c r="O65" s="595"/>
      <c r="P65" s="595"/>
      <c r="Q65" s="595"/>
      <c r="R65" s="595"/>
      <c r="S65" s="595"/>
      <c r="T65" s="595"/>
      <c r="U65" s="595"/>
      <c r="V65" s="595"/>
      <c r="W65" s="595"/>
      <c r="X65" s="595"/>
      <c r="Y65" s="595"/>
      <c r="Z65" s="595"/>
      <c r="AA65" s="595"/>
      <c r="AB65" s="595"/>
      <c r="AC65" s="595"/>
      <c r="AD65" s="595"/>
      <c r="AE65" s="595"/>
      <c r="AF65" s="595"/>
      <c r="AG65" s="595"/>
      <c r="AH65" s="595"/>
      <c r="AI65" s="595"/>
      <c r="AJ65" s="595"/>
      <c r="AK65" s="595"/>
      <c r="AL65" s="595"/>
      <c r="AM65" s="595"/>
      <c r="AN65" s="595"/>
      <c r="AO65" s="595"/>
      <c r="AP65" s="595"/>
      <c r="AQ65" s="595"/>
      <c r="AR65" s="595"/>
      <c r="AS65" s="595"/>
      <c r="AT65" s="595"/>
      <c r="AU65" s="595"/>
      <c r="AV65" s="595"/>
      <c r="AW65" s="595"/>
      <c r="AX65" s="595"/>
      <c r="AY65" s="595"/>
      <c r="AZ65" s="595"/>
      <c r="BA65" s="595"/>
      <c r="BB65" s="595"/>
      <c r="BC65" s="595"/>
      <c r="BD65" s="595"/>
      <c r="BE65" s="595"/>
      <c r="BF65" s="595"/>
      <c r="BG65" s="595"/>
      <c r="BH65" s="595"/>
      <c r="BI65" s="595"/>
      <c r="BJ65" s="595"/>
      <c r="BK65" s="595"/>
      <c r="BL65" s="595"/>
      <c r="BM65" s="595"/>
      <c r="BN65" s="595"/>
      <c r="BO65" s="595"/>
    </row>
    <row r="66" spans="1:67" s="330" customFormat="1">
      <c r="B66" s="346" t="s">
        <v>1155</v>
      </c>
      <c r="C66" s="447" t="s">
        <v>2255</v>
      </c>
      <c r="D66" s="530" t="s">
        <v>2445</v>
      </c>
      <c r="E66" s="448"/>
      <c r="F66" s="322">
        <v>1</v>
      </c>
      <c r="G66" s="331">
        <f t="shared" si="10"/>
        <v>0</v>
      </c>
      <c r="H66" s="339">
        <f>IF(F66=1,1,0)</f>
        <v>1</v>
      </c>
      <c r="I66" s="329"/>
      <c r="J66" s="329"/>
      <c r="K66" s="347"/>
      <c r="N66" s="521"/>
      <c r="O66" s="329"/>
      <c r="P66" s="521"/>
      <c r="Q66" s="329"/>
      <c r="R66" s="521"/>
      <c r="S66" s="329"/>
      <c r="T66" s="521"/>
      <c r="U66" s="329"/>
      <c r="V66" s="521"/>
      <c r="W66" s="329"/>
      <c r="X66" s="521"/>
      <c r="Y66" s="329"/>
      <c r="Z66" s="521"/>
      <c r="AA66" s="329"/>
      <c r="AB66" s="521"/>
      <c r="AC66" s="329"/>
      <c r="AD66" s="521"/>
      <c r="AE66" s="329"/>
      <c r="AF66" s="521"/>
      <c r="AG66" s="329"/>
      <c r="AH66" s="521"/>
      <c r="AI66" s="329"/>
      <c r="AJ66" s="521"/>
      <c r="AK66" s="329"/>
      <c r="AL66" s="521"/>
      <c r="AM66" s="329"/>
      <c r="AN66" s="521"/>
      <c r="AO66" s="329"/>
      <c r="AP66" s="521"/>
      <c r="AQ66" s="329"/>
      <c r="AR66" s="521"/>
      <c r="AS66" s="329"/>
      <c r="AT66" s="521"/>
      <c r="AU66" s="329"/>
      <c r="AV66" s="521"/>
      <c r="AW66" s="329"/>
      <c r="AX66" s="521"/>
      <c r="AY66" s="329"/>
      <c r="AZ66" s="331"/>
      <c r="BA66" s="329"/>
      <c r="BB66" s="331"/>
      <c r="BC66" s="329"/>
      <c r="BD66" s="331"/>
      <c r="BE66" s="329"/>
      <c r="BF66" s="331"/>
      <c r="BG66" s="329"/>
      <c r="BH66" s="331"/>
      <c r="BI66" s="329"/>
      <c r="BJ66" s="331"/>
      <c r="BK66" s="329"/>
      <c r="BL66" s="331"/>
      <c r="BM66" s="329"/>
      <c r="BN66" s="331"/>
      <c r="BO66" s="329"/>
    </row>
    <row r="67" spans="1:67" s="330" customFormat="1">
      <c r="B67" s="346" t="s">
        <v>1155</v>
      </c>
      <c r="C67" s="447" t="s">
        <v>2256</v>
      </c>
      <c r="D67" s="530" t="s">
        <v>2446</v>
      </c>
      <c r="E67" s="448"/>
      <c r="F67" s="555">
        <v>0</v>
      </c>
      <c r="G67" s="331">
        <f t="shared" si="10"/>
        <v>1</v>
      </c>
      <c r="H67" s="339">
        <f>IF(F67=1,1,0)</f>
        <v>0</v>
      </c>
      <c r="I67" s="329"/>
      <c r="J67" s="329"/>
      <c r="K67" s="347"/>
      <c r="N67" s="521"/>
      <c r="O67" s="329"/>
      <c r="P67" s="521"/>
      <c r="Q67" s="329"/>
      <c r="R67" s="521"/>
      <c r="S67" s="329"/>
      <c r="T67" s="521"/>
      <c r="U67" s="329"/>
      <c r="V67" s="521"/>
      <c r="W67" s="329"/>
      <c r="X67" s="521"/>
      <c r="Y67" s="329"/>
      <c r="Z67" s="521"/>
      <c r="AA67" s="329"/>
      <c r="AB67" s="521"/>
      <c r="AC67" s="329"/>
      <c r="AD67" s="521"/>
      <c r="AE67" s="329"/>
      <c r="AF67" s="521"/>
      <c r="AG67" s="329"/>
      <c r="AH67" s="521"/>
      <c r="AI67" s="329"/>
      <c r="AJ67" s="521"/>
      <c r="AK67" s="329"/>
      <c r="AL67" s="521"/>
      <c r="AM67" s="329"/>
      <c r="AN67" s="521"/>
      <c r="AO67" s="329"/>
      <c r="AP67" s="521"/>
      <c r="AQ67" s="329"/>
      <c r="AR67" s="521"/>
      <c r="AS67" s="329"/>
      <c r="AT67" s="521"/>
      <c r="AU67" s="329"/>
      <c r="AV67" s="521"/>
      <c r="AW67" s="329"/>
      <c r="AX67" s="521"/>
      <c r="AY67" s="329"/>
      <c r="AZ67" s="331"/>
      <c r="BA67" s="329"/>
      <c r="BB67" s="331"/>
      <c r="BC67" s="329"/>
      <c r="BD67" s="331"/>
      <c r="BE67" s="329"/>
      <c r="BF67" s="331"/>
      <c r="BG67" s="329"/>
      <c r="BH67" s="331"/>
      <c r="BI67" s="329"/>
      <c r="BJ67" s="331"/>
      <c r="BK67" s="329"/>
      <c r="BL67" s="331"/>
      <c r="BM67" s="329"/>
      <c r="BN67" s="331"/>
      <c r="BO67" s="329"/>
    </row>
    <row r="68" spans="1:67" s="345" customFormat="1" ht="56.25">
      <c r="A68" s="531">
        <v>1</v>
      </c>
      <c r="B68" s="345" t="s">
        <v>1046</v>
      </c>
      <c r="C68" s="447"/>
      <c r="D68" s="542" t="s">
        <v>2447</v>
      </c>
      <c r="E68" s="448" t="s">
        <v>1520</v>
      </c>
      <c r="F68" s="555">
        <v>1</v>
      </c>
      <c r="G68" s="345">
        <f>IF(F68=1,1.2,0.9)</f>
        <v>1.2</v>
      </c>
      <c r="H68" s="329">
        <f t="shared" ref="H68:H71" si="11">F68</f>
        <v>1</v>
      </c>
      <c r="J68" s="345" t="s">
        <v>1165</v>
      </c>
      <c r="K68" s="558">
        <f>1-(((H68+H69+H70+H74)/4)+0.1)</f>
        <v>-0.10000000000000009</v>
      </c>
      <c r="L68" s="345" t="s">
        <v>1204</v>
      </c>
      <c r="M68" s="554" t="s">
        <v>1639</v>
      </c>
      <c r="N68" s="410"/>
      <c r="O68" s="559"/>
      <c r="P68" s="410"/>
      <c r="R68" s="521"/>
      <c r="T68" s="521"/>
      <c r="V68" s="410"/>
      <c r="X68" s="521"/>
      <c r="Y68" s="559"/>
      <c r="Z68" s="521"/>
      <c r="AB68" s="521"/>
      <c r="AD68" s="410"/>
      <c r="AE68" s="559">
        <f>$G$68</f>
        <v>1.2</v>
      </c>
      <c r="AF68" s="559">
        <f>$G$68</f>
        <v>1.2</v>
      </c>
      <c r="AH68" s="521"/>
      <c r="AJ68" s="521"/>
      <c r="AK68" s="559"/>
      <c r="AL68" s="521"/>
      <c r="AN68" s="521"/>
      <c r="AP68" s="521"/>
      <c r="AQ68" s="559"/>
      <c r="AR68" s="521"/>
      <c r="AS68" s="559"/>
      <c r="AT68" s="410"/>
      <c r="AV68" s="521"/>
      <c r="AW68" s="559"/>
      <c r="AX68" s="410"/>
      <c r="AY68" s="559"/>
      <c r="AZ68" s="331"/>
      <c r="BA68" s="559"/>
      <c r="BB68" s="331"/>
      <c r="BD68" s="331"/>
      <c r="BE68" s="559"/>
      <c r="BF68" s="331"/>
      <c r="BG68" s="559"/>
      <c r="BH68" s="559">
        <f>$G$68</f>
        <v>1.2</v>
      </c>
      <c r="BI68" s="559">
        <f>($G$68+$G$71)/2</f>
        <v>1.2</v>
      </c>
      <c r="BJ68" s="580"/>
      <c r="BL68" s="559">
        <f>$G$68</f>
        <v>1.2</v>
      </c>
      <c r="BM68" s="520"/>
      <c r="BN68" s="331"/>
      <c r="BO68" s="329"/>
    </row>
    <row r="69" spans="1:67" ht="93.75">
      <c r="B69" s="345" t="s">
        <v>1046</v>
      </c>
      <c r="D69" s="542" t="s">
        <v>2448</v>
      </c>
      <c r="F69" s="555">
        <v>1</v>
      </c>
      <c r="G69" s="345">
        <f t="shared" ref="G69:G71" si="12">IF(F69=1,1.2,0.9)</f>
        <v>1.2</v>
      </c>
      <c r="H69" s="329">
        <f t="shared" si="11"/>
        <v>1</v>
      </c>
      <c r="K69" s="347"/>
      <c r="M69" s="365"/>
      <c r="N69" s="523"/>
      <c r="O69" s="347"/>
      <c r="P69" s="523"/>
      <c r="V69" s="523"/>
      <c r="Y69" s="523"/>
      <c r="AD69" s="523"/>
      <c r="AE69" s="523"/>
      <c r="AF69" s="523"/>
      <c r="AK69" s="523"/>
      <c r="AQ69" s="347"/>
      <c r="AS69" s="523"/>
      <c r="AT69" s="523"/>
      <c r="AW69" s="523"/>
      <c r="AX69" s="523"/>
      <c r="AY69" s="523"/>
      <c r="BA69" s="347"/>
      <c r="BE69" s="523"/>
      <c r="BG69" s="347"/>
      <c r="BH69" s="373"/>
      <c r="BI69" s="347"/>
      <c r="BJ69" s="373"/>
      <c r="BL69" s="373">
        <f>$G69</f>
        <v>1.2</v>
      </c>
      <c r="BM69" s="347"/>
    </row>
    <row r="70" spans="1:67">
      <c r="B70" s="345" t="s">
        <v>1046</v>
      </c>
      <c r="D70" s="542" t="s">
        <v>2449</v>
      </c>
      <c r="F70" s="555">
        <v>1</v>
      </c>
      <c r="G70" s="345">
        <f t="shared" si="12"/>
        <v>1.2</v>
      </c>
      <c r="H70" s="329">
        <f t="shared" si="11"/>
        <v>1</v>
      </c>
      <c r="J70" s="344" t="s">
        <v>1166</v>
      </c>
      <c r="K70" s="349">
        <f>1-((H68/2)+(H71/2)+H74+H74+(H75/2)+(I87/2)+I250)/5</f>
        <v>0</v>
      </c>
      <c r="M70" s="365"/>
      <c r="N70" s="523"/>
      <c r="O70" s="347"/>
      <c r="P70" s="523"/>
      <c r="V70" s="523"/>
      <c r="Y70" s="523"/>
      <c r="AD70" s="523"/>
      <c r="AE70" s="523"/>
      <c r="AF70" s="523"/>
      <c r="AK70" s="523"/>
      <c r="AQ70" s="347"/>
      <c r="AS70" s="523"/>
      <c r="AT70" s="523"/>
      <c r="AW70" s="347">
        <f t="shared" ref="AW70:AX70" si="13">$G70</f>
        <v>1.2</v>
      </c>
      <c r="AX70" s="523">
        <f t="shared" si="13"/>
        <v>1.2</v>
      </c>
      <c r="AY70" s="523"/>
      <c r="BA70" s="347"/>
      <c r="BE70" s="523"/>
      <c r="BG70" s="347"/>
      <c r="BH70" s="373"/>
      <c r="BI70" s="347"/>
      <c r="BJ70" s="373"/>
      <c r="BL70" s="373"/>
      <c r="BM70" s="347"/>
    </row>
    <row r="71" spans="1:67">
      <c r="A71" s="531">
        <v>1</v>
      </c>
      <c r="B71" s="345" t="s">
        <v>1046</v>
      </c>
      <c r="D71" s="542" t="s">
        <v>2463</v>
      </c>
      <c r="E71" s="448" t="s">
        <v>1521</v>
      </c>
      <c r="F71" s="555">
        <v>1</v>
      </c>
      <c r="G71" s="345">
        <f t="shared" si="12"/>
        <v>1.2</v>
      </c>
      <c r="H71" s="329">
        <f t="shared" si="11"/>
        <v>1</v>
      </c>
      <c r="K71" s="347"/>
      <c r="M71" s="365"/>
      <c r="N71" s="523"/>
      <c r="O71" s="347"/>
      <c r="P71" s="523"/>
      <c r="V71" s="523">
        <f t="shared" ref="V71:W71" si="14">$G71</f>
        <v>1.2</v>
      </c>
      <c r="W71" s="347">
        <f t="shared" si="14"/>
        <v>1.2</v>
      </c>
      <c r="Y71" s="347">
        <f>$G71</f>
        <v>1.2</v>
      </c>
      <c r="AD71" s="523"/>
      <c r="AE71" s="523"/>
      <c r="AF71" s="523"/>
      <c r="AK71" s="523"/>
      <c r="AQ71" s="347"/>
      <c r="AS71" s="523"/>
      <c r="AT71" s="523"/>
      <c r="AW71" s="523"/>
      <c r="AX71" s="523"/>
      <c r="AY71" s="523"/>
      <c r="BA71" s="347"/>
      <c r="BE71" s="523"/>
      <c r="BG71" s="347"/>
      <c r="BH71" s="373"/>
      <c r="BI71" s="559">
        <f>($G$68+$G$71)/2</f>
        <v>1.2</v>
      </c>
      <c r="BJ71" s="373"/>
      <c r="BL71" s="373"/>
      <c r="BM71" s="347"/>
    </row>
    <row r="72" spans="1:67" ht="37.5">
      <c r="A72" s="531"/>
      <c r="B72" s="345" t="s">
        <v>1046</v>
      </c>
      <c r="D72" s="542" t="s">
        <v>2462</v>
      </c>
      <c r="E72" s="448" t="s">
        <v>1522</v>
      </c>
      <c r="F72" s="555">
        <v>0</v>
      </c>
      <c r="G72" s="331">
        <f>IF(F72=1,0.9,1.2)</f>
        <v>1.2</v>
      </c>
      <c r="H72" s="329">
        <f>IF(F72=0,1,0)</f>
        <v>1</v>
      </c>
      <c r="I72" s="346">
        <f>IF(F72=1,1,0)</f>
        <v>0</v>
      </c>
      <c r="J72" s="344" t="s">
        <v>1167</v>
      </c>
      <c r="K72" s="349">
        <f>(1-((F78+F77+G61+F48))/4)</f>
        <v>1</v>
      </c>
      <c r="L72" s="329">
        <f>IF(K72&gt;0.5,1.2,0.8)</f>
        <v>1.2</v>
      </c>
      <c r="M72" s="365"/>
      <c r="N72" s="523"/>
      <c r="O72" s="347"/>
      <c r="P72" s="523"/>
      <c r="V72" s="523"/>
      <c r="Y72" s="523"/>
      <c r="AD72" s="523"/>
      <c r="AE72" s="523"/>
      <c r="AF72" s="523"/>
      <c r="AK72" s="523"/>
      <c r="AQ72" s="347"/>
      <c r="AS72" s="347">
        <f t="shared" ref="AS72:AT72" si="15">$G72</f>
        <v>1.2</v>
      </c>
      <c r="AT72" s="523">
        <f t="shared" si="15"/>
        <v>1.2</v>
      </c>
      <c r="AW72" s="523"/>
      <c r="AX72" s="523"/>
      <c r="AY72" s="523"/>
      <c r="AZ72" s="373">
        <f>$G72</f>
        <v>1.2</v>
      </c>
      <c r="BA72" s="347">
        <f>$G72</f>
        <v>1.2</v>
      </c>
      <c r="BE72" s="347">
        <f>$G72</f>
        <v>1.2</v>
      </c>
      <c r="BG72" s="347"/>
      <c r="BH72" s="373"/>
      <c r="BI72" s="347"/>
      <c r="BJ72" s="373"/>
      <c r="BK72" s="347">
        <f>$G72</f>
        <v>1.2</v>
      </c>
      <c r="BL72" s="373"/>
      <c r="BM72" s="347"/>
    </row>
    <row r="73" spans="1:67" ht="37.5">
      <c r="A73" s="531"/>
      <c r="B73" s="345" t="s">
        <v>1046</v>
      </c>
      <c r="D73" s="542" t="s">
        <v>2461</v>
      </c>
      <c r="E73" s="448" t="s">
        <v>1523</v>
      </c>
      <c r="F73" s="555">
        <v>0</v>
      </c>
      <c r="G73" s="331">
        <f>IF(F73=1,0.9,1.2)</f>
        <v>1.2</v>
      </c>
      <c r="H73" s="329">
        <f>IF(F73=0,1,0)</f>
        <v>1</v>
      </c>
      <c r="I73" s="346">
        <f>IF(F73=1,1,0)</f>
        <v>0</v>
      </c>
      <c r="J73" s="360" t="s">
        <v>1189</v>
      </c>
      <c r="K73" s="347">
        <f>(F7/(F6^2))*100</f>
        <v>0.20061728395061729</v>
      </c>
      <c r="L73" s="360">
        <f>IF(K73&lt;0.25,1,IF(K73&gt;0.3,2,1.2))</f>
        <v>1</v>
      </c>
      <c r="M73" s="365"/>
      <c r="N73" s="523"/>
      <c r="O73" s="347"/>
      <c r="P73" s="523"/>
      <c r="V73" s="523"/>
      <c r="Y73" s="523"/>
      <c r="AD73" s="523"/>
      <c r="AE73" s="523"/>
      <c r="AF73" s="523"/>
      <c r="AK73" s="523"/>
      <c r="AQ73" s="347"/>
      <c r="AS73" s="523"/>
      <c r="AT73" s="523"/>
      <c r="AW73" s="523"/>
      <c r="AX73" s="523"/>
      <c r="AY73" s="523"/>
      <c r="AZ73" s="373">
        <f t="shared" ref="AZ73:BA73" si="16">$G73</f>
        <v>1.2</v>
      </c>
      <c r="BA73" s="347">
        <f t="shared" si="16"/>
        <v>1.2</v>
      </c>
      <c r="BE73" s="347">
        <f>$G73</f>
        <v>1.2</v>
      </c>
      <c r="BG73" s="347"/>
      <c r="BH73" s="373"/>
      <c r="BI73" s="347"/>
      <c r="BJ73" s="373"/>
      <c r="BL73" s="373"/>
      <c r="BM73" s="347"/>
    </row>
    <row r="74" spans="1:67" s="323" customFormat="1" ht="37.5">
      <c r="B74" s="345" t="s">
        <v>1046</v>
      </c>
      <c r="C74" s="447"/>
      <c r="D74" s="542" t="s">
        <v>2460</v>
      </c>
      <c r="E74" s="448"/>
      <c r="F74" s="555">
        <v>1</v>
      </c>
      <c r="G74" s="331">
        <f>IF(F74=1,1.2,0.9)</f>
        <v>1.2</v>
      </c>
      <c r="H74" s="329">
        <f>IF(F74=1,1,0)</f>
        <v>1</v>
      </c>
      <c r="J74" s="362" t="s">
        <v>1190</v>
      </c>
      <c r="K74" s="363"/>
      <c r="L74" s="362">
        <f>IF(K73&lt;0.18,1.2,1)</f>
        <v>1</v>
      </c>
      <c r="M74" s="364"/>
      <c r="N74" s="524"/>
      <c r="O74" s="350"/>
      <c r="P74" s="524"/>
      <c r="R74" s="522"/>
      <c r="T74" s="522"/>
      <c r="V74" s="524"/>
      <c r="X74" s="522"/>
      <c r="Y74" s="524"/>
      <c r="Z74" s="522"/>
      <c r="AB74" s="522"/>
      <c r="AD74" s="524"/>
      <c r="AE74" s="524"/>
      <c r="AF74" s="524"/>
      <c r="AH74" s="522"/>
      <c r="AJ74" s="522"/>
      <c r="AK74" s="524"/>
      <c r="AL74" s="522"/>
      <c r="AN74" s="522"/>
      <c r="AP74" s="522"/>
      <c r="AQ74" s="350"/>
      <c r="AR74" s="522"/>
      <c r="AS74" s="524"/>
      <c r="AT74" s="524"/>
      <c r="AV74" s="522"/>
      <c r="AW74" s="524"/>
      <c r="AX74" s="524"/>
      <c r="AY74" s="524"/>
      <c r="AZ74" s="341"/>
      <c r="BA74" s="350"/>
      <c r="BB74" s="341"/>
      <c r="BD74" s="341"/>
      <c r="BE74" s="524"/>
      <c r="BF74" s="341"/>
      <c r="BG74" s="350"/>
      <c r="BH74" s="369"/>
      <c r="BI74" s="350"/>
      <c r="BJ74" s="369"/>
      <c r="BL74" s="369"/>
      <c r="BM74" s="350"/>
      <c r="BN74" s="341"/>
    </row>
    <row r="75" spans="1:67" s="323" customFormat="1" ht="37.5">
      <c r="B75" s="345" t="s">
        <v>1046</v>
      </c>
      <c r="C75" s="447"/>
      <c r="D75" s="542" t="s">
        <v>2459</v>
      </c>
      <c r="E75" s="589"/>
      <c r="F75" s="555">
        <v>1</v>
      </c>
      <c r="G75" s="331">
        <f>IF(F75=1,1.2,0.9)</f>
        <v>1.2</v>
      </c>
      <c r="H75" s="329">
        <f t="shared" ref="H75" si="17">F75</f>
        <v>1</v>
      </c>
      <c r="K75" s="350"/>
      <c r="M75" s="364"/>
      <c r="N75" s="524"/>
      <c r="O75" s="350"/>
      <c r="P75" s="524"/>
      <c r="R75" s="522"/>
      <c r="T75" s="522"/>
      <c r="V75" s="524"/>
      <c r="X75" s="522"/>
      <c r="Y75" s="524"/>
      <c r="Z75" s="522"/>
      <c r="AB75" s="522"/>
      <c r="AD75" s="524"/>
      <c r="AE75" s="524"/>
      <c r="AF75" s="524"/>
      <c r="AH75" s="522"/>
      <c r="AJ75" s="522"/>
      <c r="AK75" s="524"/>
      <c r="AL75" s="522"/>
      <c r="AN75" s="522"/>
      <c r="AP75" s="522"/>
      <c r="AQ75" s="350"/>
      <c r="AR75" s="522"/>
      <c r="AS75" s="524"/>
      <c r="AT75" s="524"/>
      <c r="AV75" s="522"/>
      <c r="AW75" s="524"/>
      <c r="AX75" s="524"/>
      <c r="AY75" s="524"/>
      <c r="AZ75" s="341"/>
      <c r="BA75" s="350"/>
      <c r="BB75" s="341"/>
      <c r="BD75" s="341"/>
      <c r="BE75" s="524"/>
      <c r="BF75" s="341"/>
      <c r="BG75" s="350"/>
      <c r="BH75" s="369"/>
      <c r="BI75" s="350"/>
      <c r="BJ75" s="369"/>
      <c r="BL75" s="369"/>
      <c r="BM75" s="350"/>
      <c r="BN75" s="341"/>
    </row>
    <row r="76" spans="1:67" s="323" customFormat="1">
      <c r="B76" s="345" t="s">
        <v>1046</v>
      </c>
      <c r="C76" s="447"/>
      <c r="D76" s="661" t="s">
        <v>2458</v>
      </c>
      <c r="E76" s="448"/>
      <c r="F76" s="555">
        <v>0</v>
      </c>
      <c r="G76" s="331"/>
      <c r="H76" s="329"/>
      <c r="K76" s="350"/>
      <c r="M76" s="364"/>
      <c r="N76" s="524"/>
      <c r="O76" s="350"/>
      <c r="P76" s="524"/>
      <c r="R76" s="522"/>
      <c r="T76" s="522"/>
      <c r="V76" s="524"/>
      <c r="X76" s="522"/>
      <c r="Z76" s="522"/>
      <c r="AB76" s="522"/>
      <c r="AD76" s="524"/>
      <c r="AE76" s="524"/>
      <c r="AF76" s="524"/>
      <c r="AH76" s="522"/>
      <c r="AJ76" s="522"/>
      <c r="AK76" s="524"/>
      <c r="AL76" s="522"/>
      <c r="AN76" s="522"/>
      <c r="AP76" s="522"/>
      <c r="AQ76" s="350"/>
      <c r="AR76" s="522"/>
      <c r="AS76" s="524"/>
      <c r="AT76" s="524"/>
      <c r="AV76" s="522"/>
      <c r="AW76" s="524"/>
      <c r="AX76" s="524"/>
      <c r="AY76" s="524"/>
      <c r="AZ76" s="341"/>
      <c r="BA76" s="350"/>
      <c r="BB76" s="341"/>
      <c r="BD76" s="341"/>
      <c r="BE76" s="524"/>
      <c r="BF76" s="341"/>
      <c r="BG76" s="347"/>
      <c r="BH76" s="369"/>
      <c r="BI76" s="350"/>
      <c r="BJ76" s="369"/>
      <c r="BL76" s="369"/>
      <c r="BM76" s="350"/>
      <c r="BN76" s="341"/>
    </row>
    <row r="77" spans="1:67" s="323" customFormat="1">
      <c r="B77" s="345" t="s">
        <v>1046</v>
      </c>
      <c r="C77" s="447" t="s">
        <v>2263</v>
      </c>
      <c r="D77" s="530" t="s">
        <v>2457</v>
      </c>
      <c r="E77" s="448"/>
      <c r="F77" s="555">
        <v>0</v>
      </c>
      <c r="G77" s="331">
        <f>IF(F77=1,1.2,0.9)</f>
        <v>0.9</v>
      </c>
      <c r="H77" s="329">
        <f t="shared" ref="H77:H81" si="18">F77</f>
        <v>0</v>
      </c>
      <c r="K77" s="350"/>
      <c r="M77" s="364"/>
      <c r="N77" s="523">
        <f t="shared" ref="N77:N78" si="19">$G77</f>
        <v>0.9</v>
      </c>
      <c r="O77" s="350"/>
      <c r="P77" s="524"/>
      <c r="R77" s="522"/>
      <c r="T77" s="522"/>
      <c r="V77" s="524"/>
      <c r="X77" s="522"/>
      <c r="Z77" s="522"/>
      <c r="AB77" s="522"/>
      <c r="AD77" s="524"/>
      <c r="AE77" s="524"/>
      <c r="AF77" s="524"/>
      <c r="AH77" s="522"/>
      <c r="AJ77" s="522"/>
      <c r="AK77" s="524"/>
      <c r="AL77" s="522"/>
      <c r="AN77" s="522"/>
      <c r="AP77" s="522"/>
      <c r="AQ77" s="350"/>
      <c r="AR77" s="522"/>
      <c r="AS77" s="524"/>
      <c r="AT77" s="524"/>
      <c r="AV77" s="522"/>
      <c r="AW77" s="524"/>
      <c r="AX77" s="524"/>
      <c r="AY77" s="524"/>
      <c r="AZ77" s="341"/>
      <c r="BA77" s="350"/>
      <c r="BB77" s="341"/>
      <c r="BD77" s="341"/>
      <c r="BE77" s="524"/>
      <c r="BF77" s="341"/>
      <c r="BG77" s="347">
        <f>$G78</f>
        <v>0.9</v>
      </c>
      <c r="BH77" s="369"/>
      <c r="BI77" s="350"/>
      <c r="BJ77" s="369"/>
      <c r="BL77" s="369"/>
      <c r="BM77" s="350"/>
      <c r="BN77" s="341"/>
    </row>
    <row r="78" spans="1:67" s="323" customFormat="1" ht="37.5">
      <c r="B78" s="345" t="s">
        <v>1046</v>
      </c>
      <c r="C78" s="447" t="s">
        <v>2263</v>
      </c>
      <c r="D78" s="530" t="s">
        <v>2456</v>
      </c>
      <c r="E78" s="448"/>
      <c r="F78" s="555">
        <v>0</v>
      </c>
      <c r="G78" s="331">
        <f>IF(F78=1,1.2,0.9)</f>
        <v>0.9</v>
      </c>
      <c r="H78" s="329">
        <f t="shared" si="18"/>
        <v>0</v>
      </c>
      <c r="K78" s="350"/>
      <c r="M78" s="364"/>
      <c r="N78" s="523">
        <f t="shared" si="19"/>
        <v>0.9</v>
      </c>
      <c r="O78" s="350"/>
      <c r="P78" s="524"/>
      <c r="R78" s="522"/>
      <c r="T78" s="522"/>
      <c r="V78" s="524"/>
      <c r="X78" s="522"/>
      <c r="Z78" s="522"/>
      <c r="AB78" s="522"/>
      <c r="AD78" s="524"/>
      <c r="AE78" s="524"/>
      <c r="AF78" s="524"/>
      <c r="AH78" s="522"/>
      <c r="AJ78" s="522"/>
      <c r="AK78" s="524"/>
      <c r="AL78" s="522"/>
      <c r="AN78" s="522"/>
      <c r="AP78" s="522"/>
      <c r="AQ78" s="350"/>
      <c r="AR78" s="522"/>
      <c r="AS78" s="524"/>
      <c r="AT78" s="524"/>
      <c r="AV78" s="522"/>
      <c r="AW78" s="524"/>
      <c r="AX78" s="524"/>
      <c r="AY78" s="524"/>
      <c r="AZ78" s="341"/>
      <c r="BA78" s="350"/>
      <c r="BB78" s="341"/>
      <c r="BD78" s="341"/>
      <c r="BE78" s="524"/>
      <c r="BF78" s="341"/>
      <c r="BG78" s="347"/>
      <c r="BH78" s="369"/>
      <c r="BI78" s="350"/>
      <c r="BJ78" s="369"/>
      <c r="BL78" s="369"/>
      <c r="BM78" s="350"/>
      <c r="BN78" s="341"/>
    </row>
    <row r="79" spans="1:67" ht="37.5">
      <c r="A79" s="531"/>
      <c r="B79" s="345" t="s">
        <v>1046</v>
      </c>
      <c r="D79" s="543" t="s">
        <v>2455</v>
      </c>
      <c r="E79" s="448" t="s">
        <v>1524</v>
      </c>
      <c r="F79" s="555">
        <v>0</v>
      </c>
      <c r="G79" s="331">
        <f>IF(F79=1,1.2,1)</f>
        <v>1</v>
      </c>
      <c r="H79" s="329">
        <f t="shared" si="18"/>
        <v>0</v>
      </c>
      <c r="J79" s="344" t="s">
        <v>1162</v>
      </c>
      <c r="K79" s="349">
        <f>1-((H79+H80+H81+H82+I25+I111+I118)/7)</f>
        <v>1</v>
      </c>
      <c r="L79" s="346">
        <f>IF(K79&lt;0.51,1.2,0.8)</f>
        <v>0.8</v>
      </c>
      <c r="M79" s="346">
        <f>IF(K79&lt;0.51,1,0)</f>
        <v>0</v>
      </c>
      <c r="N79" s="524"/>
      <c r="O79" s="350"/>
      <c r="P79" s="524"/>
      <c r="V79" s="524"/>
      <c r="AD79" s="524"/>
      <c r="AE79" s="524"/>
      <c r="AF79" s="524"/>
      <c r="AK79" s="524"/>
      <c r="AQ79" s="350"/>
      <c r="AS79" s="524"/>
      <c r="AT79" s="524"/>
      <c r="AW79" s="524"/>
      <c r="AX79" s="524"/>
      <c r="AY79" s="524"/>
      <c r="BA79" s="350"/>
      <c r="BE79" s="524"/>
      <c r="BG79" s="350"/>
      <c r="BH79" s="369"/>
      <c r="BI79" s="350"/>
      <c r="BJ79" s="369"/>
      <c r="BL79" s="369"/>
      <c r="BM79" s="350"/>
      <c r="BN79" s="341"/>
    </row>
    <row r="80" spans="1:67">
      <c r="A80" s="531"/>
      <c r="B80" s="345" t="s">
        <v>1046</v>
      </c>
      <c r="D80" s="543" t="s">
        <v>2454</v>
      </c>
      <c r="E80" s="448" t="s">
        <v>1525</v>
      </c>
      <c r="F80" s="555">
        <v>0</v>
      </c>
      <c r="G80" s="341">
        <f>IF(F80=1,1.2,1)</f>
        <v>1</v>
      </c>
      <c r="H80" s="329">
        <f t="shared" si="18"/>
        <v>0</v>
      </c>
      <c r="K80" s="347"/>
      <c r="AS80" s="521"/>
      <c r="AY80" s="521"/>
      <c r="BJ80" s="331">
        <f>L79</f>
        <v>0.8</v>
      </c>
      <c r="BN80" s="341"/>
    </row>
    <row r="81" spans="1:67">
      <c r="A81" s="531"/>
      <c r="B81" s="345" t="s">
        <v>1046</v>
      </c>
      <c r="D81" s="543" t="s">
        <v>2453</v>
      </c>
      <c r="E81" s="448" t="s">
        <v>1526</v>
      </c>
      <c r="F81" s="555">
        <v>0</v>
      </c>
      <c r="G81" s="331">
        <f>IF(F81=1,1.2,1)</f>
        <v>1</v>
      </c>
      <c r="H81" s="329">
        <f t="shared" si="18"/>
        <v>0</v>
      </c>
      <c r="J81" s="345" t="s">
        <v>1163</v>
      </c>
      <c r="K81" s="361">
        <f>1-(H73+H90+H89+H85+H84+H83+H71)/19</f>
        <v>0.26315789473684215</v>
      </c>
      <c r="L81" s="360">
        <f>IF(K81&lt;0.4,1.1,0.8)</f>
        <v>1.1000000000000001</v>
      </c>
      <c r="M81" s="360"/>
      <c r="AS81" s="521"/>
      <c r="BN81" s="341"/>
    </row>
    <row r="82" spans="1:67" ht="37.5">
      <c r="A82" s="531"/>
      <c r="B82" s="345" t="s">
        <v>1046</v>
      </c>
      <c r="D82" s="543" t="s">
        <v>2452</v>
      </c>
      <c r="E82" s="448" t="s">
        <v>1527</v>
      </c>
      <c r="F82" s="555">
        <v>0</v>
      </c>
      <c r="G82" s="331">
        <f>IF(F82=1,1.2,1)</f>
        <v>1</v>
      </c>
      <c r="H82" s="329">
        <f>F82</f>
        <v>0</v>
      </c>
      <c r="BN82" s="341"/>
    </row>
    <row r="83" spans="1:67" ht="37.5">
      <c r="B83" s="345" t="s">
        <v>1046</v>
      </c>
      <c r="D83" s="542" t="s">
        <v>2451</v>
      </c>
      <c r="F83" s="555">
        <v>1</v>
      </c>
      <c r="G83" s="331">
        <f>IF(F83=1,1,0)</f>
        <v>1</v>
      </c>
      <c r="H83" s="329">
        <f>IF(F83=0,0,3)</f>
        <v>3</v>
      </c>
      <c r="J83" s="346" t="s">
        <v>1164</v>
      </c>
      <c r="K83" s="348">
        <f>1-((H88+H87+H72)/7)</f>
        <v>0</v>
      </c>
      <c r="L83" s="344">
        <f>IF(K83&lt;0.5,1.1,IF(K83=0,0.8,1))</f>
        <v>1.1000000000000001</v>
      </c>
      <c r="M83" s="344"/>
      <c r="Q83" s="520"/>
      <c r="U83" s="520"/>
      <c r="V83" s="410"/>
      <c r="W83" s="520"/>
      <c r="X83" s="410"/>
      <c r="Y83" s="520"/>
      <c r="Z83" s="410"/>
      <c r="AA83" s="520"/>
      <c r="AB83" s="410"/>
      <c r="AC83" s="520"/>
      <c r="AD83" s="410"/>
      <c r="AE83" s="520"/>
      <c r="AF83" s="410"/>
      <c r="AG83" s="520"/>
      <c r="AH83" s="410"/>
      <c r="AI83" s="520"/>
    </row>
    <row r="84" spans="1:67" ht="37.5">
      <c r="B84" s="345" t="s">
        <v>1046</v>
      </c>
      <c r="D84" s="542" t="s">
        <v>2659</v>
      </c>
      <c r="F84" s="322">
        <v>0</v>
      </c>
      <c r="G84" s="373">
        <f>IF(F84&lt;1.1,0.8,IF(F84&gt;2.1,1.2,1))</f>
        <v>0.8</v>
      </c>
      <c r="H84" s="329">
        <f>F84</f>
        <v>0</v>
      </c>
      <c r="Q84" s="347"/>
      <c r="U84" s="347"/>
      <c r="V84" s="523"/>
      <c r="W84" s="347"/>
      <c r="X84" s="523"/>
      <c r="Y84" s="347"/>
      <c r="Z84" s="523"/>
      <c r="AA84" s="347"/>
      <c r="AB84" s="523"/>
      <c r="AC84" s="347"/>
      <c r="AD84" s="523"/>
      <c r="AE84" s="347"/>
      <c r="AF84" s="523"/>
      <c r="AG84" s="347"/>
      <c r="AH84" s="523"/>
      <c r="AI84" s="347"/>
      <c r="BA84" s="523">
        <f>$G84</f>
        <v>0.8</v>
      </c>
    </row>
    <row r="85" spans="1:67" ht="37.5">
      <c r="B85" s="345" t="s">
        <v>1046</v>
      </c>
      <c r="D85" s="834" t="s">
        <v>2660</v>
      </c>
      <c r="F85" s="322">
        <v>3</v>
      </c>
      <c r="G85" s="373">
        <f>IF(F85&lt;1.1,0.8,IF(F85&gt;2.1,1.2,1))</f>
        <v>1.2</v>
      </c>
      <c r="H85" s="329">
        <f>F85</f>
        <v>3</v>
      </c>
      <c r="Q85" s="347"/>
      <c r="U85" s="347"/>
      <c r="V85" s="523"/>
      <c r="W85" s="347"/>
      <c r="X85" s="523"/>
      <c r="Y85" s="347"/>
      <c r="Z85" s="523"/>
      <c r="AA85" s="347"/>
      <c r="AB85" s="523"/>
      <c r="AC85" s="347"/>
      <c r="AD85" s="523"/>
      <c r="AE85" s="347"/>
      <c r="AF85" s="523"/>
      <c r="AG85" s="347">
        <f>$G85</f>
        <v>1.2</v>
      </c>
      <c r="AH85" s="523"/>
      <c r="AI85" s="347"/>
    </row>
    <row r="86" spans="1:67" ht="37.5">
      <c r="B86" s="345" t="s">
        <v>1046</v>
      </c>
      <c r="D86" s="834" t="s">
        <v>2661</v>
      </c>
      <c r="F86" s="322">
        <v>3</v>
      </c>
      <c r="G86" s="331">
        <f>IF(F86=3,1,0.5)</f>
        <v>1</v>
      </c>
      <c r="H86" s="332">
        <f>IF(F86=0,1,0)</f>
        <v>0</v>
      </c>
      <c r="Q86" s="347"/>
      <c r="U86" s="347"/>
      <c r="V86" s="523"/>
      <c r="W86" s="347"/>
      <c r="X86" s="523"/>
      <c r="Y86" s="347"/>
      <c r="Z86" s="523"/>
      <c r="AA86" s="347"/>
      <c r="AB86" s="523"/>
      <c r="AC86" s="347"/>
      <c r="AD86" s="523"/>
      <c r="AE86" s="347"/>
      <c r="AF86" s="523"/>
      <c r="AG86" s="347"/>
      <c r="AH86" s="523"/>
      <c r="AI86" s="347"/>
    </row>
    <row r="87" spans="1:67" ht="56.25">
      <c r="B87" s="345" t="s">
        <v>1046</v>
      </c>
      <c r="D87" s="834" t="s">
        <v>2662</v>
      </c>
      <c r="F87" s="322">
        <v>3</v>
      </c>
      <c r="G87" s="373">
        <f>IF(F87&lt;1.1,0.8,IF(F87&gt;2.1,1.2,1))</f>
        <v>1.2</v>
      </c>
      <c r="H87" s="329">
        <f>F87</f>
        <v>3</v>
      </c>
      <c r="I87" s="329">
        <f>IF(F87=3,1,0)</f>
        <v>1</v>
      </c>
      <c r="Q87" s="347"/>
      <c r="R87" s="523">
        <f>$G87</f>
        <v>1.2</v>
      </c>
      <c r="U87" s="347"/>
      <c r="V87" s="523"/>
      <c r="W87" s="347"/>
      <c r="X87" s="523"/>
      <c r="Y87" s="347"/>
      <c r="Z87" s="523"/>
      <c r="AA87" s="347"/>
      <c r="AB87" s="523"/>
      <c r="AC87" s="347"/>
      <c r="AD87" s="523"/>
      <c r="AE87" s="347"/>
      <c r="AF87" s="957">
        <f>$L$83</f>
        <v>1.1000000000000001</v>
      </c>
      <c r="AG87" s="957">
        <f>$L$83</f>
        <v>1.1000000000000001</v>
      </c>
      <c r="AH87" s="523"/>
      <c r="AI87" s="347"/>
      <c r="AK87" s="523"/>
      <c r="AP87" s="957">
        <f>$L$83</f>
        <v>1.1000000000000001</v>
      </c>
      <c r="AQ87" s="957">
        <f>$L$83</f>
        <v>1.1000000000000001</v>
      </c>
    </row>
    <row r="88" spans="1:67" ht="37.5">
      <c r="B88" s="345" t="s">
        <v>1046</v>
      </c>
      <c r="D88" s="834" t="s">
        <v>2663</v>
      </c>
      <c r="F88" s="322">
        <v>3</v>
      </c>
      <c r="G88" s="373">
        <f>IF(F88&lt;1.1,0.8,IF(F88&gt;2.1,1.2,1))</f>
        <v>1.2</v>
      </c>
      <c r="H88" s="329">
        <f>F88</f>
        <v>3</v>
      </c>
      <c r="Q88" s="347"/>
      <c r="U88" s="347"/>
      <c r="V88" s="523"/>
      <c r="W88" s="347"/>
      <c r="X88" s="523"/>
      <c r="Y88" s="347"/>
      <c r="Z88" s="523"/>
      <c r="AA88" s="347"/>
      <c r="AB88" s="523"/>
      <c r="AC88" s="347"/>
      <c r="AD88" s="523"/>
      <c r="AE88" s="347"/>
      <c r="AF88" s="523"/>
      <c r="AG88" s="523"/>
      <c r="AH88" s="523"/>
      <c r="AI88" s="347"/>
      <c r="AK88" s="523"/>
      <c r="AP88" s="957">
        <f>$L$81</f>
        <v>1.1000000000000001</v>
      </c>
      <c r="AQ88" s="957">
        <f>$L$81</f>
        <v>1.1000000000000001</v>
      </c>
      <c r="AR88" s="957">
        <f>$L$81</f>
        <v>1.1000000000000001</v>
      </c>
    </row>
    <row r="89" spans="1:67" ht="75">
      <c r="B89" s="345" t="s">
        <v>1046</v>
      </c>
      <c r="D89" s="834" t="s">
        <v>2664</v>
      </c>
      <c r="F89" s="322">
        <v>3</v>
      </c>
      <c r="G89" s="373">
        <f>IF(F89&lt;1.1,0.8,IF(F89&gt;2.1,1.2,1))</f>
        <v>1.2</v>
      </c>
      <c r="H89" s="329">
        <f>F89</f>
        <v>3</v>
      </c>
      <c r="Q89" s="350"/>
      <c r="U89" s="350"/>
      <c r="V89" s="524"/>
      <c r="W89" s="350"/>
      <c r="X89" s="524"/>
      <c r="Y89" s="350"/>
      <c r="Z89" s="524"/>
      <c r="AA89" s="350"/>
      <c r="AB89" s="524"/>
      <c r="AC89" s="350"/>
      <c r="AD89" s="524"/>
      <c r="AE89" s="350"/>
      <c r="AF89" s="957">
        <f>L$81</f>
        <v>1.1000000000000001</v>
      </c>
      <c r="AG89" s="523"/>
      <c r="AH89" s="524"/>
      <c r="AI89" s="350"/>
      <c r="AK89" s="523"/>
      <c r="AP89" s="523"/>
      <c r="AQ89" s="523"/>
    </row>
    <row r="90" spans="1:67" ht="75">
      <c r="B90" s="345" t="s">
        <v>1046</v>
      </c>
      <c r="D90" s="834" t="s">
        <v>2665</v>
      </c>
      <c r="F90" s="322">
        <v>3</v>
      </c>
      <c r="G90" s="373">
        <f>IF(F90&lt;1.1,0.8,IF(F90&gt;2.1,1.2,1))</f>
        <v>1.2</v>
      </c>
      <c r="H90" s="329">
        <f>F90</f>
        <v>3</v>
      </c>
      <c r="Q90" s="350"/>
      <c r="U90" s="350"/>
      <c r="V90" s="524"/>
      <c r="W90" s="350"/>
      <c r="X90" s="524"/>
      <c r="Y90" s="350"/>
      <c r="Z90" s="524"/>
      <c r="AA90" s="350"/>
      <c r="AB90" s="524"/>
      <c r="AC90" s="350"/>
      <c r="AD90" s="524"/>
      <c r="AE90" s="350"/>
      <c r="AF90" s="523"/>
      <c r="AG90" s="523"/>
      <c r="AH90" s="524"/>
      <c r="AI90" s="350"/>
      <c r="AK90" s="523"/>
      <c r="AP90" s="523"/>
      <c r="AQ90" s="523"/>
    </row>
    <row r="91" spans="1:67" s="330" customFormat="1">
      <c r="B91" s="345" t="s">
        <v>1046</v>
      </c>
      <c r="C91" s="447" t="s">
        <v>2265</v>
      </c>
      <c r="D91" s="542" t="s">
        <v>2450</v>
      </c>
      <c r="E91" s="448"/>
      <c r="F91" s="555">
        <v>0</v>
      </c>
      <c r="G91" s="331">
        <f>IF(F91=1,0.9,1.2)</f>
        <v>1.2</v>
      </c>
      <c r="H91" s="331">
        <f>IF(F91=1,0,1)</f>
        <v>1</v>
      </c>
      <c r="I91" s="329">
        <f>F91</f>
        <v>0</v>
      </c>
      <c r="J91" s="329"/>
      <c r="K91" s="329"/>
      <c r="N91" s="521"/>
      <c r="O91" s="329"/>
      <c r="P91" s="521"/>
      <c r="Q91" s="350"/>
      <c r="R91" s="524"/>
      <c r="T91" s="521"/>
      <c r="U91" s="350"/>
      <c r="V91" s="524"/>
      <c r="W91" s="350"/>
      <c r="X91" s="524"/>
      <c r="Y91" s="350"/>
      <c r="Z91" s="524"/>
      <c r="AA91" s="350"/>
      <c r="AB91" s="524"/>
      <c r="AC91" s="350"/>
      <c r="AD91" s="524"/>
      <c r="AE91" s="350"/>
      <c r="AF91" s="524"/>
      <c r="AG91" s="350"/>
      <c r="AH91" s="524"/>
      <c r="AI91" s="350"/>
      <c r="AJ91" s="521"/>
      <c r="AK91" s="329"/>
      <c r="AL91" s="521"/>
      <c r="AM91" s="329"/>
      <c r="AN91" s="521"/>
      <c r="AO91" s="329"/>
      <c r="AP91" s="521"/>
      <c r="AQ91" s="329"/>
      <c r="AR91" s="521"/>
      <c r="AS91" s="329">
        <f>$G$91*G21*I3</f>
        <v>0</v>
      </c>
      <c r="AT91" s="329">
        <f>$G$91*G21</f>
        <v>0</v>
      </c>
      <c r="AU91" s="329"/>
      <c r="AV91" s="521"/>
      <c r="AW91" s="329"/>
      <c r="AX91" s="521"/>
      <c r="AY91" s="329"/>
      <c r="AZ91" s="331"/>
      <c r="BA91" s="329"/>
      <c r="BB91" s="331"/>
      <c r="BC91" s="329"/>
      <c r="BD91" s="331"/>
      <c r="BE91" s="329"/>
      <c r="BF91" s="331"/>
      <c r="BG91" s="329"/>
      <c r="BH91" s="331"/>
      <c r="BI91" s="329"/>
      <c r="BJ91" s="331"/>
      <c r="BK91" s="329"/>
      <c r="BL91" s="331"/>
      <c r="BM91" s="329"/>
      <c r="BN91" s="331"/>
      <c r="BO91" s="329"/>
    </row>
    <row r="92" spans="1:67" s="330" customFormat="1">
      <c r="C92" s="447"/>
      <c r="D92" s="862"/>
      <c r="E92" s="448"/>
      <c r="F92" s="328"/>
      <c r="H92" s="329"/>
      <c r="I92" s="329"/>
      <c r="J92" s="329"/>
      <c r="K92" s="329"/>
      <c r="N92" s="521"/>
      <c r="O92" s="329"/>
      <c r="P92" s="521"/>
      <c r="Q92" s="350"/>
      <c r="R92" s="524"/>
      <c r="T92" s="521"/>
      <c r="U92" s="350"/>
      <c r="V92" s="524"/>
      <c r="W92" s="350"/>
      <c r="X92" s="524"/>
      <c r="Y92" s="350"/>
      <c r="Z92" s="524"/>
      <c r="AA92" s="350"/>
      <c r="AB92" s="524"/>
      <c r="AC92" s="350"/>
      <c r="AD92" s="524"/>
      <c r="AE92" s="350"/>
      <c r="AF92" s="524"/>
      <c r="AG92" s="350"/>
      <c r="AH92" s="524"/>
      <c r="AI92" s="350"/>
      <c r="AJ92" s="521"/>
      <c r="AK92" s="329"/>
      <c r="AL92" s="521"/>
      <c r="AM92" s="329"/>
      <c r="AN92" s="521"/>
      <c r="AO92" s="329"/>
      <c r="AP92" s="521"/>
      <c r="AQ92" s="329"/>
      <c r="AR92" s="521"/>
      <c r="AS92" s="329"/>
      <c r="AT92" s="521"/>
      <c r="AU92" s="329"/>
      <c r="AV92" s="521"/>
      <c r="AW92" s="329"/>
      <c r="AX92" s="521"/>
      <c r="AY92" s="329"/>
      <c r="AZ92" s="331"/>
      <c r="BA92" s="329"/>
      <c r="BB92" s="331"/>
      <c r="BC92" s="329"/>
      <c r="BD92" s="331"/>
      <c r="BE92" s="329"/>
      <c r="BF92" s="331"/>
      <c r="BG92" s="329"/>
      <c r="BH92" s="331"/>
      <c r="BI92" s="329"/>
      <c r="BJ92" s="331"/>
      <c r="BK92" s="329"/>
      <c r="BL92" s="331"/>
      <c r="BM92" s="329"/>
      <c r="BN92" s="331"/>
      <c r="BO92" s="329"/>
    </row>
    <row r="93" spans="1:67" s="351" customFormat="1" ht="37.5">
      <c r="B93" s="351" t="s">
        <v>1043</v>
      </c>
      <c r="C93" s="552"/>
      <c r="D93" s="544" t="s">
        <v>2464</v>
      </c>
      <c r="E93" s="448"/>
      <c r="F93" s="555">
        <v>0</v>
      </c>
      <c r="G93" s="351">
        <f>F93</f>
        <v>0</v>
      </c>
      <c r="J93" s="351" t="s">
        <v>1168</v>
      </c>
      <c r="K93" s="372">
        <f>1-(G93+G94+G95+G96+G97+G102+G103+G104+G136+G106)/10</f>
        <v>0.8</v>
      </c>
      <c r="M93" s="351" t="s">
        <v>1640</v>
      </c>
      <c r="N93" s="521"/>
      <c r="P93" s="521"/>
      <c r="Q93" s="553"/>
      <c r="R93" s="524"/>
      <c r="T93" s="521"/>
      <c r="U93" s="553"/>
      <c r="V93" s="524"/>
      <c r="W93" s="553"/>
      <c r="X93" s="524"/>
      <c r="Y93" s="553"/>
      <c r="Z93" s="524"/>
      <c r="AA93" s="553"/>
      <c r="AB93" s="524"/>
      <c r="AC93" s="553"/>
      <c r="AD93" s="524"/>
      <c r="AE93" s="553"/>
      <c r="AF93" s="524"/>
      <c r="AG93" s="553"/>
      <c r="AH93" s="524"/>
      <c r="AI93" s="553"/>
      <c r="AJ93" s="521"/>
      <c r="AL93" s="521"/>
      <c r="AN93" s="521"/>
      <c r="AP93" s="521"/>
      <c r="AR93" s="521"/>
      <c r="AT93" s="521"/>
      <c r="AV93" s="521"/>
      <c r="AX93" s="521"/>
      <c r="AZ93" s="331"/>
      <c r="BB93" s="331"/>
      <c r="BD93" s="331"/>
      <c r="BF93" s="331"/>
      <c r="BH93" s="331"/>
      <c r="BJ93" s="331"/>
      <c r="BL93" s="331"/>
      <c r="BM93" s="329"/>
      <c r="BN93" s="331"/>
      <c r="BO93" s="329"/>
    </row>
    <row r="94" spans="1:67">
      <c r="A94" s="531">
        <v>1</v>
      </c>
      <c r="B94" s="351" t="s">
        <v>1043</v>
      </c>
      <c r="C94" s="447" t="s">
        <v>2265</v>
      </c>
      <c r="D94" s="536" t="s">
        <v>2465</v>
      </c>
      <c r="E94" s="448" t="s">
        <v>1528</v>
      </c>
      <c r="F94" s="555">
        <v>0</v>
      </c>
      <c r="G94" s="351">
        <f t="shared" ref="G94:G99" si="20">F94</f>
        <v>0</v>
      </c>
      <c r="Q94" s="350"/>
      <c r="R94" s="524"/>
      <c r="U94" s="350"/>
      <c r="V94" s="524"/>
      <c r="W94" s="350"/>
      <c r="X94" s="524"/>
      <c r="Y94" s="350"/>
      <c r="Z94" s="524"/>
      <c r="AA94" s="350"/>
      <c r="AB94" s="524"/>
      <c r="AC94" s="350"/>
      <c r="AD94" s="524"/>
      <c r="AE94" s="350"/>
      <c r="AF94" s="524"/>
      <c r="AG94" s="350"/>
      <c r="AH94" s="524"/>
      <c r="AI94" s="350"/>
      <c r="AQ94" s="329">
        <f>$G94</f>
        <v>0</v>
      </c>
    </row>
    <row r="95" spans="1:67">
      <c r="A95" s="531">
        <v>1</v>
      </c>
      <c r="B95" s="351" t="s">
        <v>1043</v>
      </c>
      <c r="C95" s="447" t="s">
        <v>2265</v>
      </c>
      <c r="D95" s="536" t="s">
        <v>2466</v>
      </c>
      <c r="E95" s="448" t="s">
        <v>1529</v>
      </c>
      <c r="F95" s="555">
        <v>1</v>
      </c>
      <c r="G95" s="351">
        <f t="shared" si="20"/>
        <v>1</v>
      </c>
      <c r="AR95" s="521">
        <f>$G95</f>
        <v>1</v>
      </c>
    </row>
    <row r="96" spans="1:67" ht="37.5">
      <c r="A96" s="531">
        <v>1</v>
      </c>
      <c r="B96" s="351" t="s">
        <v>1043</v>
      </c>
      <c r="C96" s="447" t="s">
        <v>2265</v>
      </c>
      <c r="D96" s="536" t="s">
        <v>2467</v>
      </c>
      <c r="E96" s="448" t="s">
        <v>1530</v>
      </c>
      <c r="F96" s="555">
        <v>0</v>
      </c>
      <c r="G96" s="351">
        <f t="shared" si="20"/>
        <v>0</v>
      </c>
      <c r="H96" s="329">
        <f>IF(G96=1,0.5,1)</f>
        <v>1</v>
      </c>
      <c r="J96" s="332" t="s">
        <v>1194</v>
      </c>
      <c r="K96" s="332">
        <f>(G105+H68+G21+H86)</f>
        <v>1</v>
      </c>
      <c r="L96" s="332">
        <f>IF(K96&gt;2,1.2,1)</f>
        <v>1</v>
      </c>
      <c r="M96" s="332"/>
      <c r="AH96" s="521">
        <f>$H$96</f>
        <v>1</v>
      </c>
      <c r="AS96" s="351"/>
    </row>
    <row r="97" spans="1:68">
      <c r="A97" s="531">
        <v>1</v>
      </c>
      <c r="B97" s="351" t="s">
        <v>1043</v>
      </c>
      <c r="C97" s="447" t="s">
        <v>2265</v>
      </c>
      <c r="D97" s="536" t="s">
        <v>2468</v>
      </c>
      <c r="E97" s="448" t="s">
        <v>1531</v>
      </c>
      <c r="F97" s="555">
        <v>0</v>
      </c>
      <c r="G97" s="351">
        <f t="shared" si="20"/>
        <v>0</v>
      </c>
    </row>
    <row r="98" spans="1:68">
      <c r="A98" s="531">
        <v>1</v>
      </c>
      <c r="B98" s="351" t="s">
        <v>1043</v>
      </c>
      <c r="C98" s="447" t="s">
        <v>2266</v>
      </c>
      <c r="D98" s="536" t="s">
        <v>2469</v>
      </c>
      <c r="E98" s="448" t="s">
        <v>1532</v>
      </c>
      <c r="F98" s="555">
        <v>0</v>
      </c>
      <c r="G98" s="351">
        <f t="shared" si="20"/>
        <v>0</v>
      </c>
      <c r="H98" s="329">
        <f>IF(G98=1,1.1,0.8)</f>
        <v>0.8</v>
      </c>
      <c r="AF98" s="523">
        <f>$H98</f>
        <v>0.8</v>
      </c>
      <c r="AK98" s="523"/>
    </row>
    <row r="99" spans="1:68">
      <c r="A99" s="531">
        <v>1</v>
      </c>
      <c r="B99" s="351" t="s">
        <v>1043</v>
      </c>
      <c r="C99" s="447" t="s">
        <v>2267</v>
      </c>
      <c r="D99" s="536" t="s">
        <v>2470</v>
      </c>
      <c r="F99" s="555">
        <v>0</v>
      </c>
      <c r="G99" s="351">
        <f t="shared" si="20"/>
        <v>0</v>
      </c>
      <c r="H99" s="329">
        <f>IF(G99=1,1.2,0.8)</f>
        <v>0.8</v>
      </c>
      <c r="AH99" s="521">
        <f>$H$99</f>
        <v>0.8</v>
      </c>
    </row>
    <row r="100" spans="1:68">
      <c r="A100" s="531">
        <v>1</v>
      </c>
      <c r="B100" s="351" t="s">
        <v>1043</v>
      </c>
      <c r="C100" s="447" t="s">
        <v>2265</v>
      </c>
      <c r="D100" s="536" t="s">
        <v>2471</v>
      </c>
      <c r="F100" s="555">
        <v>0</v>
      </c>
      <c r="G100" s="331">
        <f>IF(F100=1,1.2,1)</f>
        <v>1</v>
      </c>
      <c r="H100" s="331">
        <f>IF(F100=1,0,1)</f>
        <v>1</v>
      </c>
      <c r="I100" s="329">
        <f>IF(F100=1,1,0)</f>
        <v>0</v>
      </c>
      <c r="BM100" s="347">
        <f>$I100</f>
        <v>0</v>
      </c>
    </row>
    <row r="101" spans="1:68">
      <c r="A101" s="531">
        <v>1</v>
      </c>
      <c r="B101" s="351" t="s">
        <v>1043</v>
      </c>
      <c r="C101" s="447" t="s">
        <v>2266</v>
      </c>
      <c r="D101" s="536" t="s">
        <v>2472</v>
      </c>
      <c r="E101" s="448" t="s">
        <v>1533</v>
      </c>
      <c r="F101" s="555">
        <v>0</v>
      </c>
      <c r="G101" s="331">
        <f>IF(F101=1,1,0)</f>
        <v>0</v>
      </c>
    </row>
    <row r="102" spans="1:68">
      <c r="A102" s="531">
        <v>1</v>
      </c>
      <c r="B102" s="351" t="s">
        <v>1043</v>
      </c>
      <c r="C102" s="447" t="s">
        <v>2265</v>
      </c>
      <c r="D102" s="536" t="s">
        <v>2503</v>
      </c>
      <c r="F102" s="555">
        <v>0</v>
      </c>
      <c r="G102" s="351">
        <f t="shared" ref="G102:G108" si="21">F102</f>
        <v>0</v>
      </c>
      <c r="AI102" s="329">
        <f>$G102</f>
        <v>0</v>
      </c>
    </row>
    <row r="103" spans="1:68" ht="37.5">
      <c r="A103" s="531">
        <v>1</v>
      </c>
      <c r="B103" s="351" t="s">
        <v>1043</v>
      </c>
      <c r="C103" s="447" t="s">
        <v>2265</v>
      </c>
      <c r="D103" s="536" t="s">
        <v>2502</v>
      </c>
      <c r="F103" s="555">
        <v>0</v>
      </c>
      <c r="G103" s="351">
        <f t="shared" si="21"/>
        <v>0</v>
      </c>
    </row>
    <row r="104" spans="1:68">
      <c r="A104" s="531">
        <v>1</v>
      </c>
      <c r="B104" s="351" t="s">
        <v>1043</v>
      </c>
      <c r="C104" s="447" t="s">
        <v>2265</v>
      </c>
      <c r="D104" s="536" t="s">
        <v>2501</v>
      </c>
      <c r="F104" s="555">
        <v>0</v>
      </c>
      <c r="G104" s="351">
        <f t="shared" si="21"/>
        <v>0</v>
      </c>
      <c r="AJ104" s="521">
        <f>$G104</f>
        <v>0</v>
      </c>
    </row>
    <row r="105" spans="1:68">
      <c r="A105" s="531">
        <v>1</v>
      </c>
      <c r="B105" s="351" t="s">
        <v>1043</v>
      </c>
      <c r="C105" s="447" t="s">
        <v>2265</v>
      </c>
      <c r="D105" s="536" t="s">
        <v>2500</v>
      </c>
      <c r="E105" s="448" t="s">
        <v>1534</v>
      </c>
      <c r="F105" s="555">
        <v>0</v>
      </c>
      <c r="G105" s="351">
        <f t="shared" si="21"/>
        <v>0</v>
      </c>
    </row>
    <row r="106" spans="1:68" s="330" customFormat="1">
      <c r="A106" s="531">
        <v>1</v>
      </c>
      <c r="B106" s="351" t="s">
        <v>1043</v>
      </c>
      <c r="C106" s="447" t="s">
        <v>2265</v>
      </c>
      <c r="D106" s="536" t="s">
        <v>2499</v>
      </c>
      <c r="E106" s="448"/>
      <c r="F106" s="555">
        <v>0</v>
      </c>
      <c r="G106" s="351">
        <f t="shared" si="21"/>
        <v>0</v>
      </c>
      <c r="H106" s="329"/>
      <c r="I106" s="329"/>
      <c r="J106" s="329"/>
      <c r="K106" s="329"/>
      <c r="N106" s="521"/>
      <c r="O106" s="329"/>
      <c r="P106" s="521"/>
      <c r="Q106" s="329"/>
      <c r="R106" s="521"/>
      <c r="S106" s="329"/>
      <c r="T106" s="521"/>
      <c r="U106" s="329"/>
      <c r="V106" s="521"/>
      <c r="W106" s="329"/>
      <c r="X106" s="521"/>
      <c r="Y106" s="329"/>
      <c r="Z106" s="521"/>
      <c r="AA106" s="329"/>
      <c r="AB106" s="521"/>
      <c r="AC106" s="329"/>
      <c r="AD106" s="521"/>
      <c r="AE106" s="329"/>
      <c r="AF106" s="521"/>
      <c r="AG106" s="329"/>
      <c r="AH106" s="521"/>
      <c r="AI106" s="329"/>
      <c r="AJ106" s="521"/>
      <c r="AK106" s="329"/>
      <c r="AL106" s="521"/>
      <c r="AM106" s="329"/>
      <c r="AN106" s="521"/>
      <c r="AO106" s="329"/>
      <c r="AP106" s="521"/>
      <c r="AQ106" s="329"/>
      <c r="AR106" s="521"/>
      <c r="AS106" s="329"/>
      <c r="AT106" s="521"/>
      <c r="AU106" s="329"/>
      <c r="AV106" s="521"/>
      <c r="AW106" s="329"/>
      <c r="AX106" s="521"/>
      <c r="AY106" s="329"/>
      <c r="AZ106" s="331"/>
      <c r="BA106" s="329"/>
      <c r="BB106" s="331"/>
      <c r="BC106" s="329"/>
      <c r="BD106" s="331"/>
      <c r="BE106" s="329"/>
      <c r="BF106" s="331"/>
      <c r="BG106" s="329"/>
      <c r="BH106" s="331"/>
      <c r="BI106" s="329"/>
      <c r="BJ106" s="331"/>
      <c r="BK106" s="329"/>
      <c r="BL106" s="331"/>
      <c r="BM106" s="329"/>
      <c r="BN106" s="331"/>
      <c r="BO106" s="329">
        <f>$G106</f>
        <v>0</v>
      </c>
    </row>
    <row r="107" spans="1:68" s="330" customFormat="1">
      <c r="B107" s="352" t="s">
        <v>1044</v>
      </c>
      <c r="C107" s="447" t="s">
        <v>2268</v>
      </c>
      <c r="D107" s="545" t="s">
        <v>2498</v>
      </c>
      <c r="E107" s="448" t="s">
        <v>1535</v>
      </c>
      <c r="F107" s="555">
        <v>0</v>
      </c>
      <c r="G107" s="351">
        <f t="shared" si="21"/>
        <v>0</v>
      </c>
      <c r="H107" s="329"/>
      <c r="I107" s="329"/>
      <c r="J107" s="329"/>
      <c r="K107" s="329"/>
      <c r="N107" s="521"/>
      <c r="O107" s="329"/>
      <c r="P107" s="521"/>
      <c r="Q107" s="329"/>
      <c r="R107" s="521"/>
      <c r="S107" s="329"/>
      <c r="T107" s="521"/>
      <c r="U107" s="329"/>
      <c r="V107" s="521"/>
      <c r="W107" s="329"/>
      <c r="X107" s="521"/>
      <c r="Y107" s="329"/>
      <c r="Z107" s="521"/>
      <c r="AA107" s="329"/>
      <c r="AB107" s="521"/>
      <c r="AC107" s="329"/>
      <c r="AD107" s="521"/>
      <c r="AE107" s="329"/>
      <c r="AF107" s="521"/>
      <c r="AG107" s="329"/>
      <c r="AH107" s="521"/>
      <c r="AI107" s="329"/>
      <c r="AJ107" s="521"/>
      <c r="AK107" s="329"/>
      <c r="AL107" s="521"/>
      <c r="AM107" s="329"/>
      <c r="AN107" s="521"/>
      <c r="AO107" s="329"/>
      <c r="AP107" s="521"/>
      <c r="AQ107" s="329"/>
      <c r="AR107" s="521"/>
      <c r="AS107" s="329"/>
      <c r="AT107" s="521"/>
      <c r="AU107" s="329"/>
      <c r="AV107" s="521"/>
      <c r="AW107" s="329"/>
      <c r="AX107" s="521"/>
      <c r="AY107" s="329"/>
      <c r="AZ107" s="331"/>
      <c r="BA107" s="329"/>
      <c r="BB107" s="331"/>
      <c r="BC107" s="329"/>
      <c r="BD107" s="331"/>
      <c r="BE107" s="329"/>
      <c r="BF107" s="331"/>
      <c r="BG107" s="329"/>
      <c r="BH107" s="331"/>
      <c r="BI107" s="329"/>
      <c r="BJ107" s="331"/>
      <c r="BK107" s="329"/>
      <c r="BL107" s="331"/>
      <c r="BM107" s="329"/>
      <c r="BN107" s="331"/>
      <c r="BO107" s="329"/>
    </row>
    <row r="108" spans="1:68" s="352" customFormat="1">
      <c r="B108" s="352" t="s">
        <v>1044</v>
      </c>
      <c r="C108" s="447" t="s">
        <v>2268</v>
      </c>
      <c r="D108" s="545" t="s">
        <v>2497</v>
      </c>
      <c r="E108" s="448" t="s">
        <v>1535</v>
      </c>
      <c r="F108" s="555">
        <v>0</v>
      </c>
      <c r="G108" s="351">
        <f t="shared" si="21"/>
        <v>0</v>
      </c>
      <c r="H108" s="329">
        <f>IF(F108=1,1.2,0.9)</f>
        <v>0.9</v>
      </c>
      <c r="I108" s="329">
        <f>F108</f>
        <v>0</v>
      </c>
      <c r="J108" s="352" t="s">
        <v>2074</v>
      </c>
      <c r="K108" s="525">
        <f>G107+G108+G115</f>
        <v>0</v>
      </c>
      <c r="M108" s="352" t="s">
        <v>87</v>
      </c>
      <c r="N108" s="677"/>
      <c r="O108" s="677"/>
      <c r="P108" s="677"/>
      <c r="Q108" s="677"/>
      <c r="R108" s="677"/>
      <c r="S108" s="359"/>
      <c r="T108" s="359"/>
      <c r="U108" s="359"/>
      <c r="V108" s="359"/>
      <c r="W108" s="359"/>
      <c r="X108" s="359"/>
      <c r="Y108" s="359"/>
      <c r="Z108" s="359"/>
      <c r="AA108" s="359"/>
      <c r="AB108" s="359"/>
      <c r="AC108" s="359"/>
      <c r="AF108" s="359"/>
      <c r="AH108" s="359"/>
      <c r="AI108" s="359"/>
      <c r="AJ108" s="359"/>
      <c r="AK108" s="359"/>
      <c r="AL108" s="359"/>
      <c r="AQ108" s="359"/>
      <c r="AV108" s="359"/>
      <c r="AZ108" s="359"/>
    </row>
    <row r="109" spans="1:68">
      <c r="A109" s="521"/>
      <c r="B109" s="546" t="s">
        <v>1044</v>
      </c>
      <c r="C109" s="447" t="s">
        <v>2269</v>
      </c>
      <c r="D109" s="547" t="s">
        <v>2496</v>
      </c>
      <c r="E109" s="448" t="s">
        <v>1536</v>
      </c>
      <c r="F109" s="555">
        <v>0</v>
      </c>
      <c r="G109" s="332">
        <f>IF($F$108=1,F109,0)</f>
        <v>0</v>
      </c>
      <c r="H109" s="329">
        <f>IF(G109=1,1.2,0.9)</f>
        <v>0.9</v>
      </c>
      <c r="I109" s="329">
        <f t="shared" ref="I109:I113" si="22">F109</f>
        <v>0</v>
      </c>
      <c r="J109" s="352" t="s">
        <v>1169</v>
      </c>
      <c r="K109" s="352">
        <f>G114</f>
        <v>0</v>
      </c>
      <c r="M109" s="352"/>
      <c r="N109" s="676"/>
      <c r="O109" s="676"/>
      <c r="P109" s="676"/>
      <c r="Q109" s="676"/>
      <c r="R109" s="676"/>
      <c r="S109" s="352">
        <f>$H$124</f>
        <v>0.9</v>
      </c>
      <c r="T109" s="352">
        <f>$H$128</f>
        <v>0.9</v>
      </c>
      <c r="U109" s="352">
        <f>$H$128</f>
        <v>0.9</v>
      </c>
      <c r="V109" s="352"/>
      <c r="W109" s="352"/>
      <c r="X109" s="352">
        <f>$H$121</f>
        <v>0.9</v>
      </c>
      <c r="Y109" s="352"/>
      <c r="Z109" s="352"/>
      <c r="AA109" s="352"/>
      <c r="AB109" s="352"/>
      <c r="AC109" s="352"/>
      <c r="AD109" s="352"/>
      <c r="AE109" s="352"/>
      <c r="AF109" s="352">
        <f>$H$122</f>
        <v>0.9</v>
      </c>
      <c r="AG109" s="352"/>
      <c r="AH109" s="352">
        <f>$H$125</f>
        <v>0.9</v>
      </c>
      <c r="AI109" s="352">
        <f>$H$123</f>
        <v>0.9</v>
      </c>
      <c r="AJ109" s="352">
        <f>$H$131</f>
        <v>0.9</v>
      </c>
      <c r="AK109" s="352">
        <f>$H$122</f>
        <v>0.9</v>
      </c>
      <c r="AL109" s="352"/>
      <c r="AM109" s="352">
        <f>H131</f>
        <v>0.9</v>
      </c>
      <c r="AN109" s="352"/>
      <c r="AO109" s="352"/>
      <c r="AP109" s="352"/>
      <c r="AQ109" s="352">
        <f>$H$126</f>
        <v>0.9</v>
      </c>
      <c r="AR109" s="352">
        <f>$H$127</f>
        <v>0.9</v>
      </c>
      <c r="AS109" s="352"/>
      <c r="AT109" s="352"/>
      <c r="AU109" s="352"/>
      <c r="AV109" s="352">
        <f>$H$130</f>
        <v>0.9</v>
      </c>
      <c r="AW109" s="352">
        <f>$H$129</f>
        <v>0.9</v>
      </c>
      <c r="AX109" s="352"/>
      <c r="AY109" s="352">
        <f>$H$129</f>
        <v>0.9</v>
      </c>
      <c r="AZ109" s="352">
        <f>MAX(H109,H116,H117,H112)</f>
        <v>0.9</v>
      </c>
      <c r="BA109" s="352">
        <f>MAX(H110,H120)</f>
        <v>0.9</v>
      </c>
      <c r="BB109" s="352">
        <f>MAX(H110,H120)</f>
        <v>0.9</v>
      </c>
      <c r="BC109" s="352"/>
      <c r="BD109" s="352"/>
      <c r="BE109" s="352">
        <f>MAX(H112,H117)</f>
        <v>0.9</v>
      </c>
      <c r="BF109" s="352">
        <f>MAX(H112,H117)</f>
        <v>0.9</v>
      </c>
      <c r="BG109" s="352"/>
      <c r="BH109" s="352"/>
      <c r="BI109" s="352"/>
      <c r="BJ109" s="352">
        <f>MAX(H118,H111)</f>
        <v>0.9</v>
      </c>
      <c r="BK109" s="352">
        <f>MAX(H113,H119)</f>
        <v>0.9</v>
      </c>
      <c r="BL109" s="352">
        <f>MAX(H120,H110)</f>
        <v>0.9</v>
      </c>
      <c r="BM109" s="352">
        <f>H111</f>
        <v>0.9</v>
      </c>
      <c r="BN109" s="352"/>
      <c r="BO109" s="352"/>
      <c r="BP109" s="352"/>
    </row>
    <row r="110" spans="1:68">
      <c r="A110" s="521"/>
      <c r="B110" s="546" t="s">
        <v>1044</v>
      </c>
      <c r="C110" s="447" t="s">
        <v>2270</v>
      </c>
      <c r="D110" s="547" t="s">
        <v>2495</v>
      </c>
      <c r="E110" s="448" t="s">
        <v>1568</v>
      </c>
      <c r="F110" s="555">
        <v>0</v>
      </c>
      <c r="G110" s="332">
        <f>IF($F$108=1,F110,0)</f>
        <v>0</v>
      </c>
      <c r="H110" s="329">
        <f t="shared" ref="H110:H113" si="23">IF(G110=1,1.2,0.9)</f>
        <v>0.9</v>
      </c>
      <c r="I110" s="329">
        <f t="shared" si="22"/>
        <v>0</v>
      </c>
      <c r="J110" s="352" t="s">
        <v>2075</v>
      </c>
      <c r="K110" s="352">
        <f>IF(K108&gt;1.9,1.2,0.9)</f>
        <v>0.9</v>
      </c>
      <c r="N110" s="329"/>
      <c r="P110" s="329"/>
      <c r="R110" s="329"/>
      <c r="T110" s="329"/>
      <c r="V110" s="329"/>
      <c r="X110" s="329"/>
      <c r="Z110" s="329"/>
      <c r="AB110" s="329"/>
      <c r="AD110" s="329"/>
      <c r="AF110" s="329"/>
      <c r="AH110" s="329"/>
      <c r="AJ110" s="329"/>
      <c r="AL110" s="329"/>
      <c r="AN110" s="329"/>
      <c r="AP110" s="329"/>
      <c r="AR110" s="329"/>
      <c r="AT110" s="329"/>
      <c r="AV110" s="329"/>
      <c r="AX110" s="329"/>
      <c r="AZ110" s="329">
        <f>$K$110</f>
        <v>0.9</v>
      </c>
      <c r="BA110" s="329">
        <f t="shared" ref="BA110:BB110" si="24">$K$110</f>
        <v>0.9</v>
      </c>
      <c r="BB110" s="329">
        <f t="shared" si="24"/>
        <v>0.9</v>
      </c>
      <c r="BD110" s="329">
        <f t="shared" ref="BD110:BF110" si="25">$K$110</f>
        <v>0.9</v>
      </c>
      <c r="BE110" s="329">
        <f t="shared" si="25"/>
        <v>0.9</v>
      </c>
      <c r="BF110" s="329">
        <f t="shared" si="25"/>
        <v>0.9</v>
      </c>
      <c r="BH110" s="329">
        <f>$K$110</f>
        <v>0.9</v>
      </c>
      <c r="BJ110" s="329"/>
      <c r="BK110" s="329">
        <f>$K$110</f>
        <v>0.9</v>
      </c>
      <c r="BL110" s="329">
        <f t="shared" ref="BL110:BM110" si="26">$K$110</f>
        <v>0.9</v>
      </c>
      <c r="BM110" s="329">
        <f t="shared" si="26"/>
        <v>0.9</v>
      </c>
      <c r="BN110" s="329"/>
    </row>
    <row r="111" spans="1:68">
      <c r="A111" s="521"/>
      <c r="B111" s="546" t="s">
        <v>1044</v>
      </c>
      <c r="C111" s="447" t="s">
        <v>2270</v>
      </c>
      <c r="D111" s="547" t="s">
        <v>2494</v>
      </c>
      <c r="E111" s="448" t="s">
        <v>1569</v>
      </c>
      <c r="F111" s="555">
        <v>0</v>
      </c>
      <c r="G111" s="332">
        <f t="shared" ref="G111:G113" si="27">IF($F$108=1,F111,0)</f>
        <v>0</v>
      </c>
      <c r="H111" s="329">
        <f t="shared" si="23"/>
        <v>0.9</v>
      </c>
      <c r="I111" s="329">
        <f t="shared" si="22"/>
        <v>0</v>
      </c>
      <c r="N111" s="677"/>
      <c r="O111" s="677"/>
      <c r="P111" s="677"/>
      <c r="Q111" s="677"/>
      <c r="R111" s="677"/>
      <c r="S111" s="677"/>
      <c r="T111" s="677"/>
      <c r="U111" s="677"/>
      <c r="V111" s="677"/>
      <c r="W111" s="677"/>
      <c r="X111" s="677"/>
      <c r="Y111" s="677"/>
      <c r="Z111" s="677"/>
      <c r="AA111" s="677"/>
      <c r="AB111" s="677"/>
      <c r="AC111" s="677"/>
      <c r="AD111" s="676"/>
      <c r="AE111" s="676"/>
      <c r="AF111" s="676"/>
      <c r="AG111" s="676"/>
      <c r="AH111" s="676"/>
      <c r="AI111" s="676"/>
      <c r="AJ111" s="676"/>
      <c r="AK111" s="676"/>
      <c r="AL111" s="676"/>
      <c r="AM111" s="676"/>
      <c r="AN111" s="676"/>
      <c r="AO111" s="676"/>
      <c r="AP111" s="676"/>
      <c r="AQ111" s="676"/>
      <c r="AR111" s="676"/>
      <c r="AS111" s="676"/>
      <c r="AT111" s="676"/>
      <c r="AU111" s="676"/>
      <c r="AV111" s="676"/>
      <c r="AW111" s="676"/>
      <c r="AX111" s="676"/>
      <c r="AY111" s="676"/>
      <c r="AZ111" s="676"/>
      <c r="BA111" s="676"/>
      <c r="BB111" s="676"/>
      <c r="BC111" s="676"/>
      <c r="BD111" s="676"/>
      <c r="BE111" s="676"/>
      <c r="BF111" s="676"/>
      <c r="BG111" s="676"/>
      <c r="BH111" s="676"/>
      <c r="BI111" s="676"/>
      <c r="BJ111" s="676"/>
      <c r="BK111" s="676"/>
      <c r="BL111" s="676"/>
      <c r="BM111" s="676"/>
      <c r="BN111" s="676"/>
      <c r="BO111" s="676"/>
      <c r="BP111" s="676"/>
    </row>
    <row r="112" spans="1:68">
      <c r="A112" s="521"/>
      <c r="B112" s="546" t="s">
        <v>1044</v>
      </c>
      <c r="C112" s="447" t="s">
        <v>2270</v>
      </c>
      <c r="D112" s="547" t="s">
        <v>2493</v>
      </c>
      <c r="E112" s="448" t="s">
        <v>1537</v>
      </c>
      <c r="F112" s="555">
        <v>0</v>
      </c>
      <c r="G112" s="332">
        <f t="shared" si="27"/>
        <v>0</v>
      </c>
      <c r="H112" s="329">
        <f t="shared" si="23"/>
        <v>0.9</v>
      </c>
      <c r="I112" s="329">
        <f t="shared" si="22"/>
        <v>0</v>
      </c>
      <c r="N112" s="676"/>
      <c r="O112" s="676"/>
      <c r="P112" s="676"/>
      <c r="Q112" s="676"/>
      <c r="R112" s="676"/>
      <c r="S112" s="676"/>
      <c r="T112" s="676"/>
      <c r="U112" s="676"/>
      <c r="V112" s="676"/>
      <c r="W112" s="676"/>
      <c r="X112" s="676"/>
      <c r="Y112" s="676"/>
      <c r="Z112" s="676"/>
      <c r="AA112" s="676"/>
      <c r="AB112" s="676"/>
      <c r="AC112" s="676"/>
      <c r="AD112" s="676"/>
      <c r="AE112" s="676"/>
      <c r="AF112" s="676"/>
      <c r="AG112" s="676"/>
      <c r="AH112" s="676"/>
      <c r="AI112" s="676"/>
      <c r="AJ112" s="676"/>
      <c r="AK112" s="676"/>
      <c r="AL112" s="676"/>
      <c r="AM112" s="676"/>
      <c r="AN112" s="676"/>
      <c r="AO112" s="676"/>
      <c r="AP112" s="676"/>
      <c r="AQ112" s="676"/>
      <c r="AR112" s="676"/>
      <c r="AS112" s="676"/>
      <c r="AT112" s="676"/>
      <c r="AU112" s="676"/>
      <c r="AV112" s="676"/>
      <c r="AW112" s="676"/>
      <c r="AX112" s="676"/>
      <c r="AY112" s="676"/>
      <c r="AZ112" s="676"/>
      <c r="BA112" s="676"/>
      <c r="BB112" s="676"/>
      <c r="BC112" s="676"/>
      <c r="BD112" s="676"/>
      <c r="BE112" s="676"/>
      <c r="BF112" s="676"/>
      <c r="BG112" s="676"/>
      <c r="BH112" s="676"/>
      <c r="BI112" s="676"/>
      <c r="BJ112" s="676"/>
      <c r="BK112" s="676"/>
      <c r="BL112" s="676"/>
      <c r="BM112" s="676"/>
      <c r="BN112" s="676"/>
      <c r="BO112" s="676"/>
      <c r="BP112" s="676"/>
    </row>
    <row r="113" spans="1:68">
      <c r="B113" s="546" t="s">
        <v>1044</v>
      </c>
      <c r="C113" s="447" t="s">
        <v>2270</v>
      </c>
      <c r="D113" s="547" t="s">
        <v>2492</v>
      </c>
      <c r="F113" s="555">
        <v>0</v>
      </c>
      <c r="G113" s="332">
        <f t="shared" si="27"/>
        <v>0</v>
      </c>
      <c r="H113" s="329">
        <f t="shared" si="23"/>
        <v>0.9</v>
      </c>
      <c r="I113" s="329">
        <f t="shared" si="22"/>
        <v>0</v>
      </c>
      <c r="N113" s="676"/>
      <c r="O113" s="676"/>
      <c r="P113" s="676"/>
      <c r="Q113" s="676"/>
      <c r="R113" s="676"/>
      <c r="S113" s="676"/>
      <c r="T113" s="676"/>
      <c r="U113" s="676"/>
      <c r="V113" s="676"/>
      <c r="W113" s="676"/>
      <c r="X113" s="676"/>
      <c r="Y113" s="676"/>
      <c r="Z113" s="676"/>
      <c r="AA113" s="676"/>
      <c r="AB113" s="676"/>
      <c r="AC113" s="676"/>
      <c r="AD113" s="676"/>
      <c r="AE113" s="676"/>
      <c r="AF113" s="676"/>
      <c r="AG113" s="676"/>
      <c r="AH113" s="676"/>
      <c r="AI113" s="676"/>
      <c r="AJ113" s="676"/>
      <c r="AK113" s="676"/>
      <c r="AL113" s="676"/>
      <c r="AM113" s="676"/>
      <c r="AN113" s="676"/>
      <c r="AO113" s="676"/>
      <c r="AP113" s="676"/>
      <c r="AQ113" s="676"/>
      <c r="AR113" s="676"/>
      <c r="AS113" s="676"/>
      <c r="AT113" s="676"/>
      <c r="AU113" s="676"/>
      <c r="AV113" s="676"/>
      <c r="AW113" s="676"/>
      <c r="AX113" s="676"/>
      <c r="AY113" s="676"/>
      <c r="AZ113" s="676"/>
      <c r="BA113" s="676"/>
      <c r="BB113" s="676"/>
      <c r="BC113" s="676"/>
      <c r="BD113" s="676"/>
      <c r="BE113" s="676"/>
      <c r="BF113" s="676"/>
      <c r="BG113" s="676"/>
      <c r="BH113" s="676"/>
      <c r="BI113" s="676"/>
      <c r="BJ113" s="676"/>
      <c r="BK113" s="676"/>
      <c r="BL113" s="676"/>
      <c r="BM113" s="676"/>
      <c r="BN113" s="676"/>
      <c r="BO113" s="676"/>
      <c r="BP113" s="676"/>
    </row>
    <row r="114" spans="1:68">
      <c r="B114" s="546" t="s">
        <v>1044</v>
      </c>
      <c r="D114" s="545" t="s">
        <v>2491</v>
      </c>
      <c r="E114" s="448" t="s">
        <v>1567</v>
      </c>
      <c r="F114" s="324">
        <v>0</v>
      </c>
      <c r="G114" s="329">
        <f>IF(F114=2,2,F114)</f>
        <v>0</v>
      </c>
      <c r="H114" s="329">
        <f>IF(G114=0,0.8,1)</f>
        <v>0.8</v>
      </c>
      <c r="N114" s="676"/>
      <c r="O114" s="676"/>
      <c r="P114" s="676"/>
      <c r="Q114" s="676"/>
      <c r="R114" s="676"/>
      <c r="S114" s="676"/>
      <c r="T114" s="676"/>
      <c r="U114" s="676"/>
      <c r="V114" s="676"/>
      <c r="W114" s="676"/>
      <c r="X114" s="676"/>
      <c r="Y114" s="676"/>
      <c r="Z114" s="676"/>
      <c r="AA114" s="676"/>
      <c r="AB114" s="676"/>
      <c r="AC114" s="676"/>
      <c r="AD114" s="676"/>
      <c r="AE114" s="676"/>
      <c r="AF114" s="676"/>
      <c r="AG114" s="676"/>
      <c r="AH114" s="676"/>
      <c r="AI114" s="676"/>
      <c r="AJ114" s="676"/>
      <c r="AK114" s="676"/>
      <c r="AL114" s="676"/>
      <c r="AM114" s="676"/>
      <c r="AN114" s="676"/>
      <c r="AO114" s="676"/>
      <c r="AP114" s="676"/>
      <c r="AQ114" s="676"/>
      <c r="AR114" s="676"/>
      <c r="AS114" s="676"/>
      <c r="AT114" s="676"/>
      <c r="AU114" s="676"/>
      <c r="AV114" s="676"/>
      <c r="AW114" s="676"/>
      <c r="AX114" s="676"/>
      <c r="AY114" s="676"/>
      <c r="AZ114" s="676"/>
      <c r="BA114" s="676"/>
      <c r="BB114" s="676"/>
      <c r="BC114" s="676"/>
      <c r="BD114" s="676"/>
      <c r="BE114" s="676"/>
      <c r="BF114" s="676"/>
      <c r="BG114" s="676"/>
      <c r="BH114" s="676"/>
      <c r="BI114" s="676"/>
      <c r="BJ114" s="676"/>
      <c r="BK114" s="676"/>
      <c r="BL114" s="676"/>
      <c r="BM114" s="676"/>
      <c r="BN114" s="676"/>
      <c r="BO114" s="676"/>
      <c r="BP114" s="676"/>
    </row>
    <row r="115" spans="1:68">
      <c r="B115" s="546" t="s">
        <v>1044</v>
      </c>
      <c r="C115" s="447" t="s">
        <v>2268</v>
      </c>
      <c r="D115" s="545" t="s">
        <v>2490</v>
      </c>
      <c r="F115" s="324">
        <v>0</v>
      </c>
      <c r="G115" s="329">
        <f>IF(F115=2,2,F115)</f>
        <v>0</v>
      </c>
      <c r="H115" s="329">
        <f>IF(G115=0,0.9,G115)</f>
        <v>0.9</v>
      </c>
      <c r="N115" s="676"/>
      <c r="O115" s="676"/>
      <c r="P115" s="676"/>
      <c r="Q115" s="676"/>
      <c r="R115" s="676"/>
      <c r="S115" s="676"/>
      <c r="T115" s="676"/>
      <c r="U115" s="676"/>
      <c r="V115" s="676"/>
      <c r="W115" s="676"/>
      <c r="X115" s="676"/>
      <c r="Y115" s="676"/>
      <c r="Z115" s="676"/>
      <c r="AA115" s="676"/>
      <c r="AB115" s="676"/>
      <c r="AC115" s="676"/>
      <c r="AD115" s="676"/>
      <c r="AE115" s="676"/>
      <c r="AF115" s="676"/>
      <c r="AG115" s="676"/>
      <c r="AH115" s="676"/>
      <c r="AI115" s="676"/>
      <c r="AJ115" s="676"/>
      <c r="AK115" s="676"/>
      <c r="AL115" s="676"/>
      <c r="AM115" s="676"/>
      <c r="AN115" s="676"/>
      <c r="AO115" s="676"/>
      <c r="AP115" s="676"/>
      <c r="AQ115" s="676"/>
      <c r="AR115" s="676"/>
      <c r="AS115" s="676"/>
      <c r="AT115" s="676"/>
      <c r="AU115" s="676"/>
      <c r="AV115" s="676"/>
      <c r="AW115" s="676"/>
      <c r="AX115" s="676"/>
      <c r="AY115" s="676"/>
      <c r="AZ115" s="676"/>
      <c r="BA115" s="676"/>
      <c r="BB115" s="676"/>
      <c r="BC115" s="676"/>
      <c r="BD115" s="676"/>
      <c r="BE115" s="676"/>
      <c r="BF115" s="676"/>
      <c r="BG115" s="676"/>
      <c r="BH115" s="676"/>
      <c r="BI115" s="676"/>
      <c r="BJ115" s="676"/>
      <c r="BK115" s="676"/>
      <c r="BL115" s="676"/>
      <c r="BM115" s="676"/>
      <c r="BN115" s="676"/>
      <c r="BO115" s="676"/>
      <c r="BP115" s="676"/>
    </row>
    <row r="116" spans="1:68">
      <c r="A116" s="521"/>
      <c r="B116" s="546" t="s">
        <v>1044</v>
      </c>
      <c r="C116" s="447" t="s">
        <v>2271</v>
      </c>
      <c r="D116" s="547" t="s">
        <v>2489</v>
      </c>
      <c r="E116" s="448" t="s">
        <v>1514</v>
      </c>
      <c r="F116" s="324">
        <v>0</v>
      </c>
      <c r="H116" s="329">
        <f>IF(F116=0,0.9,IF(F116=1,1.2,2.5))</f>
        <v>0.9</v>
      </c>
      <c r="I116" s="329">
        <f>IF(F116=0,0,1)</f>
        <v>0</v>
      </c>
      <c r="J116" s="337"/>
      <c r="K116" s="337"/>
      <c r="N116" s="676"/>
      <c r="O116" s="676"/>
      <c r="P116" s="676"/>
      <c r="Q116" s="676"/>
      <c r="R116" s="676"/>
      <c r="S116" s="676"/>
      <c r="T116" s="676"/>
      <c r="U116" s="676"/>
      <c r="V116" s="676"/>
      <c r="W116" s="676"/>
      <c r="X116" s="676"/>
      <c r="Y116" s="676"/>
      <c r="Z116" s="676"/>
      <c r="AA116" s="676"/>
      <c r="AB116" s="676"/>
      <c r="AC116" s="676"/>
      <c r="AD116" s="676"/>
      <c r="AE116" s="676"/>
      <c r="AF116" s="676"/>
      <c r="AG116" s="676"/>
      <c r="AH116" s="676"/>
      <c r="AI116" s="676"/>
      <c r="AJ116" s="676"/>
      <c r="AK116" s="676"/>
      <c r="AL116" s="676"/>
      <c r="AM116" s="676"/>
      <c r="AN116" s="676"/>
      <c r="AO116" s="676"/>
      <c r="AP116" s="676"/>
      <c r="AQ116" s="676"/>
      <c r="AR116" s="676"/>
      <c r="AS116" s="676"/>
      <c r="AT116" s="676"/>
      <c r="AU116" s="676"/>
      <c r="AV116" s="676"/>
      <c r="AW116" s="676"/>
      <c r="AX116" s="676"/>
      <c r="AY116" s="676"/>
      <c r="AZ116" s="676"/>
      <c r="BA116" s="676"/>
      <c r="BB116" s="676"/>
      <c r="BC116" s="676"/>
      <c r="BD116" s="676"/>
      <c r="BE116" s="676"/>
      <c r="BF116" s="676"/>
      <c r="BG116" s="676"/>
      <c r="BH116" s="676"/>
      <c r="BI116" s="676"/>
      <c r="BJ116" s="676"/>
      <c r="BK116" s="676"/>
      <c r="BL116" s="676"/>
      <c r="BM116" s="676"/>
      <c r="BN116" s="676"/>
      <c r="BO116" s="676"/>
      <c r="BP116" s="676"/>
    </row>
    <row r="117" spans="1:68" ht="37.5">
      <c r="A117" s="521"/>
      <c r="B117" s="546" t="s">
        <v>1044</v>
      </c>
      <c r="C117" s="447" t="s">
        <v>2271</v>
      </c>
      <c r="D117" s="547" t="s">
        <v>2488</v>
      </c>
      <c r="E117" s="448" t="s">
        <v>1538</v>
      </c>
      <c r="F117" s="324">
        <v>0</v>
      </c>
      <c r="H117" s="329">
        <f t="shared" ref="H117:H120" si="28">IF(F117=0,0.9,IF(F117=1,1.2,2.5))</f>
        <v>0.9</v>
      </c>
      <c r="I117" s="329">
        <f t="shared" ref="I117:I120" si="29">IF(F117=0,0,1)</f>
        <v>0</v>
      </c>
      <c r="N117" s="676"/>
      <c r="O117" s="676"/>
      <c r="P117" s="676"/>
      <c r="Q117" s="676"/>
      <c r="R117" s="676"/>
      <c r="S117" s="676"/>
      <c r="T117" s="676"/>
      <c r="U117" s="676"/>
      <c r="V117" s="676"/>
      <c r="W117" s="676"/>
      <c r="X117" s="676"/>
      <c r="Y117" s="676"/>
      <c r="Z117" s="676"/>
      <c r="AA117" s="676"/>
      <c r="AB117" s="676"/>
      <c r="AC117" s="676"/>
      <c r="AD117" s="676"/>
      <c r="AE117" s="676"/>
      <c r="AF117" s="676"/>
      <c r="AG117" s="676"/>
      <c r="AH117" s="676"/>
      <c r="AI117" s="676"/>
      <c r="AJ117" s="676"/>
      <c r="AK117" s="676"/>
      <c r="AL117" s="676"/>
      <c r="AM117" s="676"/>
      <c r="AN117" s="676"/>
      <c r="AO117" s="676"/>
      <c r="AP117" s="676"/>
      <c r="AQ117" s="676"/>
      <c r="AR117" s="676"/>
      <c r="AS117" s="676"/>
      <c r="AT117" s="676"/>
      <c r="AU117" s="676"/>
      <c r="AV117" s="676"/>
      <c r="AW117" s="676"/>
      <c r="AX117" s="676"/>
      <c r="AY117" s="676"/>
      <c r="AZ117" s="676"/>
      <c r="BA117" s="676"/>
      <c r="BB117" s="676"/>
      <c r="BC117" s="676"/>
      <c r="BD117" s="676"/>
      <c r="BE117" s="676"/>
      <c r="BF117" s="676"/>
      <c r="BG117" s="676"/>
      <c r="BH117" s="676"/>
      <c r="BI117" s="676"/>
      <c r="BJ117" s="676"/>
      <c r="BK117" s="676"/>
      <c r="BL117" s="676"/>
      <c r="BM117" s="676"/>
      <c r="BN117" s="676"/>
      <c r="BO117" s="676"/>
      <c r="BP117" s="676"/>
    </row>
    <row r="118" spans="1:68">
      <c r="A118" s="521"/>
      <c r="B118" s="546" t="s">
        <v>1044</v>
      </c>
      <c r="C118" s="447" t="s">
        <v>2271</v>
      </c>
      <c r="D118" s="547" t="s">
        <v>2487</v>
      </c>
      <c r="E118" s="448" t="s">
        <v>1539</v>
      </c>
      <c r="F118" s="324">
        <v>0</v>
      </c>
      <c r="H118" s="329">
        <f t="shared" si="28"/>
        <v>0.9</v>
      </c>
      <c r="I118" s="329">
        <f t="shared" si="29"/>
        <v>0</v>
      </c>
      <c r="N118" s="676"/>
      <c r="O118" s="676"/>
      <c r="P118" s="676"/>
      <c r="Q118" s="676"/>
      <c r="R118" s="676"/>
      <c r="S118" s="676"/>
      <c r="T118" s="676"/>
      <c r="U118" s="676"/>
      <c r="V118" s="676"/>
      <c r="W118" s="676"/>
      <c r="X118" s="676"/>
      <c r="Y118" s="676"/>
      <c r="Z118" s="676"/>
      <c r="AA118" s="676"/>
      <c r="AB118" s="676"/>
      <c r="AC118" s="676"/>
      <c r="AD118" s="676"/>
      <c r="AE118" s="676"/>
      <c r="AF118" s="676"/>
      <c r="AG118" s="676"/>
      <c r="AH118" s="676"/>
      <c r="AI118" s="676"/>
      <c r="AJ118" s="676"/>
      <c r="AK118" s="676"/>
      <c r="AL118" s="676"/>
      <c r="AM118" s="676"/>
      <c r="AN118" s="676"/>
      <c r="AO118" s="676"/>
      <c r="AP118" s="676"/>
      <c r="AQ118" s="676"/>
      <c r="AR118" s="676"/>
      <c r="AS118" s="676"/>
      <c r="AT118" s="676"/>
      <c r="AU118" s="676"/>
      <c r="AV118" s="676"/>
      <c r="AW118" s="676"/>
      <c r="AX118" s="676"/>
      <c r="AY118" s="676"/>
      <c r="AZ118" s="676"/>
      <c r="BA118" s="676"/>
      <c r="BB118" s="676"/>
      <c r="BC118" s="676"/>
      <c r="BD118" s="676"/>
      <c r="BE118" s="676"/>
      <c r="BF118" s="676"/>
      <c r="BG118" s="676"/>
      <c r="BH118" s="676"/>
      <c r="BI118" s="676"/>
      <c r="BJ118" s="676"/>
      <c r="BK118" s="676"/>
      <c r="BL118" s="676"/>
      <c r="BM118" s="676"/>
      <c r="BN118" s="676"/>
      <c r="BO118" s="676"/>
      <c r="BP118" s="676"/>
    </row>
    <row r="119" spans="1:68">
      <c r="B119" s="546" t="s">
        <v>1044</v>
      </c>
      <c r="C119" s="447" t="s">
        <v>2271</v>
      </c>
      <c r="D119" s="547" t="s">
        <v>2486</v>
      </c>
      <c r="F119" s="324">
        <v>0</v>
      </c>
      <c r="H119" s="329">
        <f t="shared" si="28"/>
        <v>0.9</v>
      </c>
      <c r="I119" s="329">
        <f t="shared" si="29"/>
        <v>0</v>
      </c>
      <c r="N119" s="676"/>
      <c r="O119" s="676"/>
      <c r="P119" s="676"/>
      <c r="Q119" s="676"/>
      <c r="R119" s="676"/>
      <c r="S119" s="676"/>
      <c r="T119" s="676"/>
      <c r="U119" s="676"/>
      <c r="V119" s="676"/>
      <c r="W119" s="676"/>
      <c r="X119" s="676"/>
      <c r="Y119" s="676"/>
      <c r="Z119" s="676"/>
      <c r="AA119" s="676"/>
      <c r="AB119" s="676"/>
      <c r="AC119" s="676"/>
      <c r="AD119" s="676"/>
      <c r="AE119" s="676"/>
      <c r="AF119" s="676"/>
      <c r="AG119" s="676"/>
      <c r="AH119" s="676"/>
      <c r="AI119" s="676"/>
      <c r="AJ119" s="676"/>
      <c r="AK119" s="676"/>
      <c r="AL119" s="676"/>
      <c r="AM119" s="676"/>
      <c r="AN119" s="676"/>
      <c r="AO119" s="676"/>
      <c r="AP119" s="676"/>
      <c r="AQ119" s="676"/>
      <c r="AR119" s="676"/>
      <c r="AS119" s="676"/>
      <c r="AT119" s="676"/>
      <c r="AU119" s="676"/>
      <c r="AV119" s="676"/>
      <c r="AW119" s="676"/>
      <c r="AX119" s="676"/>
      <c r="AY119" s="676"/>
      <c r="AZ119" s="676"/>
      <c r="BA119" s="676"/>
      <c r="BB119" s="676"/>
      <c r="BC119" s="676"/>
      <c r="BD119" s="676"/>
      <c r="BE119" s="676"/>
      <c r="BF119" s="676"/>
      <c r="BG119" s="676"/>
      <c r="BH119" s="676"/>
      <c r="BI119" s="676"/>
      <c r="BJ119" s="676"/>
      <c r="BK119" s="676"/>
      <c r="BL119" s="676"/>
      <c r="BM119" s="676"/>
      <c r="BN119" s="676"/>
      <c r="BO119" s="676"/>
      <c r="BP119" s="676"/>
    </row>
    <row r="120" spans="1:68">
      <c r="A120" s="521"/>
      <c r="B120" s="546" t="s">
        <v>1044</v>
      </c>
      <c r="C120" s="447" t="s">
        <v>2271</v>
      </c>
      <c r="D120" s="547" t="s">
        <v>2485</v>
      </c>
      <c r="E120" s="448" t="s">
        <v>1540</v>
      </c>
      <c r="F120" s="324">
        <v>0</v>
      </c>
      <c r="H120" s="329">
        <f t="shared" si="28"/>
        <v>0.9</v>
      </c>
      <c r="I120" s="329">
        <f t="shared" si="29"/>
        <v>0</v>
      </c>
      <c r="N120" s="676"/>
      <c r="O120" s="676"/>
      <c r="P120" s="676"/>
      <c r="Q120" s="676"/>
      <c r="R120" s="676"/>
      <c r="S120" s="676"/>
      <c r="T120" s="676"/>
      <c r="U120" s="676"/>
      <c r="V120" s="676"/>
      <c r="W120" s="676"/>
      <c r="X120" s="676"/>
      <c r="Y120" s="676"/>
      <c r="Z120" s="676"/>
      <c r="AA120" s="676"/>
      <c r="AB120" s="676"/>
      <c r="AC120" s="676"/>
      <c r="AD120" s="676"/>
      <c r="AE120" s="676"/>
      <c r="AF120" s="676"/>
      <c r="AG120" s="676"/>
      <c r="AH120" s="676"/>
      <c r="AI120" s="676"/>
      <c r="AJ120" s="676"/>
      <c r="AK120" s="676"/>
      <c r="AL120" s="676"/>
      <c r="AM120" s="676"/>
      <c r="AN120" s="676"/>
      <c r="AO120" s="676"/>
      <c r="AP120" s="676"/>
      <c r="AQ120" s="676"/>
      <c r="AR120" s="676"/>
      <c r="AS120" s="676"/>
      <c r="AT120" s="676"/>
      <c r="AU120" s="676"/>
      <c r="AV120" s="676"/>
      <c r="AW120" s="676"/>
      <c r="AX120" s="676"/>
      <c r="AY120" s="676"/>
      <c r="AZ120" s="676"/>
      <c r="BA120" s="676"/>
      <c r="BB120" s="676"/>
      <c r="BC120" s="676"/>
      <c r="BD120" s="676"/>
      <c r="BE120" s="676"/>
      <c r="BF120" s="676"/>
      <c r="BG120" s="676"/>
      <c r="BH120" s="676"/>
      <c r="BI120" s="676"/>
      <c r="BJ120" s="676"/>
      <c r="BK120" s="676"/>
      <c r="BL120" s="676"/>
      <c r="BM120" s="676"/>
      <c r="BN120" s="676"/>
      <c r="BO120" s="676"/>
      <c r="BP120" s="676"/>
    </row>
    <row r="121" spans="1:68" ht="37.5">
      <c r="A121" s="531"/>
      <c r="B121" s="546" t="s">
        <v>1044</v>
      </c>
      <c r="D121" s="545" t="s">
        <v>2484</v>
      </c>
      <c r="E121" s="448" t="s">
        <v>1541</v>
      </c>
      <c r="F121" s="322">
        <v>0</v>
      </c>
      <c r="H121" s="329">
        <f>IF(F121=1,1.2,0.9)</f>
        <v>0.9</v>
      </c>
      <c r="I121" s="329">
        <f>IF(F121=0,0,1)</f>
        <v>0</v>
      </c>
      <c r="N121" s="676"/>
      <c r="O121" s="676"/>
      <c r="P121" s="676"/>
      <c r="Q121" s="676"/>
      <c r="R121" s="676"/>
      <c r="S121" s="676"/>
      <c r="T121" s="676"/>
      <c r="U121" s="676"/>
      <c r="V121" s="676"/>
      <c r="W121" s="676"/>
      <c r="X121" s="676"/>
      <c r="Y121" s="676"/>
      <c r="Z121" s="676"/>
      <c r="AA121" s="676"/>
      <c r="AB121" s="676"/>
      <c r="AC121" s="676"/>
      <c r="AD121" s="676"/>
      <c r="AE121" s="676"/>
      <c r="AF121" s="676"/>
      <c r="AG121" s="676"/>
      <c r="AH121" s="676"/>
      <c r="AI121" s="676"/>
      <c r="AJ121" s="676"/>
      <c r="AK121" s="676"/>
      <c r="AL121" s="676"/>
      <c r="AM121" s="676"/>
      <c r="AN121" s="676"/>
      <c r="AO121" s="676"/>
      <c r="AP121" s="676"/>
      <c r="AQ121" s="676"/>
      <c r="AR121" s="676"/>
      <c r="AS121" s="676"/>
      <c r="AT121" s="676"/>
      <c r="AU121" s="676"/>
      <c r="AV121" s="676"/>
      <c r="AW121" s="676"/>
      <c r="AX121" s="676"/>
      <c r="AY121" s="676"/>
      <c r="AZ121" s="676"/>
      <c r="BA121" s="676"/>
      <c r="BB121" s="676"/>
      <c r="BC121" s="676"/>
      <c r="BD121" s="676"/>
      <c r="BE121" s="676"/>
      <c r="BF121" s="676"/>
      <c r="BG121" s="676"/>
      <c r="BH121" s="676"/>
      <c r="BI121" s="676"/>
      <c r="BJ121" s="676"/>
      <c r="BK121" s="676"/>
      <c r="BL121" s="676"/>
      <c r="BM121" s="676"/>
      <c r="BN121" s="676"/>
      <c r="BO121" s="676"/>
      <c r="BP121" s="676"/>
    </row>
    <row r="122" spans="1:68" ht="37.5">
      <c r="A122" s="531"/>
      <c r="B122" s="546" t="s">
        <v>1044</v>
      </c>
      <c r="D122" s="545" t="s">
        <v>2483</v>
      </c>
      <c r="E122" s="448" t="s">
        <v>1542</v>
      </c>
      <c r="F122" s="322">
        <v>0</v>
      </c>
      <c r="G122" s="332">
        <f>IF($F$121=1,F122,0)</f>
        <v>0</v>
      </c>
      <c r="H122" s="329">
        <f>IF(G122=1,1.2,0.9)</f>
        <v>0.9</v>
      </c>
      <c r="I122" s="329">
        <f t="shared" ref="I122:I131" si="30">IF(F122=0,0,1)</f>
        <v>0</v>
      </c>
      <c r="N122" s="676"/>
      <c r="O122" s="676"/>
      <c r="P122" s="676"/>
      <c r="Q122" s="676"/>
      <c r="R122" s="676"/>
      <c r="S122" s="676"/>
      <c r="T122" s="676"/>
      <c r="U122" s="676"/>
      <c r="V122" s="676"/>
      <c r="W122" s="676"/>
      <c r="X122" s="676"/>
      <c r="Y122" s="676"/>
      <c r="Z122" s="676"/>
      <c r="AA122" s="676"/>
      <c r="AB122" s="676"/>
      <c r="AC122" s="676"/>
      <c r="AD122" s="676"/>
      <c r="AE122" s="676"/>
      <c r="AF122" s="676"/>
      <c r="AG122" s="676"/>
      <c r="AH122" s="676"/>
      <c r="AI122" s="676"/>
      <c r="AJ122" s="676"/>
      <c r="AK122" s="676"/>
      <c r="AL122" s="676"/>
      <c r="AM122" s="676"/>
      <c r="AN122" s="676"/>
      <c r="AO122" s="676"/>
      <c r="AP122" s="676"/>
      <c r="AQ122" s="676"/>
      <c r="AR122" s="676"/>
      <c r="AS122" s="676"/>
      <c r="AT122" s="676"/>
      <c r="AU122" s="676"/>
      <c r="AV122" s="676"/>
      <c r="AW122" s="676"/>
      <c r="AX122" s="676"/>
      <c r="AY122" s="676"/>
      <c r="AZ122" s="676"/>
      <c r="BA122" s="676"/>
      <c r="BB122" s="676"/>
      <c r="BC122" s="676"/>
      <c r="BD122" s="676"/>
      <c r="BE122" s="676"/>
      <c r="BF122" s="676"/>
      <c r="BG122" s="676"/>
      <c r="BH122" s="676"/>
      <c r="BI122" s="676"/>
      <c r="BJ122" s="676"/>
      <c r="BK122" s="676"/>
      <c r="BL122" s="676"/>
      <c r="BM122" s="676"/>
      <c r="BN122" s="676"/>
      <c r="BO122" s="676"/>
      <c r="BP122" s="676"/>
    </row>
    <row r="123" spans="1:68" ht="37.5">
      <c r="B123" s="546" t="s">
        <v>1044</v>
      </c>
      <c r="D123" s="545" t="s">
        <v>2482</v>
      </c>
      <c r="F123" s="322">
        <v>0</v>
      </c>
      <c r="G123" s="332">
        <f t="shared" ref="G123:G131" si="31">IF($F$121=1,F123,0)</f>
        <v>0</v>
      </c>
      <c r="H123" s="329">
        <f t="shared" ref="H123:H131" si="32">IF(G123=1,1.2,0.9)</f>
        <v>0.9</v>
      </c>
      <c r="I123" s="329">
        <f t="shared" si="30"/>
        <v>0</v>
      </c>
      <c r="N123" s="676"/>
      <c r="O123" s="676"/>
      <c r="P123" s="676"/>
      <c r="Q123" s="676"/>
      <c r="R123" s="676"/>
      <c r="S123" s="676"/>
      <c r="T123" s="676"/>
      <c r="U123" s="676"/>
      <c r="V123" s="676"/>
      <c r="W123" s="676"/>
      <c r="X123" s="676"/>
      <c r="Y123" s="676"/>
      <c r="Z123" s="676"/>
      <c r="AA123" s="676"/>
      <c r="AB123" s="676"/>
      <c r="AC123" s="676"/>
      <c r="AD123" s="676"/>
      <c r="AE123" s="676"/>
      <c r="AF123" s="676"/>
      <c r="AG123" s="676"/>
      <c r="AH123" s="676"/>
      <c r="AI123" s="676"/>
      <c r="AJ123" s="676"/>
      <c r="AK123" s="676"/>
      <c r="AL123" s="676"/>
      <c r="AM123" s="676"/>
      <c r="AN123" s="676"/>
      <c r="AO123" s="676"/>
      <c r="AP123" s="676"/>
      <c r="AQ123" s="676"/>
      <c r="AR123" s="676"/>
      <c r="AS123" s="676"/>
      <c r="AT123" s="676"/>
      <c r="AU123" s="676"/>
      <c r="AV123" s="676"/>
      <c r="AW123" s="676"/>
      <c r="AX123" s="676"/>
      <c r="AY123" s="676"/>
      <c r="AZ123" s="676"/>
      <c r="BA123" s="676"/>
      <c r="BB123" s="676"/>
      <c r="BC123" s="676"/>
      <c r="BD123" s="676"/>
      <c r="BE123" s="676"/>
      <c r="BF123" s="676"/>
      <c r="BG123" s="676"/>
      <c r="BH123" s="676"/>
      <c r="BI123" s="676"/>
      <c r="BJ123" s="676"/>
      <c r="BK123" s="676"/>
      <c r="BL123" s="676"/>
      <c r="BM123" s="676"/>
      <c r="BN123" s="676"/>
      <c r="BO123" s="676"/>
      <c r="BP123" s="676"/>
    </row>
    <row r="124" spans="1:68" ht="37.5">
      <c r="A124" s="531"/>
      <c r="B124" s="546" t="s">
        <v>1044</v>
      </c>
      <c r="D124" s="545" t="s">
        <v>2481</v>
      </c>
      <c r="E124" s="448" t="s">
        <v>1543</v>
      </c>
      <c r="F124" s="322">
        <v>0</v>
      </c>
      <c r="G124" s="332">
        <f t="shared" si="31"/>
        <v>0</v>
      </c>
      <c r="H124" s="329">
        <f t="shared" si="32"/>
        <v>0.9</v>
      </c>
      <c r="I124" s="329">
        <f t="shared" si="30"/>
        <v>0</v>
      </c>
      <c r="N124" s="676"/>
      <c r="O124" s="676"/>
      <c r="P124" s="676"/>
      <c r="Q124" s="676"/>
      <c r="R124" s="676"/>
      <c r="S124" s="676"/>
      <c r="T124" s="676"/>
      <c r="U124" s="676"/>
      <c r="V124" s="676"/>
      <c r="W124" s="676"/>
      <c r="X124" s="676"/>
      <c r="Y124" s="676"/>
      <c r="Z124" s="676"/>
      <c r="AA124" s="676"/>
      <c r="AB124" s="676"/>
      <c r="AC124" s="676"/>
      <c r="AD124" s="676"/>
      <c r="AE124" s="676"/>
      <c r="AF124" s="676"/>
      <c r="AG124" s="676"/>
      <c r="AH124" s="676"/>
      <c r="AI124" s="676"/>
      <c r="AJ124" s="676"/>
      <c r="AK124" s="676"/>
      <c r="AL124" s="676"/>
      <c r="AM124" s="676"/>
      <c r="AN124" s="676"/>
      <c r="AO124" s="676"/>
      <c r="AP124" s="676"/>
      <c r="AQ124" s="676"/>
      <c r="AR124" s="676"/>
      <c r="AS124" s="676"/>
      <c r="AT124" s="676"/>
      <c r="AU124" s="676"/>
      <c r="AV124" s="676"/>
      <c r="AW124" s="676"/>
      <c r="AX124" s="676"/>
      <c r="AY124" s="676"/>
      <c r="AZ124" s="676"/>
      <c r="BA124" s="676"/>
      <c r="BB124" s="676"/>
      <c r="BC124" s="676"/>
      <c r="BD124" s="676"/>
      <c r="BE124" s="676"/>
      <c r="BF124" s="676"/>
      <c r="BG124" s="676"/>
      <c r="BH124" s="676"/>
      <c r="BI124" s="676"/>
      <c r="BJ124" s="676"/>
      <c r="BK124" s="676"/>
      <c r="BL124" s="676"/>
      <c r="BM124" s="676"/>
      <c r="BN124" s="676"/>
      <c r="BO124" s="676"/>
      <c r="BP124" s="676"/>
    </row>
    <row r="125" spans="1:68" ht="37.5">
      <c r="A125" s="531"/>
      <c r="B125" s="546" t="s">
        <v>1044</v>
      </c>
      <c r="D125" s="545" t="s">
        <v>2480</v>
      </c>
      <c r="E125" s="448" t="s">
        <v>1544</v>
      </c>
      <c r="F125" s="322">
        <v>0</v>
      </c>
      <c r="G125" s="332">
        <f t="shared" si="31"/>
        <v>0</v>
      </c>
      <c r="H125" s="329">
        <f t="shared" si="32"/>
        <v>0.9</v>
      </c>
      <c r="I125" s="329">
        <f t="shared" si="30"/>
        <v>0</v>
      </c>
      <c r="N125" s="676"/>
      <c r="O125" s="676"/>
      <c r="P125" s="676"/>
      <c r="Q125" s="676"/>
      <c r="R125" s="676"/>
      <c r="S125" s="676"/>
      <c r="T125" s="676"/>
      <c r="U125" s="676"/>
      <c r="V125" s="676"/>
      <c r="W125" s="676"/>
      <c r="X125" s="676"/>
      <c r="Y125" s="676"/>
      <c r="Z125" s="676"/>
      <c r="AA125" s="676"/>
      <c r="AB125" s="676"/>
      <c r="AC125" s="676"/>
      <c r="AD125" s="676"/>
      <c r="AE125" s="676"/>
      <c r="AF125" s="676"/>
      <c r="AG125" s="676"/>
      <c r="AH125" s="676"/>
      <c r="AI125" s="676"/>
      <c r="AJ125" s="676"/>
      <c r="AK125" s="676"/>
      <c r="AL125" s="676"/>
      <c r="AM125" s="676"/>
      <c r="AN125" s="676"/>
      <c r="AO125" s="676"/>
      <c r="AP125" s="676"/>
      <c r="AQ125" s="676"/>
      <c r="AR125" s="676"/>
      <c r="AS125" s="676"/>
      <c r="AT125" s="676"/>
      <c r="AU125" s="676"/>
      <c r="AV125" s="676"/>
      <c r="AW125" s="676"/>
      <c r="AX125" s="676"/>
      <c r="AY125" s="676"/>
      <c r="AZ125" s="676"/>
      <c r="BA125" s="676"/>
      <c r="BB125" s="676"/>
      <c r="BC125" s="676"/>
      <c r="BD125" s="676"/>
      <c r="BE125" s="676"/>
      <c r="BF125" s="676"/>
      <c r="BG125" s="676"/>
      <c r="BH125" s="676"/>
      <c r="BI125" s="676"/>
      <c r="BJ125" s="676"/>
      <c r="BK125" s="676"/>
      <c r="BL125" s="676"/>
      <c r="BM125" s="676"/>
      <c r="BN125" s="676"/>
      <c r="BO125" s="676"/>
      <c r="BP125" s="676"/>
    </row>
    <row r="126" spans="1:68" ht="37.5">
      <c r="A126" s="531"/>
      <c r="B126" s="546" t="s">
        <v>1044</v>
      </c>
      <c r="D126" s="545" t="s">
        <v>2479</v>
      </c>
      <c r="E126" s="448" t="s">
        <v>1545</v>
      </c>
      <c r="F126" s="322">
        <v>0</v>
      </c>
      <c r="G126" s="332">
        <f t="shared" si="31"/>
        <v>0</v>
      </c>
      <c r="H126" s="329">
        <f t="shared" si="32"/>
        <v>0.9</v>
      </c>
      <c r="I126" s="329">
        <f t="shared" si="30"/>
        <v>0</v>
      </c>
      <c r="N126" s="676"/>
      <c r="O126" s="676"/>
      <c r="P126" s="676"/>
      <c r="Q126" s="676"/>
      <c r="R126" s="676"/>
      <c r="S126" s="676"/>
      <c r="T126" s="676"/>
      <c r="U126" s="676"/>
      <c r="V126" s="676"/>
      <c r="W126" s="676"/>
      <c r="X126" s="676"/>
      <c r="Y126" s="676"/>
      <c r="Z126" s="676"/>
      <c r="AA126" s="676"/>
      <c r="AB126" s="676"/>
      <c r="AC126" s="676"/>
      <c r="AD126" s="676"/>
      <c r="AE126" s="676"/>
      <c r="AF126" s="676"/>
      <c r="AG126" s="676"/>
      <c r="AH126" s="676"/>
      <c r="AI126" s="676"/>
      <c r="AJ126" s="676"/>
      <c r="AK126" s="676"/>
      <c r="AL126" s="676"/>
      <c r="AM126" s="676"/>
      <c r="AN126" s="676"/>
      <c r="AO126" s="676"/>
      <c r="AP126" s="676"/>
      <c r="AQ126" s="676"/>
      <c r="AR126" s="676"/>
      <c r="AS126" s="676"/>
      <c r="AT126" s="676"/>
      <c r="AU126" s="676"/>
      <c r="AV126" s="676"/>
      <c r="AW126" s="676"/>
      <c r="AX126" s="676"/>
      <c r="AY126" s="676"/>
      <c r="AZ126" s="676"/>
      <c r="BA126" s="676"/>
      <c r="BB126" s="676"/>
      <c r="BC126" s="676"/>
      <c r="BD126" s="676"/>
      <c r="BE126" s="676"/>
      <c r="BF126" s="676"/>
      <c r="BG126" s="676"/>
      <c r="BH126" s="676"/>
      <c r="BI126" s="676"/>
      <c r="BJ126" s="676"/>
      <c r="BK126" s="676"/>
      <c r="BL126" s="676"/>
      <c r="BM126" s="676"/>
      <c r="BN126" s="676"/>
      <c r="BO126" s="676"/>
      <c r="BP126" s="676"/>
    </row>
    <row r="127" spans="1:68" ht="37.5">
      <c r="A127" s="531"/>
      <c r="B127" s="546" t="s">
        <v>1044</v>
      </c>
      <c r="D127" s="545" t="s">
        <v>2478</v>
      </c>
      <c r="E127" s="448" t="s">
        <v>1546</v>
      </c>
      <c r="F127" s="322">
        <v>0</v>
      </c>
      <c r="G127" s="332">
        <f t="shared" si="31"/>
        <v>0</v>
      </c>
      <c r="H127" s="329">
        <f t="shared" si="32"/>
        <v>0.9</v>
      </c>
      <c r="I127" s="329">
        <f t="shared" si="30"/>
        <v>0</v>
      </c>
      <c r="N127" s="676"/>
      <c r="O127" s="676"/>
      <c r="P127" s="676"/>
      <c r="Q127" s="676"/>
      <c r="R127" s="676"/>
      <c r="S127" s="676"/>
      <c r="T127" s="676"/>
      <c r="U127" s="676"/>
      <c r="V127" s="676"/>
      <c r="W127" s="676"/>
      <c r="X127" s="676"/>
      <c r="Y127" s="676"/>
      <c r="Z127" s="676"/>
      <c r="AA127" s="676"/>
      <c r="AB127" s="676"/>
      <c r="AC127" s="676"/>
      <c r="AD127" s="676"/>
      <c r="AE127" s="676"/>
      <c r="AF127" s="676"/>
      <c r="AG127" s="676"/>
      <c r="AH127" s="676"/>
      <c r="AI127" s="676"/>
      <c r="AJ127" s="676"/>
      <c r="AK127" s="676"/>
      <c r="AL127" s="676"/>
      <c r="AM127" s="676"/>
      <c r="AN127" s="676"/>
      <c r="AO127" s="676"/>
      <c r="AP127" s="676"/>
      <c r="AQ127" s="676"/>
      <c r="AR127" s="676"/>
      <c r="AS127" s="676"/>
      <c r="AT127" s="676"/>
      <c r="AU127" s="676"/>
      <c r="AV127" s="676"/>
      <c r="AW127" s="676"/>
      <c r="AX127" s="676"/>
      <c r="AY127" s="676"/>
      <c r="AZ127" s="676"/>
      <c r="BA127" s="676"/>
      <c r="BB127" s="676"/>
      <c r="BC127" s="676"/>
      <c r="BD127" s="676"/>
      <c r="BE127" s="676"/>
      <c r="BF127" s="676"/>
      <c r="BG127" s="676"/>
      <c r="BH127" s="676"/>
      <c r="BI127" s="676"/>
      <c r="BJ127" s="676"/>
      <c r="BK127" s="676"/>
      <c r="BL127" s="676"/>
      <c r="BM127" s="676"/>
      <c r="BN127" s="676"/>
      <c r="BO127" s="676"/>
      <c r="BP127" s="676"/>
    </row>
    <row r="128" spans="1:68" ht="37.5">
      <c r="B128" s="546" t="s">
        <v>1044</v>
      </c>
      <c r="D128" s="545" t="s">
        <v>2477</v>
      </c>
      <c r="F128" s="322">
        <v>0</v>
      </c>
      <c r="G128" s="332">
        <f t="shared" si="31"/>
        <v>0</v>
      </c>
      <c r="H128" s="329">
        <f t="shared" si="32"/>
        <v>0.9</v>
      </c>
      <c r="I128" s="329">
        <f t="shared" si="30"/>
        <v>0</v>
      </c>
      <c r="N128" s="676"/>
      <c r="O128" s="676"/>
      <c r="P128" s="676"/>
      <c r="Q128" s="676"/>
      <c r="R128" s="676"/>
      <c r="S128" s="676"/>
      <c r="T128" s="676"/>
      <c r="U128" s="676"/>
      <c r="V128" s="676"/>
      <c r="W128" s="676"/>
      <c r="X128" s="676"/>
      <c r="Y128" s="676"/>
      <c r="Z128" s="676"/>
      <c r="AA128" s="676"/>
      <c r="AB128" s="676"/>
      <c r="AC128" s="676"/>
      <c r="AD128" s="676"/>
      <c r="AE128" s="676"/>
      <c r="AF128" s="676"/>
      <c r="AG128" s="676"/>
      <c r="AH128" s="676"/>
      <c r="AI128" s="676"/>
      <c r="AJ128" s="676"/>
      <c r="AK128" s="676"/>
      <c r="AL128" s="676"/>
      <c r="AM128" s="676"/>
      <c r="AN128" s="676"/>
      <c r="AO128" s="676"/>
      <c r="AP128" s="676"/>
      <c r="AQ128" s="676"/>
      <c r="AR128" s="676"/>
      <c r="AS128" s="676"/>
      <c r="AT128" s="676"/>
      <c r="AU128" s="676"/>
      <c r="AV128" s="676"/>
      <c r="AW128" s="676"/>
      <c r="AX128" s="676"/>
      <c r="AY128" s="676"/>
      <c r="AZ128" s="676"/>
      <c r="BA128" s="676"/>
      <c r="BB128" s="676"/>
      <c r="BC128" s="676"/>
      <c r="BD128" s="676"/>
      <c r="BE128" s="676"/>
      <c r="BF128" s="676"/>
      <c r="BG128" s="676"/>
      <c r="BH128" s="676"/>
      <c r="BI128" s="676"/>
      <c r="BJ128" s="676"/>
      <c r="BK128" s="676"/>
      <c r="BL128" s="676"/>
      <c r="BM128" s="676"/>
      <c r="BN128" s="676"/>
      <c r="BO128" s="676"/>
      <c r="BP128" s="676"/>
    </row>
    <row r="129" spans="1:68" ht="56.25">
      <c r="A129" s="531"/>
      <c r="B129" s="546" t="s">
        <v>1044</v>
      </c>
      <c r="D129" s="545" t="s">
        <v>2476</v>
      </c>
      <c r="E129" s="448" t="s">
        <v>1547</v>
      </c>
      <c r="F129" s="322">
        <v>0</v>
      </c>
      <c r="G129" s="332">
        <f t="shared" si="31"/>
        <v>0</v>
      </c>
      <c r="H129" s="329">
        <f t="shared" si="32"/>
        <v>0.9</v>
      </c>
      <c r="I129" s="329">
        <f t="shared" si="30"/>
        <v>0</v>
      </c>
      <c r="N129" s="676"/>
      <c r="O129" s="676"/>
      <c r="P129" s="676"/>
      <c r="Q129" s="676"/>
      <c r="R129" s="676"/>
      <c r="S129" s="676"/>
      <c r="T129" s="676"/>
      <c r="U129" s="676"/>
      <c r="V129" s="676"/>
      <c r="W129" s="676"/>
      <c r="X129" s="676"/>
      <c r="Y129" s="676"/>
      <c r="Z129" s="676"/>
      <c r="AA129" s="676"/>
      <c r="AB129" s="676"/>
      <c r="AC129" s="676"/>
      <c r="AD129" s="676"/>
      <c r="AE129" s="676"/>
      <c r="AF129" s="676"/>
      <c r="AG129" s="676"/>
      <c r="AH129" s="676"/>
      <c r="AI129" s="676"/>
      <c r="AJ129" s="676"/>
      <c r="AK129" s="676"/>
      <c r="AL129" s="676"/>
      <c r="AM129" s="676"/>
      <c r="AN129" s="676"/>
      <c r="AO129" s="676"/>
      <c r="AP129" s="676"/>
      <c r="AQ129" s="676"/>
      <c r="AR129" s="676"/>
      <c r="AS129" s="676"/>
      <c r="AT129" s="676"/>
      <c r="AU129" s="676"/>
      <c r="AV129" s="676"/>
      <c r="AW129" s="676"/>
      <c r="AX129" s="676"/>
      <c r="AY129" s="676"/>
      <c r="AZ129" s="676"/>
      <c r="BA129" s="676"/>
      <c r="BB129" s="676"/>
      <c r="BC129" s="676"/>
      <c r="BD129" s="676"/>
      <c r="BE129" s="676"/>
      <c r="BF129" s="676"/>
      <c r="BG129" s="676"/>
      <c r="BH129" s="676"/>
      <c r="BI129" s="676"/>
      <c r="BJ129" s="676"/>
      <c r="BK129" s="676"/>
      <c r="BL129" s="676"/>
      <c r="BM129" s="676"/>
      <c r="BN129" s="676"/>
      <c r="BO129" s="676"/>
      <c r="BP129" s="676"/>
    </row>
    <row r="130" spans="1:68" ht="37.5">
      <c r="B130" s="546" t="s">
        <v>1044</v>
      </c>
      <c r="D130" s="545" t="s">
        <v>2475</v>
      </c>
      <c r="F130" s="322">
        <v>0</v>
      </c>
      <c r="G130" s="332">
        <f t="shared" si="31"/>
        <v>0</v>
      </c>
      <c r="H130" s="329">
        <f t="shared" si="32"/>
        <v>0.9</v>
      </c>
      <c r="I130" s="329">
        <f t="shared" si="30"/>
        <v>0</v>
      </c>
      <c r="N130" s="676"/>
      <c r="O130" s="676"/>
      <c r="P130" s="676"/>
      <c r="Q130" s="676"/>
      <c r="R130" s="676"/>
      <c r="S130" s="676"/>
      <c r="T130" s="676"/>
      <c r="U130" s="676"/>
      <c r="V130" s="676"/>
      <c r="W130" s="676"/>
      <c r="X130" s="676"/>
      <c r="Y130" s="676"/>
      <c r="Z130" s="676"/>
      <c r="AA130" s="676"/>
      <c r="AB130" s="676"/>
      <c r="AC130" s="676"/>
      <c r="AD130" s="676"/>
      <c r="AE130" s="676"/>
      <c r="AF130" s="676"/>
      <c r="AG130" s="676"/>
      <c r="AH130" s="676"/>
      <c r="AI130" s="676"/>
      <c r="AJ130" s="676"/>
      <c r="AK130" s="676"/>
      <c r="AL130" s="676"/>
      <c r="AM130" s="676"/>
      <c r="AN130" s="676"/>
      <c r="AO130" s="676"/>
      <c r="AP130" s="676"/>
      <c r="AQ130" s="676"/>
      <c r="AR130" s="676"/>
      <c r="AS130" s="676"/>
      <c r="AT130" s="676"/>
      <c r="AU130" s="676"/>
      <c r="AV130" s="676"/>
      <c r="AW130" s="676"/>
      <c r="AX130" s="676"/>
      <c r="AY130" s="676"/>
      <c r="AZ130" s="676"/>
      <c r="BA130" s="676"/>
      <c r="BB130" s="676"/>
      <c r="BC130" s="676"/>
      <c r="BD130" s="676"/>
      <c r="BE130" s="676"/>
      <c r="BF130" s="676"/>
      <c r="BG130" s="676"/>
      <c r="BH130" s="676"/>
      <c r="BI130" s="676"/>
      <c r="BJ130" s="676"/>
      <c r="BK130" s="676"/>
      <c r="BL130" s="676"/>
      <c r="BM130" s="676"/>
      <c r="BN130" s="676"/>
      <c r="BO130" s="676"/>
      <c r="BP130" s="676"/>
    </row>
    <row r="131" spans="1:68" ht="37.5">
      <c r="B131" s="546" t="s">
        <v>1044</v>
      </c>
      <c r="D131" s="545" t="s">
        <v>2474</v>
      </c>
      <c r="F131" s="322">
        <v>0</v>
      </c>
      <c r="G131" s="332">
        <f t="shared" si="31"/>
        <v>0</v>
      </c>
      <c r="H131" s="329">
        <f t="shared" si="32"/>
        <v>0.9</v>
      </c>
      <c r="I131" s="329">
        <f t="shared" si="30"/>
        <v>0</v>
      </c>
      <c r="N131" s="676"/>
      <c r="O131" s="676"/>
      <c r="P131" s="676"/>
      <c r="Q131" s="676"/>
      <c r="R131" s="676"/>
      <c r="S131" s="676"/>
      <c r="T131" s="676"/>
      <c r="U131" s="676"/>
      <c r="V131" s="676"/>
      <c r="W131" s="676"/>
      <c r="X131" s="676"/>
      <c r="Y131" s="676"/>
      <c r="Z131" s="676"/>
      <c r="AA131" s="676"/>
      <c r="AB131" s="676"/>
      <c r="AC131" s="676"/>
      <c r="AD131" s="676"/>
      <c r="AE131" s="676"/>
      <c r="AF131" s="676"/>
      <c r="AG131" s="676"/>
      <c r="AH131" s="676"/>
      <c r="AI131" s="676"/>
      <c r="AJ131" s="676"/>
      <c r="AK131" s="676"/>
      <c r="AL131" s="676"/>
      <c r="AM131" s="676"/>
      <c r="AN131" s="676"/>
      <c r="AO131" s="676"/>
      <c r="AP131" s="676"/>
      <c r="AQ131" s="676"/>
      <c r="AR131" s="676"/>
      <c r="AS131" s="676"/>
      <c r="AT131" s="676"/>
      <c r="AU131" s="676"/>
      <c r="AV131" s="676"/>
      <c r="AW131" s="676"/>
      <c r="AX131" s="676"/>
      <c r="AY131" s="676"/>
      <c r="AZ131" s="676"/>
      <c r="BA131" s="676"/>
      <c r="BB131" s="676"/>
      <c r="BC131" s="676"/>
      <c r="BD131" s="676"/>
      <c r="BE131" s="676"/>
      <c r="BF131" s="676"/>
      <c r="BG131" s="676"/>
      <c r="BH131" s="676"/>
      <c r="BI131" s="676"/>
      <c r="BJ131" s="676"/>
      <c r="BK131" s="676"/>
      <c r="BL131" s="676"/>
      <c r="BM131" s="676"/>
      <c r="BN131" s="676"/>
      <c r="BO131" s="676"/>
      <c r="BP131" s="676"/>
    </row>
    <row r="132" spans="1:68" s="330" customFormat="1" ht="37.5">
      <c r="B132" s="546" t="s">
        <v>1044</v>
      </c>
      <c r="C132" s="447"/>
      <c r="D132" s="545" t="s">
        <v>2473</v>
      </c>
      <c r="E132" s="448"/>
      <c r="F132" s="322">
        <v>0</v>
      </c>
      <c r="H132" s="329"/>
      <c r="I132" s="329"/>
      <c r="J132" s="329"/>
      <c r="K132" s="329"/>
      <c r="N132" s="676"/>
      <c r="O132" s="676"/>
      <c r="P132" s="676"/>
      <c r="Q132" s="676"/>
      <c r="R132" s="676"/>
      <c r="S132" s="676"/>
      <c r="T132" s="676"/>
      <c r="U132" s="676"/>
      <c r="V132" s="676"/>
      <c r="W132" s="676"/>
      <c r="X132" s="676"/>
      <c r="Y132" s="676"/>
      <c r="Z132" s="676"/>
      <c r="AA132" s="676"/>
      <c r="AB132" s="676"/>
      <c r="AC132" s="676"/>
      <c r="AD132" s="676"/>
      <c r="AE132" s="676"/>
      <c r="AF132" s="676"/>
      <c r="AG132" s="676"/>
      <c r="AH132" s="676"/>
      <c r="AI132" s="676"/>
      <c r="AJ132" s="676"/>
      <c r="AK132" s="676"/>
      <c r="AL132" s="676"/>
      <c r="AM132" s="676"/>
      <c r="AN132" s="676"/>
      <c r="AO132" s="676"/>
      <c r="AP132" s="676"/>
      <c r="AQ132" s="676"/>
      <c r="AR132" s="676"/>
      <c r="AS132" s="676"/>
      <c r="AT132" s="676"/>
      <c r="AU132" s="676"/>
      <c r="AV132" s="676"/>
      <c r="AW132" s="676"/>
      <c r="AX132" s="676"/>
      <c r="AY132" s="676"/>
      <c r="AZ132" s="676"/>
      <c r="BA132" s="676"/>
      <c r="BB132" s="676"/>
      <c r="BC132" s="676"/>
      <c r="BD132" s="676"/>
      <c r="BE132" s="676"/>
      <c r="BF132" s="676"/>
      <c r="BG132" s="676"/>
      <c r="BH132" s="676"/>
      <c r="BI132" s="676"/>
      <c r="BJ132" s="676"/>
      <c r="BK132" s="676"/>
      <c r="BL132" s="676"/>
      <c r="BM132" s="676"/>
      <c r="BN132" s="676"/>
      <c r="BO132" s="676"/>
      <c r="BP132" s="676"/>
    </row>
    <row r="133" spans="1:68" s="354" customFormat="1">
      <c r="C133" s="560"/>
      <c r="D133" s="561"/>
      <c r="E133" s="448"/>
      <c r="F133" s="562"/>
      <c r="M133" s="354" t="s">
        <v>1641</v>
      </c>
      <c r="N133" s="521"/>
      <c r="P133" s="521"/>
      <c r="R133" s="521"/>
      <c r="T133" s="521"/>
      <c r="V133" s="521"/>
      <c r="X133" s="521"/>
      <c r="Z133" s="521"/>
      <c r="AB133" s="521"/>
      <c r="AD133" s="521"/>
      <c r="AF133" s="521"/>
      <c r="AH133" s="521"/>
      <c r="AJ133" s="521"/>
      <c r="AL133" s="521"/>
      <c r="AN133" s="521"/>
      <c r="AP133" s="521"/>
      <c r="AR133" s="521"/>
      <c r="AT133" s="521"/>
      <c r="AV133" s="521"/>
      <c r="AX133" s="521"/>
      <c r="AZ133" s="331"/>
      <c r="BB133" s="331"/>
      <c r="BD133" s="331"/>
      <c r="BF133" s="331"/>
      <c r="BH133" s="331"/>
      <c r="BJ133" s="331"/>
      <c r="BL133" s="331"/>
      <c r="BM133" s="329"/>
      <c r="BN133" s="331"/>
      <c r="BO133" s="329"/>
    </row>
    <row r="134" spans="1:68" ht="56.25">
      <c r="A134" s="531">
        <v>1</v>
      </c>
      <c r="B134" s="355" t="s">
        <v>240</v>
      </c>
      <c r="D134" s="536" t="s">
        <v>2666</v>
      </c>
      <c r="F134" s="325">
        <v>3</v>
      </c>
      <c r="G134" s="329">
        <f>F134</f>
        <v>3</v>
      </c>
      <c r="H134" s="329">
        <f>1-(G134/3)</f>
        <v>0</v>
      </c>
      <c r="I134" s="337">
        <f>IF(G134&gt;2,1.5,IF(G134&lt;2.1,0.8,1.2))</f>
        <v>1.5</v>
      </c>
      <c r="J134" s="353" t="s">
        <v>1170</v>
      </c>
      <c r="K134" s="371">
        <f>1-((G134+G135+G143+G144+G145+G146+G152+G153)/17)</f>
        <v>0.64705882352941169</v>
      </c>
      <c r="L134" s="367"/>
      <c r="M134" s="367"/>
    </row>
    <row r="135" spans="1:68">
      <c r="A135" s="531">
        <v>1</v>
      </c>
      <c r="B135" s="355" t="s">
        <v>240</v>
      </c>
      <c r="D135" s="863" t="s">
        <v>2512</v>
      </c>
      <c r="F135" s="555">
        <v>0</v>
      </c>
      <c r="G135" s="331">
        <f>F135</f>
        <v>0</v>
      </c>
      <c r="I135" s="337">
        <f>IF(G135&gt;2,1.5,IF(G135&lt;2,0.8,1.2))</f>
        <v>0.8</v>
      </c>
      <c r="J135" s="337"/>
      <c r="K135" s="337"/>
      <c r="L135" s="367"/>
      <c r="M135" s="367"/>
      <c r="AJ135" s="521">
        <f>$I135</f>
        <v>0.8</v>
      </c>
      <c r="AM135" s="329">
        <f t="shared" ref="AM135:AM136" si="33">$I135</f>
        <v>0.8</v>
      </c>
    </row>
    <row r="136" spans="1:68">
      <c r="A136" s="531">
        <v>1</v>
      </c>
      <c r="B136" s="355"/>
      <c r="C136" s="447" t="s">
        <v>2272</v>
      </c>
      <c r="D136" s="863" t="s">
        <v>2511</v>
      </c>
      <c r="F136" s="555">
        <v>1</v>
      </c>
      <c r="G136" s="331">
        <f>F136</f>
        <v>1</v>
      </c>
      <c r="I136" s="337">
        <f>IF(G136&gt;2,1.5,IF(G136&lt;2,0.8,1.2))</f>
        <v>0.8</v>
      </c>
      <c r="J136" s="337"/>
      <c r="K136" s="337"/>
      <c r="L136" s="367"/>
      <c r="M136" s="367"/>
      <c r="AJ136" s="521">
        <f t="shared" ref="AJ136" si="34">$I136</f>
        <v>0.8</v>
      </c>
      <c r="AM136" s="329">
        <f t="shared" si="33"/>
        <v>0.8</v>
      </c>
    </row>
    <row r="137" spans="1:68">
      <c r="A137" s="531">
        <v>1</v>
      </c>
      <c r="B137" s="355" t="s">
        <v>240</v>
      </c>
      <c r="D137" s="548" t="s">
        <v>2510</v>
      </c>
      <c r="E137" s="448" t="s">
        <v>1548</v>
      </c>
      <c r="F137" s="555">
        <v>1</v>
      </c>
      <c r="G137" s="331">
        <f>IF(F137=1,1.2,1)</f>
        <v>1.2</v>
      </c>
      <c r="H137" s="331">
        <f>F137</f>
        <v>1</v>
      </c>
      <c r="J137" s="354" t="s">
        <v>1171</v>
      </c>
      <c r="K137" s="370">
        <f>1-((G135+G136+H138+H140+H141+G15+G162+G147)/8)</f>
        <v>0.25</v>
      </c>
      <c r="AJ137" s="523">
        <f>$K137</f>
        <v>0.25</v>
      </c>
      <c r="AM137" s="347">
        <f>$K137</f>
        <v>0.25</v>
      </c>
    </row>
    <row r="138" spans="1:68">
      <c r="A138" s="531">
        <v>1</v>
      </c>
      <c r="B138" s="355" t="s">
        <v>240</v>
      </c>
      <c r="C138" s="447" t="s">
        <v>2272</v>
      </c>
      <c r="D138" s="548" t="s">
        <v>2509</v>
      </c>
      <c r="E138" s="448" t="s">
        <v>1549</v>
      </c>
      <c r="F138" s="555">
        <v>1</v>
      </c>
      <c r="G138" s="331">
        <f t="shared" ref="G138:G142" si="35">IF(F138=1,1.2,1)</f>
        <v>1.2</v>
      </c>
      <c r="H138" s="331">
        <f t="shared" ref="H138:H142" si="36">F138</f>
        <v>1</v>
      </c>
    </row>
    <row r="139" spans="1:68">
      <c r="A139" s="531">
        <v>1</v>
      </c>
      <c r="B139" s="355" t="s">
        <v>240</v>
      </c>
      <c r="D139" s="548" t="s">
        <v>2508</v>
      </c>
      <c r="E139" s="448" t="s">
        <v>1550</v>
      </c>
      <c r="F139" s="555">
        <v>1</v>
      </c>
      <c r="G139" s="331">
        <f t="shared" si="35"/>
        <v>1.2</v>
      </c>
      <c r="H139" s="331">
        <f t="shared" si="36"/>
        <v>1</v>
      </c>
      <c r="J139" s="355" t="s">
        <v>1172</v>
      </c>
      <c r="K139" s="424">
        <f>SUM(H137,H138,H139,H140,H141,H142)/6</f>
        <v>1</v>
      </c>
      <c r="L139" s="333">
        <f>IF(K139&gt;0.79,2,(IF(K139&lt;0.66,0.8,1.2)))</f>
        <v>2</v>
      </c>
      <c r="AF139" s="957">
        <f>$L139</f>
        <v>2</v>
      </c>
      <c r="AK139" s="523">
        <f>$L139</f>
        <v>2</v>
      </c>
      <c r="AL139" s="523">
        <f>$L139</f>
        <v>2</v>
      </c>
    </row>
    <row r="140" spans="1:68">
      <c r="A140" s="531">
        <v>1</v>
      </c>
      <c r="B140" s="355" t="s">
        <v>240</v>
      </c>
      <c r="D140" s="548" t="s">
        <v>2507</v>
      </c>
      <c r="E140" s="448" t="s">
        <v>1551</v>
      </c>
      <c r="F140" s="555">
        <v>1</v>
      </c>
      <c r="G140" s="331">
        <f t="shared" si="35"/>
        <v>1.2</v>
      </c>
      <c r="H140" s="331">
        <f t="shared" si="36"/>
        <v>1</v>
      </c>
    </row>
    <row r="141" spans="1:68">
      <c r="A141" s="531">
        <v>1</v>
      </c>
      <c r="B141" s="355" t="s">
        <v>240</v>
      </c>
      <c r="D141" s="548" t="s">
        <v>2506</v>
      </c>
      <c r="E141" s="448" t="s">
        <v>1552</v>
      </c>
      <c r="F141" s="555">
        <v>1</v>
      </c>
      <c r="G141" s="331">
        <f t="shared" si="35"/>
        <v>1.2</v>
      </c>
      <c r="H141" s="331">
        <f t="shared" si="36"/>
        <v>1</v>
      </c>
      <c r="J141" s="329" t="s">
        <v>2690</v>
      </c>
      <c r="K141" s="329">
        <f>(F134+F166+F167)/9</f>
        <v>0.33333333333333331</v>
      </c>
    </row>
    <row r="142" spans="1:68">
      <c r="A142" s="531">
        <v>1</v>
      </c>
      <c r="B142" s="355" t="s">
        <v>240</v>
      </c>
      <c r="D142" s="548" t="s">
        <v>2505</v>
      </c>
      <c r="E142" s="448" t="s">
        <v>1553</v>
      </c>
      <c r="F142" s="555">
        <v>1</v>
      </c>
      <c r="G142" s="331">
        <f t="shared" si="35"/>
        <v>1.2</v>
      </c>
      <c r="H142" s="331">
        <f t="shared" si="36"/>
        <v>1</v>
      </c>
      <c r="J142" s="329" t="s">
        <v>2687</v>
      </c>
      <c r="K142" s="329">
        <f>(F143+(F98*3)+(F159*3))/9</f>
        <v>0</v>
      </c>
    </row>
    <row r="143" spans="1:68" ht="56.25">
      <c r="A143" s="531">
        <v>1</v>
      </c>
      <c r="B143" s="355" t="s">
        <v>240</v>
      </c>
      <c r="D143" s="536" t="s">
        <v>2667</v>
      </c>
      <c r="E143" s="448" t="s">
        <v>1554</v>
      </c>
      <c r="F143" s="325">
        <v>0</v>
      </c>
      <c r="G143" s="329">
        <f>F143</f>
        <v>0</v>
      </c>
      <c r="H143" s="329">
        <f t="shared" ref="H143:H145" si="37">1-(G143/3)</f>
        <v>1</v>
      </c>
      <c r="I143" s="337">
        <f>IF(G143&gt;2,1.5,IF(G143&lt;2.1,0.8,1.2))</f>
        <v>0.8</v>
      </c>
      <c r="J143" s="337" t="s">
        <v>2688</v>
      </c>
      <c r="K143" s="337">
        <f>(F144+(F160*3)+(F161*3)+(F165*3)+(F169*3))/15</f>
        <v>6.6666666666666666E-2</v>
      </c>
      <c r="R143" s="521">
        <f>$I143</f>
        <v>0.8</v>
      </c>
    </row>
    <row r="144" spans="1:68" ht="56.25">
      <c r="A144" s="531">
        <v>1</v>
      </c>
      <c r="B144" s="355" t="s">
        <v>240</v>
      </c>
      <c r="D144" s="536" t="s">
        <v>2668</v>
      </c>
      <c r="E144" s="448" t="s">
        <v>1555</v>
      </c>
      <c r="F144" s="325">
        <v>1</v>
      </c>
      <c r="G144" s="329">
        <f t="shared" ref="G144:G146" si="38">F144</f>
        <v>1</v>
      </c>
      <c r="H144" s="329">
        <f t="shared" si="37"/>
        <v>0.66666666666666674</v>
      </c>
      <c r="I144" s="337">
        <f t="shared" ref="I144:I146" si="39">IF(G144&gt;2,1.5,IF(G144&lt;2.1,0.8,1.2))</f>
        <v>0.8</v>
      </c>
      <c r="J144" s="329" t="s">
        <v>2689</v>
      </c>
      <c r="K144" s="329">
        <f>(F145+(F157*3)+(F173*3))/9</f>
        <v>0</v>
      </c>
      <c r="AB144" s="521">
        <f>$I144</f>
        <v>0.8</v>
      </c>
      <c r="BA144" s="521">
        <f>$I144</f>
        <v>0.8</v>
      </c>
    </row>
    <row r="145" spans="1:67" ht="56.25">
      <c r="A145" s="531">
        <v>1</v>
      </c>
      <c r="B145" s="355" t="s">
        <v>240</v>
      </c>
      <c r="D145" s="536" t="s">
        <v>2669</v>
      </c>
      <c r="E145" s="448" t="s">
        <v>1556</v>
      </c>
      <c r="F145" s="325">
        <v>0</v>
      </c>
      <c r="G145" s="329">
        <f t="shared" si="38"/>
        <v>0</v>
      </c>
      <c r="H145" s="329">
        <f t="shared" si="37"/>
        <v>1</v>
      </c>
      <c r="I145" s="337">
        <f t="shared" si="39"/>
        <v>0.8</v>
      </c>
      <c r="J145" s="329" t="s">
        <v>2691</v>
      </c>
      <c r="K145" s="329">
        <f>(F146+(F155*3)+(F162*3)+(F164*3)+(F170*3)+(F171*3)+(F172*3)+(F174*3))/24</f>
        <v>0.375</v>
      </c>
      <c r="AU145" s="521">
        <f>$I145</f>
        <v>0.8</v>
      </c>
      <c r="AV145" s="521">
        <f>$I145</f>
        <v>0.8</v>
      </c>
    </row>
    <row r="146" spans="1:67" ht="56.25">
      <c r="A146" s="531">
        <v>1</v>
      </c>
      <c r="B146" s="355" t="s">
        <v>240</v>
      </c>
      <c r="D146" s="536" t="s">
        <v>2352</v>
      </c>
      <c r="E146" s="448" t="s">
        <v>1557</v>
      </c>
      <c r="F146" s="325">
        <v>0</v>
      </c>
      <c r="G146" s="329">
        <f t="shared" si="38"/>
        <v>0</v>
      </c>
      <c r="H146" s="329">
        <f>1-(G146/3)</f>
        <v>1</v>
      </c>
      <c r="I146" s="337">
        <f t="shared" si="39"/>
        <v>0.8</v>
      </c>
      <c r="J146" s="329" t="s">
        <v>2692</v>
      </c>
      <c r="K146" s="329">
        <f>IF(F152=1,0.5,1)</f>
        <v>1</v>
      </c>
      <c r="AJ146" s="521">
        <f>$I146</f>
        <v>0.8</v>
      </c>
      <c r="AM146" s="521">
        <f>$I146</f>
        <v>0.8</v>
      </c>
    </row>
    <row r="147" spans="1:67" s="330" customFormat="1" ht="56.25">
      <c r="A147" s="531">
        <v>1</v>
      </c>
      <c r="B147" s="355" t="s">
        <v>240</v>
      </c>
      <c r="C147" s="447"/>
      <c r="D147" s="536" t="s">
        <v>2504</v>
      </c>
      <c r="E147" s="448"/>
      <c r="F147" s="326">
        <v>2</v>
      </c>
      <c r="G147" s="329">
        <f>IF(F147=2,1,0)</f>
        <v>1</v>
      </c>
      <c r="H147" s="329">
        <f>1-(G147/3)</f>
        <v>0.66666666666666674</v>
      </c>
      <c r="I147" s="329"/>
      <c r="J147" s="329" t="s">
        <v>2693</v>
      </c>
      <c r="K147" s="329">
        <f>IF(F153=1,0.5,1)</f>
        <v>0.5</v>
      </c>
      <c r="N147" s="521"/>
      <c r="O147" s="329"/>
      <c r="P147" s="521"/>
      <c r="Q147" s="329"/>
      <c r="R147" s="521"/>
      <c r="S147" s="329"/>
      <c r="T147" s="521"/>
      <c r="U147" s="329"/>
      <c r="V147" s="521"/>
      <c r="W147" s="329"/>
      <c r="X147" s="521"/>
      <c r="Y147" s="329"/>
      <c r="Z147" s="521"/>
      <c r="AA147" s="329"/>
      <c r="AB147" s="521"/>
      <c r="AC147" s="329"/>
      <c r="AD147" s="521"/>
      <c r="AE147" s="329"/>
      <c r="AF147" s="521"/>
      <c r="AG147" s="329"/>
      <c r="AH147" s="521"/>
      <c r="AI147" s="329"/>
      <c r="AJ147" s="521"/>
      <c r="AK147" s="329"/>
      <c r="AL147" s="521"/>
      <c r="AM147" s="329"/>
      <c r="AN147" s="521"/>
      <c r="AO147" s="329"/>
      <c r="AP147" s="521"/>
      <c r="AQ147" s="329"/>
      <c r="AR147" s="521"/>
      <c r="AS147" s="329"/>
      <c r="AT147" s="521"/>
      <c r="AU147" s="329"/>
      <c r="AV147" s="521"/>
      <c r="AW147" s="329"/>
      <c r="AX147" s="521"/>
      <c r="AY147" s="329"/>
      <c r="AZ147" s="331"/>
      <c r="BA147" s="329"/>
      <c r="BB147" s="331"/>
      <c r="BC147" s="329"/>
      <c r="BD147" s="331"/>
      <c r="BE147" s="329"/>
      <c r="BF147" s="331"/>
      <c r="BG147" s="329"/>
      <c r="BH147" s="331"/>
      <c r="BI147" s="329"/>
      <c r="BJ147" s="331"/>
      <c r="BK147" s="329"/>
      <c r="BL147" s="331"/>
      <c r="BM147" s="329"/>
      <c r="BN147" s="331"/>
      <c r="BO147" s="329"/>
    </row>
    <row r="148" spans="1:67" s="528" customFormat="1">
      <c r="C148" s="526"/>
      <c r="D148" s="549"/>
      <c r="E148" s="448"/>
      <c r="F148" s="527"/>
      <c r="M148" s="526" t="s">
        <v>1642</v>
      </c>
      <c r="N148" s="521"/>
      <c r="P148" s="521"/>
      <c r="R148" s="521"/>
      <c r="T148" s="521"/>
      <c r="V148" s="521"/>
      <c r="X148" s="521"/>
      <c r="Z148" s="521"/>
      <c r="AB148" s="521"/>
      <c r="AD148" s="521"/>
      <c r="AF148" s="521"/>
      <c r="AH148" s="521"/>
      <c r="AJ148" s="521"/>
      <c r="AL148" s="521"/>
      <c r="AN148" s="521"/>
      <c r="AP148" s="521"/>
      <c r="AR148" s="521"/>
      <c r="AT148" s="521"/>
      <c r="AV148" s="521"/>
      <c r="AX148" s="521"/>
      <c r="AZ148" s="331"/>
      <c r="BB148" s="331"/>
      <c r="BD148" s="331"/>
      <c r="BF148" s="331"/>
      <c r="BH148" s="331"/>
      <c r="BJ148" s="331"/>
      <c r="BL148" s="331"/>
      <c r="BM148" s="329"/>
      <c r="BN148" s="331"/>
      <c r="BO148" s="329"/>
    </row>
    <row r="149" spans="1:67">
      <c r="B149" s="550" t="s">
        <v>1045</v>
      </c>
      <c r="D149" s="335" t="s">
        <v>2513</v>
      </c>
      <c r="F149" s="555">
        <v>0</v>
      </c>
      <c r="G149" s="331">
        <f>IF(F149=1,2,0)</f>
        <v>0</v>
      </c>
      <c r="H149" s="331">
        <f>IF(G149=1,1.2,0.8)</f>
        <v>0.8</v>
      </c>
      <c r="J149" s="24" t="s">
        <v>1173</v>
      </c>
      <c r="K149" s="356">
        <f>1-(SUM(G149:G169,G172,G173)/28)</f>
        <v>0.8928571428571429</v>
      </c>
    </row>
    <row r="150" spans="1:67" ht="37.5">
      <c r="A150" s="531">
        <v>1</v>
      </c>
      <c r="B150" s="550" t="s">
        <v>1045</v>
      </c>
      <c r="D150" s="335" t="s">
        <v>2514</v>
      </c>
      <c r="E150" s="448" t="s">
        <v>1558</v>
      </c>
      <c r="F150" s="555">
        <v>0</v>
      </c>
      <c r="G150" s="331">
        <f>IF(F150=1,2,0)</f>
        <v>0</v>
      </c>
      <c r="H150" s="331">
        <f>IF(G150=1,1.2,0.8)</f>
        <v>0.8</v>
      </c>
      <c r="AF150" s="521">
        <f>H150</f>
        <v>0.8</v>
      </c>
      <c r="AW150" s="329">
        <f t="shared" ref="AW150:AX150" si="40">$H150</f>
        <v>0.8</v>
      </c>
      <c r="AX150" s="521">
        <f t="shared" si="40"/>
        <v>0.8</v>
      </c>
    </row>
    <row r="151" spans="1:67">
      <c r="A151" s="531">
        <v>1</v>
      </c>
      <c r="B151" s="550" t="s">
        <v>1045</v>
      </c>
      <c r="D151" s="335" t="s">
        <v>2515</v>
      </c>
      <c r="E151" s="448" t="s">
        <v>1559</v>
      </c>
      <c r="F151" s="555">
        <v>1</v>
      </c>
      <c r="G151" s="333">
        <f>F151</f>
        <v>1</v>
      </c>
      <c r="H151" s="331">
        <f t="shared" ref="H151:H174" si="41">IF(G151=1,1.2,0.8)</f>
        <v>1.2</v>
      </c>
      <c r="J151" s="551"/>
      <c r="AX151" s="521">
        <f>$H151</f>
        <v>1.2</v>
      </c>
      <c r="BH151" s="331">
        <f>$H151</f>
        <v>1.2</v>
      </c>
    </row>
    <row r="152" spans="1:67">
      <c r="B152" s="550" t="s">
        <v>1045</v>
      </c>
      <c r="D152" s="335" t="s">
        <v>2516</v>
      </c>
      <c r="E152" s="448" t="s">
        <v>1560</v>
      </c>
      <c r="F152" s="555">
        <v>0</v>
      </c>
      <c r="G152" s="333">
        <f>IF(F152=1,1.5,0.5)</f>
        <v>0.5</v>
      </c>
      <c r="H152" s="331">
        <f t="shared" si="41"/>
        <v>0.8</v>
      </c>
      <c r="J152" s="149"/>
    </row>
    <row r="153" spans="1:67" ht="37.5">
      <c r="B153" s="550" t="s">
        <v>1045</v>
      </c>
      <c r="D153" s="853" t="s">
        <v>2517</v>
      </c>
      <c r="E153" s="448" t="s">
        <v>1561</v>
      </c>
      <c r="F153" s="555">
        <v>1</v>
      </c>
      <c r="G153" s="333">
        <f>IF(F153=1,1.5,0.5)</f>
        <v>1.5</v>
      </c>
      <c r="H153" s="331">
        <f t="shared" si="41"/>
        <v>0.8</v>
      </c>
      <c r="J153" s="329" t="s">
        <v>2384</v>
      </c>
      <c r="K153" s="329">
        <f>(MAX(J235,G152)+G153)</f>
        <v>3</v>
      </c>
    </row>
    <row r="154" spans="1:67">
      <c r="B154" s="550" t="s">
        <v>1045</v>
      </c>
      <c r="D154" s="335" t="s">
        <v>2518</v>
      </c>
      <c r="E154" s="448" t="s">
        <v>1562</v>
      </c>
      <c r="F154" s="555">
        <v>0</v>
      </c>
      <c r="G154" s="333">
        <f>F154</f>
        <v>0</v>
      </c>
      <c r="H154" s="331">
        <f t="shared" si="41"/>
        <v>0.8</v>
      </c>
      <c r="I154" s="337"/>
      <c r="J154" s="149"/>
    </row>
    <row r="155" spans="1:67">
      <c r="B155" s="550" t="s">
        <v>1045</v>
      </c>
      <c r="D155" s="335" t="s">
        <v>2519</v>
      </c>
      <c r="E155" s="448" t="s">
        <v>1563</v>
      </c>
      <c r="F155" s="555">
        <v>0</v>
      </c>
      <c r="G155" s="333">
        <f>F155</f>
        <v>0</v>
      </c>
      <c r="H155" s="331">
        <f t="shared" si="41"/>
        <v>0.8</v>
      </c>
      <c r="J155" s="149"/>
      <c r="AO155" s="329">
        <f>$H155</f>
        <v>0.8</v>
      </c>
    </row>
    <row r="156" spans="1:67">
      <c r="A156" s="531"/>
      <c r="B156" s="550" t="s">
        <v>1045</v>
      </c>
      <c r="D156" s="335" t="s">
        <v>2520</v>
      </c>
      <c r="E156" s="448" t="s">
        <v>1564</v>
      </c>
      <c r="F156" s="555">
        <v>0</v>
      </c>
      <c r="G156" s="333">
        <f>F156</f>
        <v>0</v>
      </c>
      <c r="H156" s="331">
        <f t="shared" si="41"/>
        <v>0.8</v>
      </c>
      <c r="J156" s="149"/>
      <c r="P156" s="521">
        <f>$H156</f>
        <v>0.8</v>
      </c>
    </row>
    <row r="157" spans="1:67" ht="37.5">
      <c r="A157" s="531"/>
      <c r="B157" s="550" t="s">
        <v>1045</v>
      </c>
      <c r="D157" s="853" t="s">
        <v>2521</v>
      </c>
      <c r="F157" s="555">
        <v>0</v>
      </c>
      <c r="G157" s="333">
        <f>F157</f>
        <v>0</v>
      </c>
      <c r="H157" s="331">
        <f t="shared" si="41"/>
        <v>0.8</v>
      </c>
      <c r="J157" s="149"/>
      <c r="AU157" s="329">
        <f>$H157</f>
        <v>0.8</v>
      </c>
      <c r="AV157" s="521">
        <f>$H157</f>
        <v>0.8</v>
      </c>
    </row>
    <row r="158" spans="1:67">
      <c r="A158" s="531">
        <v>1</v>
      </c>
      <c r="B158" s="550" t="s">
        <v>1045</v>
      </c>
      <c r="D158" s="335" t="s">
        <v>2522</v>
      </c>
      <c r="F158" s="555">
        <v>0</v>
      </c>
      <c r="G158" s="333">
        <f t="shared" ref="G158:G165" si="42">F158</f>
        <v>0</v>
      </c>
      <c r="H158" s="331">
        <f t="shared" si="41"/>
        <v>0.8</v>
      </c>
      <c r="J158" s="149"/>
      <c r="AF158" s="521">
        <f>H158</f>
        <v>0.8</v>
      </c>
    </row>
    <row r="159" spans="1:67">
      <c r="A159" s="531">
        <v>1</v>
      </c>
      <c r="B159" s="550" t="s">
        <v>1045</v>
      </c>
      <c r="C159" s="449"/>
      <c r="D159" s="853" t="s">
        <v>2523</v>
      </c>
      <c r="F159" s="555">
        <v>0</v>
      </c>
      <c r="G159" s="333">
        <f t="shared" si="42"/>
        <v>0</v>
      </c>
      <c r="H159" s="331">
        <f t="shared" si="41"/>
        <v>0.8</v>
      </c>
      <c r="I159" s="323"/>
      <c r="J159" s="521" t="s">
        <v>2374</v>
      </c>
      <c r="K159" s="522">
        <f>1-((G174+G171+I170+G162+G135+G146+G155+G164)/12)</f>
        <v>0.58333333333333326</v>
      </c>
      <c r="T159" s="521">
        <f>$H159</f>
        <v>0.8</v>
      </c>
      <c r="U159" s="329">
        <f>$H159</f>
        <v>0.8</v>
      </c>
    </row>
    <row r="160" spans="1:67">
      <c r="A160" s="531">
        <v>1</v>
      </c>
      <c r="B160" s="550" t="s">
        <v>1045</v>
      </c>
      <c r="C160" s="449"/>
      <c r="D160" s="335" t="s">
        <v>2524</v>
      </c>
      <c r="F160" s="555">
        <v>0</v>
      </c>
      <c r="G160" s="333">
        <f t="shared" si="42"/>
        <v>0</v>
      </c>
      <c r="H160" s="331">
        <f t="shared" si="41"/>
        <v>0.8</v>
      </c>
      <c r="J160" s="149"/>
      <c r="AB160" s="521">
        <f>$H160</f>
        <v>0.8</v>
      </c>
      <c r="BA160" s="329">
        <f>$H160</f>
        <v>0.8</v>
      </c>
    </row>
    <row r="161" spans="1:54" ht="37.5">
      <c r="A161" s="531">
        <v>1</v>
      </c>
      <c r="B161" s="550" t="s">
        <v>1045</v>
      </c>
      <c r="C161" s="449"/>
      <c r="D161" s="335" t="s">
        <v>2525</v>
      </c>
      <c r="F161" s="555">
        <v>0</v>
      </c>
      <c r="G161" s="333">
        <f t="shared" si="42"/>
        <v>0</v>
      </c>
      <c r="H161" s="331">
        <f t="shared" si="41"/>
        <v>0.8</v>
      </c>
      <c r="J161" s="149"/>
      <c r="X161" s="521">
        <f>$H161</f>
        <v>0.8</v>
      </c>
      <c r="Y161" s="329">
        <f>$H161</f>
        <v>0.8</v>
      </c>
      <c r="AB161" s="521">
        <f>$H161</f>
        <v>0.8</v>
      </c>
      <c r="BA161" s="329">
        <f>$H161</f>
        <v>0.8</v>
      </c>
    </row>
    <row r="162" spans="1:54" ht="37.5">
      <c r="A162" s="531">
        <v>1</v>
      </c>
      <c r="B162" s="550" t="s">
        <v>1045</v>
      </c>
      <c r="C162" s="449"/>
      <c r="D162" s="335" t="s">
        <v>2526</v>
      </c>
      <c r="F162" s="555">
        <v>0</v>
      </c>
      <c r="G162" s="333">
        <f t="shared" si="42"/>
        <v>0</v>
      </c>
      <c r="H162" s="331">
        <f t="shared" si="41"/>
        <v>0.8</v>
      </c>
      <c r="P162" s="521">
        <f>$H162</f>
        <v>0.8</v>
      </c>
    </row>
    <row r="163" spans="1:54" ht="37.5">
      <c r="A163" s="531">
        <v>1</v>
      </c>
      <c r="B163" s="550" t="s">
        <v>1045</v>
      </c>
      <c r="C163" s="449"/>
      <c r="D163" s="335" t="s">
        <v>2527</v>
      </c>
      <c r="F163" s="555">
        <v>0</v>
      </c>
      <c r="G163" s="333">
        <f t="shared" si="42"/>
        <v>0</v>
      </c>
      <c r="H163" s="331">
        <f t="shared" si="41"/>
        <v>0.8</v>
      </c>
    </row>
    <row r="164" spans="1:54">
      <c r="A164" s="531">
        <v>1</v>
      </c>
      <c r="B164" s="550" t="s">
        <v>1045</v>
      </c>
      <c r="D164" s="335" t="s">
        <v>2528</v>
      </c>
      <c r="F164" s="555">
        <v>0</v>
      </c>
      <c r="G164" s="333">
        <f t="shared" si="42"/>
        <v>0</v>
      </c>
      <c r="H164" s="331">
        <f t="shared" si="41"/>
        <v>0.8</v>
      </c>
      <c r="J164" s="640" t="s">
        <v>1952</v>
      </c>
      <c r="K164" s="329">
        <f>MAX(H155,H164,IF(F4&gt;75,1.1,0.8))</f>
        <v>0.8</v>
      </c>
      <c r="AO164" s="329">
        <f>$H164</f>
        <v>0.8</v>
      </c>
    </row>
    <row r="165" spans="1:54" ht="37.5">
      <c r="A165" s="531">
        <v>1</v>
      </c>
      <c r="B165" s="550" t="s">
        <v>1045</v>
      </c>
      <c r="D165" s="335" t="s">
        <v>2529</v>
      </c>
      <c r="F165" s="555">
        <v>0</v>
      </c>
      <c r="G165" s="333">
        <f t="shared" si="42"/>
        <v>0</v>
      </c>
      <c r="H165" s="331">
        <f t="shared" si="41"/>
        <v>0.8</v>
      </c>
      <c r="Z165" s="521">
        <f>$H165</f>
        <v>0.8</v>
      </c>
      <c r="AA165" s="329">
        <f>$H165</f>
        <v>0.8</v>
      </c>
      <c r="BB165" s="331">
        <f>$H165</f>
        <v>0.8</v>
      </c>
    </row>
    <row r="166" spans="1:54" ht="37.5">
      <c r="A166" s="531">
        <v>1</v>
      </c>
      <c r="B166" s="550" t="s">
        <v>1045</v>
      </c>
      <c r="D166" s="335" t="s">
        <v>2670</v>
      </c>
      <c r="E166" s="448" t="s">
        <v>1565</v>
      </c>
      <c r="F166" s="325">
        <v>0</v>
      </c>
      <c r="G166" s="329">
        <f t="shared" ref="G166:G167" si="43">F166</f>
        <v>0</v>
      </c>
      <c r="H166" s="331">
        <f t="shared" si="41"/>
        <v>0.8</v>
      </c>
      <c r="I166" s="337"/>
      <c r="J166" s="337"/>
      <c r="K166" s="337"/>
      <c r="L166" s="367"/>
      <c r="M166" s="367"/>
      <c r="Q166" s="329">
        <f>$H166</f>
        <v>0.8</v>
      </c>
    </row>
    <row r="167" spans="1:54" ht="37.5">
      <c r="A167" s="531">
        <v>1</v>
      </c>
      <c r="B167" s="550" t="s">
        <v>1045</v>
      </c>
      <c r="D167" s="335" t="s">
        <v>2671</v>
      </c>
      <c r="E167" s="448" t="s">
        <v>1566</v>
      </c>
      <c r="F167" s="325">
        <v>0</v>
      </c>
      <c r="G167" s="329">
        <f t="shared" si="43"/>
        <v>0</v>
      </c>
      <c r="H167" s="331">
        <f t="shared" si="41"/>
        <v>0.8</v>
      </c>
      <c r="I167" s="337"/>
      <c r="J167" s="337"/>
      <c r="K167" s="337"/>
      <c r="L167" s="367"/>
      <c r="M167" s="367"/>
      <c r="O167" s="329">
        <f>$H167</f>
        <v>0.8</v>
      </c>
    </row>
    <row r="168" spans="1:54" ht="37.5">
      <c r="A168" s="531">
        <v>1</v>
      </c>
      <c r="B168" s="550" t="s">
        <v>1045</v>
      </c>
      <c r="D168" s="335" t="s">
        <v>2530</v>
      </c>
      <c r="F168" s="555">
        <v>0</v>
      </c>
      <c r="G168" s="333">
        <f>F168</f>
        <v>0</v>
      </c>
      <c r="H168" s="331">
        <f t="shared" si="41"/>
        <v>0.8</v>
      </c>
    </row>
    <row r="169" spans="1:54">
      <c r="A169" s="531">
        <v>1</v>
      </c>
      <c r="B169" s="550" t="s">
        <v>1045</v>
      </c>
      <c r="D169" s="335" t="s">
        <v>2531</v>
      </c>
      <c r="F169" s="555">
        <v>0</v>
      </c>
      <c r="G169" s="333">
        <f t="shared" ref="G169:G174" si="44">F169</f>
        <v>0</v>
      </c>
      <c r="H169" s="331">
        <f t="shared" si="41"/>
        <v>0.8</v>
      </c>
    </row>
    <row r="170" spans="1:54">
      <c r="B170" s="550" t="s">
        <v>1045</v>
      </c>
      <c r="D170" s="854" t="s">
        <v>2532</v>
      </c>
      <c r="F170" s="555">
        <v>1</v>
      </c>
      <c r="G170" s="333">
        <f t="shared" si="44"/>
        <v>1</v>
      </c>
      <c r="H170" s="331">
        <f t="shared" si="41"/>
        <v>1.2</v>
      </c>
      <c r="I170" s="329">
        <f>IF(F170=1,3,0)</f>
        <v>3</v>
      </c>
      <c r="AJ170" s="521">
        <f>$H170</f>
        <v>1.2</v>
      </c>
      <c r="AM170" s="329">
        <f>$H170</f>
        <v>1.2</v>
      </c>
    </row>
    <row r="171" spans="1:54">
      <c r="B171" s="550" t="s">
        <v>1045</v>
      </c>
      <c r="D171" s="854" t="s">
        <v>2533</v>
      </c>
      <c r="F171" s="555">
        <v>1</v>
      </c>
      <c r="G171" s="333">
        <f t="shared" si="44"/>
        <v>1</v>
      </c>
      <c r="H171" s="331">
        <f t="shared" si="41"/>
        <v>1.2</v>
      </c>
      <c r="AJ171" s="521">
        <f>$H171</f>
        <v>1.2</v>
      </c>
      <c r="AM171" s="329">
        <f>$H171</f>
        <v>1.2</v>
      </c>
    </row>
    <row r="172" spans="1:54" ht="37.5">
      <c r="B172" s="550" t="s">
        <v>1045</v>
      </c>
      <c r="D172" s="854" t="s">
        <v>2534</v>
      </c>
      <c r="F172" s="555">
        <v>0</v>
      </c>
      <c r="G172" s="333">
        <f t="shared" si="44"/>
        <v>0</v>
      </c>
      <c r="H172" s="331">
        <f t="shared" si="41"/>
        <v>0.8</v>
      </c>
      <c r="AN172" s="521">
        <f>$H172</f>
        <v>0.8</v>
      </c>
    </row>
    <row r="173" spans="1:54" ht="37.5">
      <c r="A173" s="531">
        <v>1</v>
      </c>
      <c r="B173" s="550" t="s">
        <v>1045</v>
      </c>
      <c r="D173" s="854" t="s">
        <v>2535</v>
      </c>
      <c r="F173" s="555">
        <v>0</v>
      </c>
      <c r="G173" s="333">
        <f t="shared" si="44"/>
        <v>0</v>
      </c>
      <c r="H173" s="331">
        <f t="shared" si="41"/>
        <v>0.8</v>
      </c>
      <c r="AD173" s="521">
        <f>$H173</f>
        <v>0.8</v>
      </c>
      <c r="AE173" s="329">
        <f>$H173</f>
        <v>0.8</v>
      </c>
      <c r="AF173" s="521">
        <f>$H173</f>
        <v>0.8</v>
      </c>
    </row>
    <row r="174" spans="1:54">
      <c r="B174" s="550" t="s">
        <v>1045</v>
      </c>
      <c r="D174" s="855" t="s">
        <v>2536</v>
      </c>
      <c r="F174" s="555">
        <v>1</v>
      </c>
      <c r="G174" s="333">
        <f t="shared" si="44"/>
        <v>1</v>
      </c>
      <c r="H174" s="331">
        <f t="shared" si="41"/>
        <v>1.2</v>
      </c>
      <c r="AJ174" s="521">
        <f>$H174</f>
        <v>1.2</v>
      </c>
      <c r="AM174" s="329">
        <f>$H174</f>
        <v>1.2</v>
      </c>
    </row>
    <row r="175" spans="1:54">
      <c r="C175" s="836"/>
      <c r="D175" s="864"/>
      <c r="E175" s="836"/>
      <c r="F175" s="339"/>
    </row>
    <row r="176" spans="1:54">
      <c r="B176" s="352" t="s">
        <v>1044</v>
      </c>
      <c r="D176" s="865" t="s">
        <v>2537</v>
      </c>
      <c r="F176" s="555">
        <v>0</v>
      </c>
    </row>
    <row r="177" spans="1:67">
      <c r="A177" s="531">
        <v>1</v>
      </c>
      <c r="B177" s="534" t="s">
        <v>1041</v>
      </c>
      <c r="D177" s="856" t="s">
        <v>2538</v>
      </c>
      <c r="F177" s="555">
        <v>0</v>
      </c>
      <c r="G177" s="333">
        <f>F177</f>
        <v>0</v>
      </c>
    </row>
    <row r="178" spans="1:67" ht="37.5">
      <c r="A178" s="531">
        <v>1</v>
      </c>
      <c r="B178" s="534" t="s">
        <v>1041</v>
      </c>
      <c r="D178" s="856" t="s">
        <v>2539</v>
      </c>
      <c r="F178" s="555">
        <v>0</v>
      </c>
      <c r="G178" s="333">
        <f>F178</f>
        <v>0</v>
      </c>
    </row>
    <row r="179" spans="1:67">
      <c r="B179" s="346" t="s">
        <v>1155</v>
      </c>
      <c r="C179" s="447" t="s">
        <v>2258</v>
      </c>
      <c r="D179" s="857" t="s">
        <v>2540</v>
      </c>
      <c r="F179" s="322">
        <v>1</v>
      </c>
      <c r="G179" s="333">
        <f>IF(F179=1,0,1)</f>
        <v>0</v>
      </c>
    </row>
    <row r="180" spans="1:67" ht="37.5">
      <c r="B180" s="346" t="s">
        <v>1155</v>
      </c>
      <c r="D180" s="857" t="s">
        <v>2541</v>
      </c>
      <c r="F180" s="555">
        <v>0</v>
      </c>
      <c r="G180" s="333">
        <f>F180</f>
        <v>0</v>
      </c>
    </row>
    <row r="181" spans="1:67">
      <c r="C181" s="836"/>
      <c r="D181" s="864"/>
      <c r="E181" s="836"/>
      <c r="F181" s="339"/>
      <c r="L181" s="332" t="s">
        <v>1704</v>
      </c>
      <c r="M181" s="332"/>
      <c r="N181" s="332">
        <f t="shared" ref="N181:AB181" si="45">MAX(N2:N174)</f>
        <v>0.9</v>
      </c>
      <c r="O181" s="346">
        <f t="shared" si="45"/>
        <v>0.8</v>
      </c>
      <c r="P181" s="346">
        <f t="shared" si="45"/>
        <v>0.8</v>
      </c>
      <c r="Q181" s="332">
        <f t="shared" si="45"/>
        <v>0.8</v>
      </c>
      <c r="R181" s="332">
        <f t="shared" si="45"/>
        <v>1.2</v>
      </c>
      <c r="S181" s="346">
        <f t="shared" si="45"/>
        <v>0.9</v>
      </c>
      <c r="T181" s="332">
        <f t="shared" si="45"/>
        <v>0.9</v>
      </c>
      <c r="U181" s="332">
        <f t="shared" si="45"/>
        <v>0.9</v>
      </c>
      <c r="V181" s="332">
        <f t="shared" si="45"/>
        <v>1.2</v>
      </c>
      <c r="W181" s="332">
        <f t="shared" si="45"/>
        <v>1.2</v>
      </c>
      <c r="X181" s="332">
        <f t="shared" si="45"/>
        <v>0.9</v>
      </c>
      <c r="Y181" s="332">
        <f t="shared" si="45"/>
        <v>1.2</v>
      </c>
      <c r="Z181" s="332">
        <f t="shared" si="45"/>
        <v>0.8</v>
      </c>
      <c r="AA181" s="332">
        <f t="shared" si="45"/>
        <v>0.8</v>
      </c>
      <c r="AB181" s="332">
        <f t="shared" si="45"/>
        <v>0.8</v>
      </c>
      <c r="AC181" s="332">
        <v>1</v>
      </c>
      <c r="AD181" s="333">
        <f t="shared" ref="AD181:BO181" si="46">MAX(AD2:AD174)</f>
        <v>0.8</v>
      </c>
      <c r="AE181" s="333">
        <f t="shared" si="46"/>
        <v>1.2</v>
      </c>
      <c r="AF181" s="346">
        <f t="shared" si="46"/>
        <v>2</v>
      </c>
      <c r="AG181" s="332">
        <f>MEDIAN(AG2:AG174)</f>
        <v>1.1000000000000001</v>
      </c>
      <c r="AH181" s="346">
        <f t="shared" si="46"/>
        <v>1</v>
      </c>
      <c r="AI181" s="332">
        <f t="shared" si="46"/>
        <v>0.9</v>
      </c>
      <c r="AJ181" s="332">
        <f t="shared" si="46"/>
        <v>1.2</v>
      </c>
      <c r="AK181" s="346">
        <f t="shared" si="46"/>
        <v>2</v>
      </c>
      <c r="AL181" s="332">
        <f t="shared" si="46"/>
        <v>2</v>
      </c>
      <c r="AM181" s="332">
        <f t="shared" si="46"/>
        <v>1.2</v>
      </c>
      <c r="AN181" s="332">
        <f t="shared" si="46"/>
        <v>0.8</v>
      </c>
      <c r="AO181" s="332">
        <f t="shared" si="46"/>
        <v>0.8</v>
      </c>
      <c r="AP181" s="348">
        <f t="shared" si="46"/>
        <v>1.1000000000000001</v>
      </c>
      <c r="AQ181" s="348">
        <f t="shared" si="46"/>
        <v>1.1000000000000001</v>
      </c>
      <c r="AR181" s="346">
        <f t="shared" si="46"/>
        <v>1.1000000000000001</v>
      </c>
      <c r="AS181" s="346">
        <f t="shared" si="46"/>
        <v>1.2</v>
      </c>
      <c r="AT181" s="332">
        <f t="shared" si="46"/>
        <v>1.2</v>
      </c>
      <c r="AU181" s="332">
        <f t="shared" si="46"/>
        <v>0.8</v>
      </c>
      <c r="AV181" s="332">
        <f t="shared" si="46"/>
        <v>0.9</v>
      </c>
      <c r="AW181" s="346">
        <f t="shared" si="46"/>
        <v>1.2</v>
      </c>
      <c r="AX181" s="346">
        <f t="shared" si="46"/>
        <v>1.2</v>
      </c>
      <c r="AY181" s="332">
        <f t="shared" si="46"/>
        <v>0.9</v>
      </c>
      <c r="AZ181" s="346">
        <f t="shared" si="46"/>
        <v>1.2</v>
      </c>
      <c r="BA181" s="346">
        <f t="shared" si="46"/>
        <v>1.2</v>
      </c>
      <c r="BB181" s="332">
        <f t="shared" si="46"/>
        <v>0.9</v>
      </c>
      <c r="BC181" s="332">
        <f t="shared" si="46"/>
        <v>0.9</v>
      </c>
      <c r="BD181" s="332">
        <f t="shared" si="46"/>
        <v>0.9</v>
      </c>
      <c r="BE181" s="332">
        <f t="shared" si="46"/>
        <v>1.2</v>
      </c>
      <c r="BF181" s="333">
        <f t="shared" si="46"/>
        <v>0.9</v>
      </c>
      <c r="BG181" s="332">
        <f t="shared" si="46"/>
        <v>0.9</v>
      </c>
      <c r="BH181" s="346">
        <f t="shared" si="46"/>
        <v>1.2</v>
      </c>
      <c r="BI181" s="346">
        <f t="shared" si="46"/>
        <v>1.2</v>
      </c>
      <c r="BJ181" s="346">
        <f t="shared" si="46"/>
        <v>0.9</v>
      </c>
      <c r="BK181" s="332">
        <f t="shared" si="46"/>
        <v>1.2</v>
      </c>
      <c r="BL181" s="346">
        <f t="shared" si="46"/>
        <v>1.2</v>
      </c>
      <c r="BM181" s="333">
        <f t="shared" si="46"/>
        <v>0.9</v>
      </c>
      <c r="BN181" s="332">
        <f t="shared" si="46"/>
        <v>0</v>
      </c>
      <c r="BO181" s="332">
        <f t="shared" si="46"/>
        <v>0.8</v>
      </c>
    </row>
    <row r="182" spans="1:67">
      <c r="A182" s="531">
        <v>1</v>
      </c>
      <c r="B182" s="329" t="s">
        <v>1683</v>
      </c>
      <c r="D182" s="866" t="s">
        <v>2542</v>
      </c>
      <c r="F182" s="555">
        <v>0</v>
      </c>
      <c r="G182" s="329">
        <f>F182</f>
        <v>0</v>
      </c>
      <c r="L182" s="352" t="s">
        <v>1705</v>
      </c>
      <c r="M182" s="352"/>
      <c r="N182" s="365">
        <v>1</v>
      </c>
      <c r="O182" s="352">
        <f>IF($F101=1,1000,1)</f>
        <v>1</v>
      </c>
      <c r="P182" s="365">
        <v>1</v>
      </c>
      <c r="Q182" s="365">
        <v>1</v>
      </c>
      <c r="R182" s="352">
        <f>IF(F98=1,1000,1)</f>
        <v>1</v>
      </c>
      <c r="S182" s="365">
        <v>1</v>
      </c>
      <c r="T182" s="365">
        <v>1</v>
      </c>
      <c r="U182" s="365">
        <v>1</v>
      </c>
      <c r="V182" s="365">
        <v>1</v>
      </c>
      <c r="W182" s="365">
        <v>1</v>
      </c>
      <c r="X182" s="352">
        <f>IF($F34=1,1000,1)</f>
        <v>1</v>
      </c>
      <c r="Y182" s="365">
        <v>1</v>
      </c>
      <c r="Z182" s="352">
        <f>IF($F35=1,1000,1)</f>
        <v>1</v>
      </c>
      <c r="AA182" s="352">
        <f>IF($F50=1,1000,1)</f>
        <v>1</v>
      </c>
      <c r="AB182" s="365">
        <v>1</v>
      </c>
      <c r="AC182" s="352">
        <f>IF($F46=1,1000,1)</f>
        <v>1</v>
      </c>
      <c r="AD182" s="352">
        <f>IF($F33=1,1000,1)</f>
        <v>1</v>
      </c>
      <c r="AE182" s="352">
        <f>IF($F33=1,1000,1)</f>
        <v>1</v>
      </c>
      <c r="AF182" s="352">
        <f>IF($F36=1,1000,1)</f>
        <v>1</v>
      </c>
      <c r="AG182" s="352">
        <f>IF($F97=1,1000,1)</f>
        <v>1</v>
      </c>
      <c r="AH182" s="352">
        <f>IF($F96=1,1000,1)</f>
        <v>1</v>
      </c>
      <c r="AI182" s="352">
        <f>IF($F102=1,1000,1)</f>
        <v>1</v>
      </c>
      <c r="AJ182" s="352">
        <f>IF($F104=1,1000,1)</f>
        <v>1</v>
      </c>
      <c r="AK182" s="352">
        <f>IF($F36=1,1000,1)</f>
        <v>1</v>
      </c>
      <c r="AL182" s="365">
        <v>1</v>
      </c>
      <c r="AM182" s="365">
        <v>1</v>
      </c>
      <c r="AN182" s="365">
        <v>1</v>
      </c>
      <c r="AO182" s="365">
        <v>1</v>
      </c>
      <c r="AP182" s="365">
        <v>1</v>
      </c>
      <c r="AQ182" s="352">
        <f>IF($F94=1,1000,1)</f>
        <v>1</v>
      </c>
      <c r="AR182" s="352">
        <f>IF($F95=1,1000,1)</f>
        <v>1000</v>
      </c>
      <c r="AS182" s="352">
        <f>IF($F42=1,1000,1)</f>
        <v>1</v>
      </c>
      <c r="AT182" s="365">
        <v>1</v>
      </c>
      <c r="AU182" s="365">
        <v>1</v>
      </c>
      <c r="AV182" s="352">
        <f>IF($F41=1,1000,1)</f>
        <v>1</v>
      </c>
      <c r="AW182" s="352">
        <f>IF($F43=1,1000,1)</f>
        <v>1000</v>
      </c>
      <c r="AX182" s="365">
        <v>1</v>
      </c>
      <c r="AY182" s="352">
        <f>IF($F43=1,1000,1)</f>
        <v>1000</v>
      </c>
      <c r="AZ182" s="352">
        <f>IF($F23=1,1000,1)</f>
        <v>1</v>
      </c>
      <c r="BA182" s="352">
        <f>IF($F24=1,1000,1)</f>
        <v>1</v>
      </c>
      <c r="BB182" s="352">
        <f>IF($F30=1,1000,1)</f>
        <v>1</v>
      </c>
      <c r="BC182" s="365">
        <v>1</v>
      </c>
      <c r="BD182" s="365">
        <v>1</v>
      </c>
      <c r="BE182" s="352">
        <f>IF($F27=1,1000,1)</f>
        <v>1</v>
      </c>
      <c r="BF182" s="352">
        <f>IF($F28=1,1000,1)</f>
        <v>1</v>
      </c>
      <c r="BG182" s="365">
        <v>1</v>
      </c>
      <c r="BH182" s="352">
        <f>IF($F26=1,1000,1)</f>
        <v>1</v>
      </c>
      <c r="BI182" s="352">
        <f>IF($F31=1,1000,1)</f>
        <v>1</v>
      </c>
      <c r="BJ182" s="352">
        <f>IF($F25=1,1000,1)</f>
        <v>1</v>
      </c>
      <c r="BK182" s="352">
        <f>IF($F29=1,1000,1)</f>
        <v>1</v>
      </c>
      <c r="BL182" s="352">
        <f>IF($F32=1,1000,1)</f>
        <v>1</v>
      </c>
      <c r="BM182" s="365">
        <v>1</v>
      </c>
      <c r="BN182" s="365">
        <v>1</v>
      </c>
      <c r="BO182" s="352">
        <f>IF($F106=1,1000,1)</f>
        <v>1</v>
      </c>
    </row>
    <row r="183" spans="1:67">
      <c r="A183" s="531">
        <v>1</v>
      </c>
      <c r="B183" s="329" t="s">
        <v>1683</v>
      </c>
      <c r="C183" s="447" t="s">
        <v>2275</v>
      </c>
      <c r="D183" s="663" t="s">
        <v>2543</v>
      </c>
      <c r="F183" s="555">
        <v>0</v>
      </c>
      <c r="G183" s="333">
        <f>F183</f>
        <v>0</v>
      </c>
      <c r="J183" s="329" t="s">
        <v>1956</v>
      </c>
      <c r="K183" s="329">
        <f>G158+G183+G184</f>
        <v>0</v>
      </c>
      <c r="L183" s="346" t="s">
        <v>1706</v>
      </c>
      <c r="M183" s="346"/>
      <c r="N183" s="352">
        <f>IF($F61=1,0.5,1)</f>
        <v>0.5</v>
      </c>
      <c r="O183" s="365">
        <v>1</v>
      </c>
      <c r="P183" s="365">
        <v>1</v>
      </c>
      <c r="Q183" s="365">
        <v>1</v>
      </c>
      <c r="R183" s="365">
        <v>1</v>
      </c>
      <c r="S183" s="365">
        <v>1</v>
      </c>
      <c r="T183" s="365">
        <v>1</v>
      </c>
      <c r="U183" s="365">
        <v>1</v>
      </c>
      <c r="V183" s="365">
        <v>1</v>
      </c>
      <c r="W183" s="365">
        <v>1</v>
      </c>
      <c r="X183" s="365">
        <v>1</v>
      </c>
      <c r="Y183" s="365">
        <v>1</v>
      </c>
      <c r="Z183" s="365">
        <v>1</v>
      </c>
      <c r="AA183" s="365">
        <v>1</v>
      </c>
      <c r="AB183" s="365">
        <v>1</v>
      </c>
      <c r="AC183" s="365">
        <v>1</v>
      </c>
      <c r="AD183" s="365">
        <v>1</v>
      </c>
      <c r="AE183" s="365">
        <v>1</v>
      </c>
      <c r="AF183" s="352">
        <f>IF($F56=1,0.5,1)</f>
        <v>1</v>
      </c>
      <c r="AG183" s="365">
        <v>1</v>
      </c>
      <c r="AH183" s="365">
        <v>1</v>
      </c>
      <c r="AI183" s="365">
        <v>1</v>
      </c>
      <c r="AJ183" s="365">
        <v>1</v>
      </c>
      <c r="AK183" s="365">
        <v>1</v>
      </c>
      <c r="AL183" s="365">
        <v>1</v>
      </c>
      <c r="AM183" s="365">
        <v>1</v>
      </c>
      <c r="AN183" s="365">
        <v>1</v>
      </c>
      <c r="AO183" s="365">
        <v>1</v>
      </c>
      <c r="AP183" s="365">
        <v>1</v>
      </c>
      <c r="AQ183" s="365">
        <v>1</v>
      </c>
      <c r="AR183" s="365">
        <v>1</v>
      </c>
      <c r="AS183" s="365">
        <v>1</v>
      </c>
      <c r="AT183" s="365">
        <v>1</v>
      </c>
      <c r="AU183" s="365">
        <v>1</v>
      </c>
      <c r="AV183" s="365">
        <v>1</v>
      </c>
      <c r="AW183" s="365">
        <v>1</v>
      </c>
      <c r="AX183" s="365">
        <v>1</v>
      </c>
      <c r="AY183" s="365">
        <v>1</v>
      </c>
      <c r="AZ183" s="352">
        <f>IF($F53=1,0.5,1)</f>
        <v>1</v>
      </c>
      <c r="BA183" s="352">
        <f>IF($F58=1,0.5,1)</f>
        <v>1</v>
      </c>
      <c r="BB183" s="365">
        <v>1</v>
      </c>
      <c r="BC183" s="352">
        <f>IF($F57=1,0.5,1)</f>
        <v>1</v>
      </c>
      <c r="BD183" s="352">
        <f>IF($F57=1,0.5,1)</f>
        <v>1</v>
      </c>
      <c r="BE183" s="352">
        <f>IF($F54=1,0.5,1)</f>
        <v>1</v>
      </c>
      <c r="BF183" s="352">
        <f>IF($F57=1,0.5,1)</f>
        <v>1</v>
      </c>
      <c r="BG183" s="352">
        <f>IF($F55=1,0.5,1)</f>
        <v>1</v>
      </c>
      <c r="BH183" s="352">
        <f>IF($F52=1,0.5,1)</f>
        <v>1</v>
      </c>
      <c r="BI183" s="352">
        <f>IF($F61=1,0.5,1)</f>
        <v>0.5</v>
      </c>
      <c r="BJ183" s="365">
        <v>1</v>
      </c>
      <c r="BK183" s="352">
        <f>IF($F57=1,0.5,1)</f>
        <v>1</v>
      </c>
      <c r="BL183" s="365">
        <v>1</v>
      </c>
      <c r="BM183" s="352">
        <f>IF($F65=1,0.5,1)</f>
        <v>1</v>
      </c>
      <c r="BN183" s="365">
        <v>1</v>
      </c>
      <c r="BO183" s="365">
        <v>1</v>
      </c>
    </row>
    <row r="184" spans="1:67" ht="37.5">
      <c r="A184" s="531">
        <v>1</v>
      </c>
      <c r="B184" s="329" t="s">
        <v>1683</v>
      </c>
      <c r="C184" s="447" t="s">
        <v>2275</v>
      </c>
      <c r="D184" s="663" t="s">
        <v>2544</v>
      </c>
      <c r="F184" s="555">
        <v>0</v>
      </c>
      <c r="G184" s="333">
        <f>F184</f>
        <v>0</v>
      </c>
      <c r="J184" s="329" t="s">
        <v>1955</v>
      </c>
      <c r="K184" s="329">
        <f>H68+G94+G95+G97+I122</f>
        <v>2</v>
      </c>
      <c r="L184" s="329" t="s">
        <v>610</v>
      </c>
      <c r="N184" s="329"/>
      <c r="O184" s="329">
        <f>$H$3</f>
        <v>0</v>
      </c>
      <c r="P184" s="329"/>
      <c r="R184" s="329">
        <f>$H$3</f>
        <v>0</v>
      </c>
      <c r="T184" s="329">
        <f>$I$3</f>
        <v>1</v>
      </c>
      <c r="U184" s="329">
        <f>$I$3</f>
        <v>1</v>
      </c>
      <c r="V184" s="329"/>
      <c r="X184" s="329"/>
      <c r="Z184" s="329"/>
      <c r="AB184" s="329"/>
      <c r="AD184" s="329"/>
      <c r="AF184" s="329"/>
      <c r="AH184" s="329"/>
      <c r="AJ184" s="329"/>
      <c r="AL184" s="329"/>
      <c r="AN184" s="329"/>
      <c r="AP184" s="329"/>
      <c r="AR184" s="329"/>
      <c r="AT184" s="329"/>
      <c r="AV184" s="329"/>
      <c r="AX184" s="329"/>
      <c r="AZ184" s="329">
        <f>$H$3</f>
        <v>0</v>
      </c>
      <c r="BB184" s="329"/>
      <c r="BD184" s="329"/>
      <c r="BE184" s="329">
        <f>IF(H3=1,0.01,1)</f>
        <v>1</v>
      </c>
      <c r="BF184" s="329">
        <f>$I$3</f>
        <v>1</v>
      </c>
      <c r="BG184" s="329">
        <f>$I$3</f>
        <v>1</v>
      </c>
      <c r="BH184" s="329"/>
      <c r="BJ184" s="329"/>
      <c r="BL184" s="329"/>
      <c r="BM184" s="329">
        <f>$I$3</f>
        <v>1</v>
      </c>
      <c r="BN184" s="329"/>
    </row>
    <row r="185" spans="1:67">
      <c r="A185" s="531">
        <v>1</v>
      </c>
      <c r="B185" s="534" t="s">
        <v>1041</v>
      </c>
      <c r="D185" s="659" t="s">
        <v>2545</v>
      </c>
      <c r="F185" s="555">
        <v>0</v>
      </c>
      <c r="G185" s="329" t="s">
        <v>1961</v>
      </c>
      <c r="J185" s="641" t="s">
        <v>1958</v>
      </c>
      <c r="K185" s="329">
        <f>-9.49+(0.058*F4)+(1.34*H3)+(0.83*K183)+(0.68*K184)</f>
        <v>-4.3600000000000003</v>
      </c>
      <c r="L185" s="519" t="s">
        <v>1708</v>
      </c>
      <c r="N185" s="347">
        <f>N181*N182*N183</f>
        <v>0.45</v>
      </c>
      <c r="O185" s="347">
        <f>(O181*O182*O183*O184)*IF(F4&lt;50,0.5,1)</f>
        <v>0</v>
      </c>
      <c r="P185" s="347">
        <f t="shared" ref="P185:BO185" si="47">P181*P182*P183</f>
        <v>0.8</v>
      </c>
      <c r="Q185" s="347">
        <f t="shared" si="47"/>
        <v>0.8</v>
      </c>
      <c r="R185" s="347">
        <f>R181*R182*R183*R184</f>
        <v>0</v>
      </c>
      <c r="S185" s="347">
        <f t="shared" si="47"/>
        <v>0.9</v>
      </c>
      <c r="T185" s="347">
        <f>T181*T182*T183*T184</f>
        <v>0.9</v>
      </c>
      <c r="U185" s="347">
        <f>U181*U182*U183*U184</f>
        <v>0.9</v>
      </c>
      <c r="V185" s="347">
        <f t="shared" si="47"/>
        <v>1.2</v>
      </c>
      <c r="W185" s="347">
        <f t="shared" si="47"/>
        <v>1.2</v>
      </c>
      <c r="X185" s="347">
        <f t="shared" si="47"/>
        <v>0.9</v>
      </c>
      <c r="Y185" s="347">
        <f t="shared" si="47"/>
        <v>1.2</v>
      </c>
      <c r="Z185" s="347">
        <f t="shared" si="47"/>
        <v>0.8</v>
      </c>
      <c r="AA185" s="347">
        <f t="shared" si="47"/>
        <v>0.8</v>
      </c>
      <c r="AB185" s="347">
        <f t="shared" si="47"/>
        <v>0.8</v>
      </c>
      <c r="AC185" s="347">
        <f t="shared" si="47"/>
        <v>1</v>
      </c>
      <c r="AD185" s="347">
        <f t="shared" si="47"/>
        <v>0.8</v>
      </c>
      <c r="AE185" s="347">
        <f t="shared" si="47"/>
        <v>1.2</v>
      </c>
      <c r="AF185" s="347">
        <f t="shared" si="47"/>
        <v>2</v>
      </c>
      <c r="AG185" s="347">
        <f t="shared" si="47"/>
        <v>1.1000000000000001</v>
      </c>
      <c r="AH185" s="347">
        <f t="shared" si="47"/>
        <v>1</v>
      </c>
      <c r="AI185" s="347">
        <f t="shared" si="47"/>
        <v>0.9</v>
      </c>
      <c r="AJ185" s="347">
        <f t="shared" si="47"/>
        <v>1.2</v>
      </c>
      <c r="AK185" s="347">
        <f t="shared" si="47"/>
        <v>2</v>
      </c>
      <c r="AL185" s="347">
        <f t="shared" si="47"/>
        <v>2</v>
      </c>
      <c r="AM185" s="347">
        <f t="shared" si="47"/>
        <v>1.2</v>
      </c>
      <c r="AN185" s="347">
        <f t="shared" si="47"/>
        <v>0.8</v>
      </c>
      <c r="AO185" s="347">
        <f t="shared" si="47"/>
        <v>0.8</v>
      </c>
      <c r="AP185" s="347">
        <f t="shared" si="47"/>
        <v>1.1000000000000001</v>
      </c>
      <c r="AQ185" s="347">
        <f t="shared" si="47"/>
        <v>1.1000000000000001</v>
      </c>
      <c r="AR185" s="347">
        <f t="shared" si="47"/>
        <v>1100</v>
      </c>
      <c r="AS185" s="347">
        <f t="shared" si="47"/>
        <v>1.2</v>
      </c>
      <c r="AT185" s="347">
        <f t="shared" si="47"/>
        <v>1.2</v>
      </c>
      <c r="AU185" s="347">
        <f t="shared" si="47"/>
        <v>0.8</v>
      </c>
      <c r="AV185" s="347">
        <f t="shared" si="47"/>
        <v>0.9</v>
      </c>
      <c r="AW185" s="347">
        <f t="shared" si="47"/>
        <v>1200</v>
      </c>
      <c r="AX185" s="347">
        <f t="shared" si="47"/>
        <v>1.2</v>
      </c>
      <c r="AY185" s="347">
        <f t="shared" si="47"/>
        <v>900</v>
      </c>
      <c r="AZ185" s="347">
        <f>AZ181*AZ182*AZ183*AZ184*AZ186</f>
        <v>0</v>
      </c>
      <c r="BA185" s="347">
        <f>BA181*BA182*BA183*BA186</f>
        <v>1.2</v>
      </c>
      <c r="BB185" s="347">
        <f>BB181*BB182*BB183*BB186</f>
        <v>0.9</v>
      </c>
      <c r="BC185" s="347">
        <f>BC181*BC182*BC183*BC186</f>
        <v>0.9</v>
      </c>
      <c r="BD185" s="347">
        <f>BD181*BD182*BD183*BD186</f>
        <v>0.9</v>
      </c>
      <c r="BE185" s="347">
        <f>BE181*BE182*BE183*BE184*BE186</f>
        <v>1.2</v>
      </c>
      <c r="BF185" s="347">
        <f>BF181*BF182*BF183*BF184*BF186</f>
        <v>0.9</v>
      </c>
      <c r="BG185" s="347">
        <f>BG181*BG182*BG183*BG184*BG186</f>
        <v>0.9</v>
      </c>
      <c r="BH185" s="347">
        <f>BH181*BH182*BH183*BH186</f>
        <v>1.2</v>
      </c>
      <c r="BI185" s="347">
        <f>BI181*BI182*BI183*BI186</f>
        <v>0.6</v>
      </c>
      <c r="BJ185" s="347">
        <f>BJ181*BJ182*BJ183*BJ186</f>
        <v>0.9</v>
      </c>
      <c r="BK185" s="347">
        <f>BK181*BK182*BK183*BK186</f>
        <v>1.2</v>
      </c>
      <c r="BL185" s="347">
        <f>BL181*BL182*BL183*BL186</f>
        <v>1.2</v>
      </c>
      <c r="BM185" s="347">
        <f>BM181*BM182*BM183*BM184</f>
        <v>0.9</v>
      </c>
      <c r="BN185" s="347">
        <f t="shared" si="47"/>
        <v>0</v>
      </c>
      <c r="BO185" s="347">
        <f t="shared" si="47"/>
        <v>0.8</v>
      </c>
    </row>
    <row r="186" spans="1:67">
      <c r="B186" s="329" t="s">
        <v>1683</v>
      </c>
      <c r="C186" s="447" t="s">
        <v>2277</v>
      </c>
      <c r="D186" s="660" t="s">
        <v>2546</v>
      </c>
      <c r="F186" s="555">
        <v>0</v>
      </c>
      <c r="G186" s="331">
        <f>IF(F186=1,0,1)</f>
        <v>1</v>
      </c>
      <c r="J186" s="329" t="s">
        <v>1959</v>
      </c>
      <c r="K186" s="329">
        <f>EXP(-K185)</f>
        <v>78.257134423084281</v>
      </c>
      <c r="L186" s="329" t="s">
        <v>1965</v>
      </c>
      <c r="M186" s="329">
        <f>IF($F$4&lt;50,0.5,1)</f>
        <v>1</v>
      </c>
      <c r="N186" s="329"/>
      <c r="P186" s="329"/>
      <c r="R186" s="329"/>
      <c r="T186" s="329"/>
      <c r="V186" s="329"/>
      <c r="X186" s="329"/>
      <c r="Z186" s="329"/>
      <c r="AB186" s="329"/>
      <c r="AD186" s="329"/>
      <c r="AF186" s="329"/>
      <c r="AH186" s="329"/>
      <c r="AJ186" s="329"/>
      <c r="AL186" s="329"/>
      <c r="AN186" s="329"/>
      <c r="AP186" s="329"/>
      <c r="AR186" s="329"/>
      <c r="AT186" s="329"/>
      <c r="AV186" s="329"/>
      <c r="AX186" s="329"/>
      <c r="AZ186" s="329">
        <f>$M$186</f>
        <v>1</v>
      </c>
      <c r="BA186" s="329">
        <f t="shared" ref="BA186:BO186" si="48">$M$186</f>
        <v>1</v>
      </c>
      <c r="BB186" s="329">
        <f t="shared" si="48"/>
        <v>1</v>
      </c>
      <c r="BC186" s="329">
        <f t="shared" si="48"/>
        <v>1</v>
      </c>
      <c r="BD186" s="329">
        <f>$M$186</f>
        <v>1</v>
      </c>
      <c r="BE186" s="329">
        <f t="shared" si="48"/>
        <v>1</v>
      </c>
      <c r="BF186" s="329">
        <f t="shared" si="48"/>
        <v>1</v>
      </c>
      <c r="BG186" s="329">
        <f t="shared" si="48"/>
        <v>1</v>
      </c>
      <c r="BH186" s="329">
        <f>$M$186</f>
        <v>1</v>
      </c>
      <c r="BI186" s="329">
        <f t="shared" si="48"/>
        <v>1</v>
      </c>
      <c r="BJ186" s="329">
        <f t="shared" si="48"/>
        <v>1</v>
      </c>
      <c r="BK186" s="329">
        <f t="shared" si="48"/>
        <v>1</v>
      </c>
      <c r="BL186" s="329">
        <f>$M$186</f>
        <v>1</v>
      </c>
      <c r="BM186" s="329">
        <f t="shared" si="48"/>
        <v>1</v>
      </c>
      <c r="BN186" s="329"/>
      <c r="BO186" s="329">
        <f t="shared" si="48"/>
        <v>1</v>
      </c>
    </row>
    <row r="187" spans="1:67" ht="37.5">
      <c r="B187" s="329" t="s">
        <v>1683</v>
      </c>
      <c r="D187" s="530" t="s">
        <v>2547</v>
      </c>
      <c r="F187" s="555">
        <v>0</v>
      </c>
      <c r="G187" s="331">
        <f>IF(F187=1,0,1)</f>
        <v>1</v>
      </c>
      <c r="J187" s="331" t="s">
        <v>1957</v>
      </c>
      <c r="K187" s="331">
        <f>1/(1+K186)</f>
        <v>1.261716067933869E-2</v>
      </c>
      <c r="N187" s="329"/>
      <c r="P187" s="329"/>
      <c r="R187" s="329"/>
      <c r="T187" s="329"/>
      <c r="V187" s="329"/>
      <c r="X187" s="329"/>
      <c r="Z187" s="329"/>
      <c r="AB187" s="329"/>
      <c r="AD187" s="329"/>
      <c r="AF187" s="329"/>
      <c r="AH187" s="329"/>
      <c r="AJ187" s="329"/>
      <c r="AL187" s="329"/>
      <c r="AN187" s="329"/>
      <c r="AP187" s="329"/>
      <c r="AR187" s="329"/>
      <c r="AT187" s="329"/>
      <c r="AV187" s="329"/>
      <c r="AX187" s="329"/>
      <c r="AZ187" s="329"/>
      <c r="BB187" s="329"/>
      <c r="BD187" s="329"/>
      <c r="BF187" s="329"/>
      <c r="BH187" s="329"/>
      <c r="BJ187" s="329"/>
      <c r="BL187" s="329"/>
      <c r="BN187" s="329"/>
    </row>
    <row r="188" spans="1:67">
      <c r="B188" s="329" t="s">
        <v>1683</v>
      </c>
      <c r="C188" s="447" t="s">
        <v>2279</v>
      </c>
      <c r="D188" s="530" t="s">
        <v>2548</v>
      </c>
      <c r="F188" s="322">
        <v>1</v>
      </c>
      <c r="G188" s="331">
        <f t="shared" ref="G188:G191" si="49">IF(F188=1,0,1)</f>
        <v>0</v>
      </c>
      <c r="J188" s="331" t="s">
        <v>1960</v>
      </c>
      <c r="N188" s="329"/>
      <c r="P188" s="329"/>
      <c r="R188" s="329"/>
      <c r="T188" s="329"/>
      <c r="V188" s="329"/>
      <c r="X188" s="329"/>
      <c r="Z188" s="329"/>
      <c r="AB188" s="329"/>
      <c r="AD188" s="329"/>
      <c r="AF188" s="329"/>
      <c r="AH188" s="329"/>
      <c r="AJ188" s="329"/>
      <c r="AL188" s="329"/>
      <c r="AN188" s="329"/>
      <c r="AP188" s="329"/>
      <c r="AR188" s="329"/>
      <c r="AT188" s="329"/>
      <c r="AV188" s="329"/>
      <c r="AX188" s="329"/>
      <c r="AZ188" s="329"/>
      <c r="BB188" s="329"/>
      <c r="BD188" s="329"/>
      <c r="BF188" s="329"/>
      <c r="BH188" s="329"/>
      <c r="BJ188" s="329"/>
      <c r="BL188" s="329"/>
      <c r="BN188" s="329"/>
    </row>
    <row r="189" spans="1:67">
      <c r="B189" s="346" t="s">
        <v>1155</v>
      </c>
      <c r="C189" s="447" t="s">
        <v>2255</v>
      </c>
      <c r="D189" s="530" t="s">
        <v>2549</v>
      </c>
      <c r="F189" s="322">
        <v>1</v>
      </c>
      <c r="G189" s="331">
        <f t="shared" si="49"/>
        <v>0</v>
      </c>
      <c r="N189" s="329"/>
      <c r="P189" s="329"/>
      <c r="R189" s="329"/>
      <c r="T189" s="329"/>
      <c r="V189" s="329"/>
      <c r="X189" s="329"/>
      <c r="Z189" s="329"/>
      <c r="AB189" s="329"/>
      <c r="AD189" s="329"/>
      <c r="AF189" s="329"/>
      <c r="AH189" s="329"/>
      <c r="AJ189" s="329"/>
      <c r="AL189" s="329"/>
      <c r="AN189" s="329"/>
      <c r="AP189" s="329"/>
      <c r="AR189" s="329"/>
      <c r="AT189" s="329"/>
      <c r="AV189" s="329"/>
      <c r="AX189" s="329"/>
      <c r="AZ189" s="329"/>
      <c r="BB189" s="329"/>
      <c r="BD189" s="329"/>
      <c r="BF189" s="329"/>
      <c r="BH189" s="329"/>
      <c r="BJ189" s="329"/>
      <c r="BL189" s="329"/>
      <c r="BN189" s="329"/>
    </row>
    <row r="190" spans="1:67">
      <c r="B190" s="329" t="s">
        <v>1683</v>
      </c>
      <c r="C190" s="447" t="s">
        <v>2255</v>
      </c>
      <c r="D190" s="530" t="s">
        <v>2550</v>
      </c>
      <c r="F190" s="322">
        <v>1</v>
      </c>
      <c r="G190" s="331">
        <f t="shared" si="49"/>
        <v>0</v>
      </c>
      <c r="N190" s="329"/>
      <c r="P190" s="329"/>
      <c r="R190" s="329"/>
      <c r="T190" s="329"/>
      <c r="V190" s="329"/>
      <c r="X190" s="329"/>
      <c r="Z190" s="329"/>
      <c r="AB190" s="329"/>
      <c r="AD190" s="329"/>
      <c r="AF190" s="329"/>
      <c r="AH190" s="329"/>
      <c r="AJ190" s="329"/>
      <c r="AL190" s="329"/>
      <c r="AN190" s="329"/>
      <c r="AP190" s="329"/>
      <c r="AR190" s="329"/>
      <c r="AT190" s="329"/>
      <c r="AV190" s="329"/>
      <c r="AX190" s="329"/>
      <c r="AZ190" s="329"/>
      <c r="BB190" s="329"/>
      <c r="BD190" s="329"/>
      <c r="BF190" s="329"/>
      <c r="BH190" s="329"/>
      <c r="BJ190" s="329"/>
      <c r="BL190" s="329"/>
      <c r="BN190" s="329"/>
    </row>
    <row r="191" spans="1:67" s="330" customFormat="1">
      <c r="B191" s="697" t="s">
        <v>1155</v>
      </c>
      <c r="C191" s="447" t="s">
        <v>2259</v>
      </c>
      <c r="D191" s="530" t="s">
        <v>2725</v>
      </c>
      <c r="E191" s="448"/>
      <c r="F191" s="322">
        <v>1</v>
      </c>
      <c r="G191" s="331">
        <f t="shared" si="49"/>
        <v>0</v>
      </c>
      <c r="H191" s="339">
        <f>IF(F191=1,1,0)</f>
        <v>1</v>
      </c>
      <c r="I191" s="329"/>
      <c r="J191" s="329"/>
      <c r="K191" s="347"/>
      <c r="N191" s="521"/>
      <c r="O191" s="329"/>
      <c r="P191" s="521"/>
      <c r="Q191" s="329"/>
      <c r="R191" s="521"/>
      <c r="S191" s="329"/>
      <c r="T191" s="521"/>
      <c r="U191" s="329"/>
      <c r="V191" s="521"/>
      <c r="W191" s="329"/>
      <c r="X191" s="521"/>
      <c r="Y191" s="329"/>
      <c r="Z191" s="521"/>
      <c r="AA191" s="329"/>
      <c r="AB191" s="521"/>
      <c r="AC191" s="329"/>
      <c r="AD191" s="521"/>
      <c r="AE191" s="329"/>
      <c r="AF191" s="521"/>
      <c r="AG191" s="329"/>
      <c r="AH191" s="521"/>
      <c r="AI191" s="329"/>
      <c r="AJ191" s="521"/>
      <c r="AK191" s="329"/>
      <c r="AL191" s="521"/>
      <c r="AM191" s="329"/>
      <c r="AN191" s="521"/>
      <c r="AO191" s="329"/>
      <c r="AP191" s="521"/>
      <c r="AQ191" s="329"/>
      <c r="AR191" s="521"/>
      <c r="AS191" s="329"/>
      <c r="AT191" s="521"/>
      <c r="AU191" s="329"/>
      <c r="AV191" s="521"/>
      <c r="AW191" s="329"/>
      <c r="AX191" s="521"/>
      <c r="AY191" s="329"/>
      <c r="AZ191" s="331"/>
      <c r="BA191" s="329"/>
      <c r="BB191" s="331"/>
      <c r="BC191" s="329"/>
      <c r="BD191" s="331"/>
      <c r="BE191" s="329"/>
      <c r="BF191" s="331"/>
      <c r="BG191" s="329"/>
      <c r="BH191" s="331"/>
      <c r="BI191" s="329"/>
      <c r="BJ191" s="331"/>
      <c r="BK191" s="329"/>
      <c r="BL191" s="331"/>
      <c r="BM191" s="329"/>
      <c r="BN191" s="331"/>
      <c r="BO191" s="329"/>
    </row>
    <row r="192" spans="1:67" s="330" customFormat="1">
      <c r="B192" s="697" t="s">
        <v>1155</v>
      </c>
      <c r="C192" s="447" t="s">
        <v>2260</v>
      </c>
      <c r="D192" s="530" t="s">
        <v>2551</v>
      </c>
      <c r="E192" s="448"/>
      <c r="F192" s="322">
        <v>1</v>
      </c>
      <c r="G192" s="331">
        <f>IF(F192=1,0,1)</f>
        <v>0</v>
      </c>
      <c r="H192" s="339">
        <f>IF(F192=1,1,0)</f>
        <v>1</v>
      </c>
      <c r="I192" s="329"/>
      <c r="J192" s="329"/>
      <c r="K192" s="347"/>
      <c r="N192" s="521"/>
      <c r="O192" s="329"/>
      <c r="P192" s="521"/>
      <c r="Q192" s="329"/>
      <c r="R192" s="521"/>
      <c r="S192" s="329"/>
      <c r="T192" s="521"/>
      <c r="U192" s="329"/>
      <c r="V192" s="521"/>
      <c r="W192" s="329"/>
      <c r="X192" s="521"/>
      <c r="Y192" s="329"/>
      <c r="Z192" s="521"/>
      <c r="AA192" s="329"/>
      <c r="AB192" s="521"/>
      <c r="AC192" s="329"/>
      <c r="AD192" s="521"/>
      <c r="AE192" s="329"/>
      <c r="AF192" s="521"/>
      <c r="AG192" s="329"/>
      <c r="AH192" s="521"/>
      <c r="AI192" s="329"/>
      <c r="AJ192" s="521"/>
      <c r="AK192" s="329"/>
      <c r="AL192" s="521"/>
      <c r="AM192" s="329"/>
      <c r="AN192" s="521"/>
      <c r="AO192" s="329"/>
      <c r="AP192" s="521"/>
      <c r="AQ192" s="329"/>
      <c r="AR192" s="521"/>
      <c r="AS192" s="329"/>
      <c r="AT192" s="521"/>
      <c r="AU192" s="329"/>
      <c r="AV192" s="521"/>
      <c r="AW192" s="329"/>
      <c r="AX192" s="521"/>
      <c r="AY192" s="329"/>
      <c r="AZ192" s="331"/>
      <c r="BA192" s="329"/>
      <c r="BB192" s="331"/>
      <c r="BC192" s="329"/>
      <c r="BD192" s="331"/>
      <c r="BE192" s="329"/>
      <c r="BF192" s="331"/>
      <c r="BG192" s="329"/>
      <c r="BH192" s="331"/>
      <c r="BI192" s="329"/>
      <c r="BJ192" s="331"/>
      <c r="BK192" s="329"/>
      <c r="BL192" s="331"/>
      <c r="BM192" s="329"/>
      <c r="BN192" s="331"/>
      <c r="BO192" s="329"/>
    </row>
    <row r="193" spans="1:67" s="346" customFormat="1">
      <c r="A193" s="329"/>
      <c r="B193" s="697" t="s">
        <v>1155</v>
      </c>
      <c r="C193" s="447" t="s">
        <v>2259</v>
      </c>
      <c r="D193" s="530" t="s">
        <v>2726</v>
      </c>
      <c r="E193" s="448"/>
      <c r="F193" s="322">
        <v>1</v>
      </c>
      <c r="G193" s="331">
        <f t="shared" ref="G193" si="50">IF(F193=1,0,1)</f>
        <v>0</v>
      </c>
      <c r="H193" s="339">
        <f>IF(F193=1,1,0)</f>
        <v>1</v>
      </c>
      <c r="I193" s="329"/>
      <c r="M193" s="346" t="s">
        <v>1638</v>
      </c>
      <c r="N193" s="521"/>
      <c r="P193" s="521"/>
      <c r="R193" s="521"/>
      <c r="T193" s="521"/>
      <c r="V193" s="521"/>
      <c r="X193" s="521"/>
      <c r="Z193" s="521"/>
      <c r="AB193" s="521"/>
      <c r="AD193" s="521"/>
      <c r="AF193" s="521"/>
      <c r="AH193" s="521"/>
      <c r="AJ193" s="521"/>
      <c r="AL193" s="521"/>
      <c r="AN193" s="521"/>
      <c r="AP193" s="521"/>
      <c r="AR193" s="521"/>
      <c r="AT193" s="521"/>
      <c r="AV193" s="521"/>
      <c r="AX193" s="521"/>
      <c r="AZ193" s="331"/>
      <c r="BB193" s="331"/>
      <c r="BD193" s="331"/>
      <c r="BF193" s="331"/>
      <c r="BH193" s="331"/>
      <c r="BJ193" s="331"/>
      <c r="BL193" s="331"/>
      <c r="BM193" s="329"/>
      <c r="BN193" s="331"/>
      <c r="BO193" s="329"/>
    </row>
    <row r="194" spans="1:67" ht="37.5">
      <c r="B194" s="346" t="s">
        <v>1155</v>
      </c>
      <c r="D194" s="530" t="s">
        <v>2552</v>
      </c>
      <c r="F194" s="322">
        <v>2</v>
      </c>
      <c r="G194" s="333">
        <f>IF(F194=1,0,1)</f>
        <v>1</v>
      </c>
      <c r="I194" s="339"/>
      <c r="N194" s="329"/>
      <c r="P194" s="329"/>
      <c r="R194" s="329"/>
      <c r="T194" s="329"/>
      <c r="V194" s="329"/>
      <c r="X194" s="329"/>
      <c r="Z194" s="329"/>
      <c r="AB194" s="329"/>
      <c r="AD194" s="329"/>
      <c r="AF194" s="329"/>
      <c r="AH194" s="329"/>
      <c r="AJ194" s="329"/>
      <c r="AL194" s="329"/>
      <c r="AN194" s="329"/>
      <c r="AP194" s="329"/>
      <c r="AR194" s="329"/>
      <c r="AT194" s="329"/>
      <c r="AV194" s="329"/>
      <c r="AX194" s="329"/>
      <c r="AZ194" s="329"/>
      <c r="BB194" s="329"/>
      <c r="BD194" s="329"/>
      <c r="BF194" s="329"/>
      <c r="BH194" s="329"/>
      <c r="BJ194" s="329"/>
      <c r="BL194" s="329"/>
      <c r="BN194" s="329"/>
    </row>
    <row r="195" spans="1:67">
      <c r="A195" s="531">
        <v>1</v>
      </c>
      <c r="B195" s="329" t="s">
        <v>1684</v>
      </c>
      <c r="C195" s="447" t="s">
        <v>2280</v>
      </c>
      <c r="D195" s="537" t="s">
        <v>2553</v>
      </c>
      <c r="F195" s="555">
        <v>0</v>
      </c>
      <c r="G195" s="333">
        <f>IF(F195=1,1,0)</f>
        <v>0</v>
      </c>
      <c r="N195" s="329"/>
      <c r="P195" s="329"/>
      <c r="R195" s="329"/>
      <c r="T195" s="329"/>
      <c r="V195" s="329"/>
      <c r="X195" s="329"/>
      <c r="Z195" s="329"/>
      <c r="AB195" s="329"/>
      <c r="AD195" s="329"/>
      <c r="AF195" s="329"/>
      <c r="AH195" s="329"/>
      <c r="AJ195" s="329"/>
      <c r="AL195" s="329"/>
      <c r="AN195" s="329"/>
      <c r="AP195" s="329"/>
      <c r="AR195" s="329"/>
      <c r="AT195" s="329"/>
      <c r="AV195" s="329"/>
      <c r="AX195" s="329"/>
      <c r="AZ195" s="329"/>
      <c r="BB195" s="329"/>
      <c r="BD195" s="329"/>
      <c r="BF195" s="329"/>
      <c r="BH195" s="329"/>
      <c r="BJ195" s="329"/>
      <c r="BL195" s="329"/>
      <c r="BN195" s="329"/>
    </row>
    <row r="196" spans="1:67" ht="37.5">
      <c r="A196" s="531">
        <v>1</v>
      </c>
      <c r="B196" s="329" t="s">
        <v>1684</v>
      </c>
      <c r="C196" s="447" t="s">
        <v>2281</v>
      </c>
      <c r="D196" s="537" t="s">
        <v>2554</v>
      </c>
      <c r="F196" s="555">
        <v>0</v>
      </c>
      <c r="G196" s="333">
        <f>F196</f>
        <v>0</v>
      </c>
      <c r="N196" s="329"/>
      <c r="P196" s="329"/>
      <c r="R196" s="329"/>
      <c r="T196" s="329"/>
      <c r="V196" s="329"/>
      <c r="X196" s="329"/>
      <c r="Z196" s="329"/>
      <c r="AB196" s="329"/>
      <c r="AD196" s="329"/>
      <c r="AF196" s="329"/>
      <c r="AH196" s="329"/>
      <c r="AJ196" s="329"/>
      <c r="AL196" s="329"/>
      <c r="AN196" s="329"/>
      <c r="AP196" s="329"/>
      <c r="AR196" s="329"/>
      <c r="AT196" s="329"/>
      <c r="AV196" s="329"/>
      <c r="AX196" s="329"/>
      <c r="AZ196" s="329"/>
      <c r="BB196" s="329"/>
      <c r="BD196" s="329"/>
      <c r="BF196" s="329"/>
      <c r="BH196" s="329"/>
      <c r="BJ196" s="329"/>
      <c r="BL196" s="329"/>
      <c r="BN196" s="329"/>
    </row>
    <row r="197" spans="1:67">
      <c r="A197" s="531">
        <v>1</v>
      </c>
      <c r="B197" s="329" t="s">
        <v>1684</v>
      </c>
      <c r="D197" s="537" t="s">
        <v>2555</v>
      </c>
      <c r="F197" s="555">
        <v>0</v>
      </c>
      <c r="G197" s="333">
        <f t="shared" ref="G197:G205" si="51">F197</f>
        <v>0</v>
      </c>
      <c r="N197" s="329"/>
      <c r="P197" s="329"/>
      <c r="R197" s="329"/>
      <c r="T197" s="329"/>
      <c r="V197" s="329"/>
      <c r="X197" s="329"/>
      <c r="Z197" s="329"/>
      <c r="AB197" s="329"/>
      <c r="AD197" s="329"/>
      <c r="AF197" s="329"/>
      <c r="AH197" s="329"/>
      <c r="AJ197" s="329"/>
      <c r="AL197" s="329"/>
      <c r="AN197" s="329"/>
      <c r="AP197" s="329"/>
      <c r="AR197" s="329"/>
      <c r="AT197" s="329"/>
      <c r="AV197" s="329"/>
      <c r="AX197" s="329"/>
      <c r="AZ197" s="329"/>
      <c r="BB197" s="329"/>
      <c r="BD197" s="329"/>
      <c r="BF197" s="329"/>
      <c r="BH197" s="329"/>
      <c r="BJ197" s="329"/>
      <c r="BL197" s="329"/>
      <c r="BN197" s="329"/>
    </row>
    <row r="198" spans="1:67" ht="37.5">
      <c r="A198" s="531">
        <v>1</v>
      </c>
      <c r="B198" s="329" t="s">
        <v>1684</v>
      </c>
      <c r="D198" s="537" t="s">
        <v>2556</v>
      </c>
      <c r="F198" s="555">
        <v>0</v>
      </c>
      <c r="G198" s="333">
        <f t="shared" si="51"/>
        <v>0</v>
      </c>
      <c r="N198" s="329"/>
      <c r="P198" s="329"/>
      <c r="R198" s="329"/>
      <c r="T198" s="329"/>
      <c r="V198" s="329"/>
      <c r="X198" s="329"/>
      <c r="Z198" s="329"/>
      <c r="AB198" s="329"/>
      <c r="AD198" s="329"/>
      <c r="AF198" s="329"/>
      <c r="AH198" s="329"/>
      <c r="AJ198" s="329"/>
      <c r="AL198" s="329"/>
      <c r="AN198" s="329"/>
      <c r="AP198" s="329"/>
      <c r="AR198" s="329"/>
      <c r="AT198" s="329"/>
      <c r="AV198" s="329"/>
      <c r="AX198" s="329"/>
      <c r="AZ198" s="329"/>
      <c r="BB198" s="329"/>
      <c r="BD198" s="329"/>
      <c r="BF198" s="329"/>
      <c r="BH198" s="329"/>
      <c r="BJ198" s="329"/>
      <c r="BL198" s="329"/>
      <c r="BN198" s="329"/>
    </row>
    <row r="199" spans="1:67">
      <c r="A199" s="531">
        <v>1</v>
      </c>
      <c r="B199" s="329" t="s">
        <v>1684</v>
      </c>
      <c r="D199" s="537" t="s">
        <v>2557</v>
      </c>
      <c r="F199" s="555">
        <v>0</v>
      </c>
      <c r="G199" s="333">
        <f t="shared" si="51"/>
        <v>0</v>
      </c>
      <c r="N199" s="329"/>
      <c r="P199" s="329"/>
      <c r="R199" s="329"/>
      <c r="T199" s="329"/>
      <c r="V199" s="329"/>
      <c r="X199" s="329"/>
      <c r="Z199" s="329"/>
      <c r="AB199" s="329"/>
      <c r="AD199" s="329"/>
      <c r="AF199" s="329"/>
      <c r="AH199" s="329"/>
      <c r="AJ199" s="329"/>
      <c r="AL199" s="329"/>
      <c r="AN199" s="329"/>
      <c r="AP199" s="329"/>
      <c r="AR199" s="329"/>
      <c r="AT199" s="329"/>
      <c r="AV199" s="329"/>
      <c r="AX199" s="329"/>
      <c r="AZ199" s="329"/>
      <c r="BB199" s="329"/>
      <c r="BD199" s="329"/>
      <c r="BF199" s="329"/>
      <c r="BH199" s="329"/>
      <c r="BJ199" s="329"/>
      <c r="BL199" s="329"/>
      <c r="BN199" s="329"/>
    </row>
    <row r="200" spans="1:67">
      <c r="A200" s="531">
        <v>1</v>
      </c>
      <c r="B200" s="329" t="s">
        <v>1684</v>
      </c>
      <c r="C200" s="447" t="s">
        <v>2254</v>
      </c>
      <c r="D200" s="537" t="s">
        <v>2558</v>
      </c>
      <c r="F200" s="555">
        <v>0</v>
      </c>
      <c r="G200" s="333">
        <f t="shared" si="51"/>
        <v>0</v>
      </c>
      <c r="N200" s="329"/>
      <c r="P200" s="329"/>
      <c r="R200" s="329"/>
      <c r="T200" s="329"/>
      <c r="V200" s="329"/>
      <c r="X200" s="329"/>
      <c r="Z200" s="329"/>
      <c r="AB200" s="329"/>
      <c r="AD200" s="329"/>
      <c r="AF200" s="329"/>
      <c r="AH200" s="329"/>
      <c r="AJ200" s="329"/>
      <c r="AL200" s="329"/>
      <c r="AN200" s="329"/>
      <c r="AP200" s="329"/>
      <c r="AR200" s="329"/>
      <c r="AT200" s="329"/>
      <c r="AV200" s="329"/>
      <c r="AX200" s="329"/>
      <c r="AZ200" s="329"/>
      <c r="BB200" s="329"/>
      <c r="BD200" s="329"/>
      <c r="BF200" s="329"/>
      <c r="BH200" s="329"/>
      <c r="BJ200" s="329"/>
      <c r="BL200" s="329"/>
      <c r="BN200" s="329"/>
    </row>
    <row r="201" spans="1:67">
      <c r="A201" s="531">
        <v>1</v>
      </c>
      <c r="B201" s="329" t="s">
        <v>1684</v>
      </c>
      <c r="C201" s="447" t="s">
        <v>2254</v>
      </c>
      <c r="D201" s="537" t="s">
        <v>2559</v>
      </c>
      <c r="F201" s="555">
        <v>0</v>
      </c>
      <c r="G201" s="333">
        <f t="shared" si="51"/>
        <v>0</v>
      </c>
      <c r="N201" s="329"/>
      <c r="P201" s="329"/>
      <c r="R201" s="329"/>
      <c r="T201" s="329"/>
      <c r="V201" s="329"/>
      <c r="X201" s="329"/>
      <c r="Z201" s="329"/>
      <c r="AB201" s="329"/>
      <c r="AD201" s="329"/>
      <c r="AF201" s="329"/>
      <c r="AH201" s="329"/>
      <c r="AJ201" s="329"/>
      <c r="AL201" s="329"/>
      <c r="AN201" s="329"/>
      <c r="AP201" s="329"/>
      <c r="AR201" s="329"/>
      <c r="AT201" s="329"/>
      <c r="AV201" s="329"/>
      <c r="AX201" s="329"/>
      <c r="AZ201" s="329"/>
      <c r="BB201" s="329"/>
      <c r="BD201" s="329"/>
      <c r="BF201" s="329"/>
      <c r="BH201" s="329"/>
      <c r="BJ201" s="329"/>
      <c r="BL201" s="329"/>
      <c r="BN201" s="329"/>
    </row>
    <row r="202" spans="1:67">
      <c r="A202" s="531">
        <v>1</v>
      </c>
      <c r="B202" s="329" t="s">
        <v>1684</v>
      </c>
      <c r="D202" s="537" t="s">
        <v>2560</v>
      </c>
      <c r="F202" s="555">
        <v>0</v>
      </c>
      <c r="G202" s="333">
        <f t="shared" si="51"/>
        <v>0</v>
      </c>
      <c r="N202" s="329"/>
      <c r="P202" s="329"/>
      <c r="R202" s="329"/>
      <c r="T202" s="329"/>
      <c r="V202" s="329"/>
      <c r="X202" s="329"/>
      <c r="Z202" s="329"/>
      <c r="AB202" s="329"/>
      <c r="AD202" s="329"/>
      <c r="AF202" s="329"/>
      <c r="AH202" s="329"/>
      <c r="AJ202" s="329"/>
      <c r="AL202" s="329"/>
      <c r="AN202" s="329"/>
      <c r="AP202" s="329"/>
      <c r="AR202" s="329"/>
      <c r="AT202" s="329"/>
      <c r="AV202" s="329"/>
      <c r="AX202" s="329"/>
      <c r="AZ202" s="329"/>
      <c r="BB202" s="329"/>
      <c r="BD202" s="329"/>
      <c r="BF202" s="329"/>
      <c r="BH202" s="329"/>
      <c r="BJ202" s="329"/>
      <c r="BL202" s="329"/>
      <c r="BN202" s="329"/>
    </row>
    <row r="203" spans="1:67">
      <c r="A203" s="531">
        <v>1</v>
      </c>
      <c r="B203" s="329" t="s">
        <v>1684</v>
      </c>
      <c r="D203" s="537" t="s">
        <v>2561</v>
      </c>
      <c r="F203" s="555">
        <v>0</v>
      </c>
      <c r="G203" s="333">
        <f t="shared" si="51"/>
        <v>0</v>
      </c>
      <c r="N203" s="329"/>
      <c r="P203" s="329"/>
      <c r="R203" s="329"/>
      <c r="T203" s="329"/>
      <c r="V203" s="329"/>
      <c r="X203" s="329"/>
      <c r="Z203" s="329"/>
      <c r="AB203" s="329"/>
      <c r="AD203" s="329"/>
      <c r="AF203" s="329"/>
      <c r="AH203" s="329"/>
      <c r="AJ203" s="329"/>
      <c r="AL203" s="329"/>
      <c r="AN203" s="329"/>
      <c r="AP203" s="329"/>
      <c r="AR203" s="329"/>
      <c r="AT203" s="329"/>
      <c r="AV203" s="329"/>
      <c r="AX203" s="329"/>
      <c r="AZ203" s="329"/>
      <c r="BB203" s="329"/>
      <c r="BD203" s="329"/>
      <c r="BF203" s="329"/>
      <c r="BH203" s="329"/>
      <c r="BJ203" s="329"/>
      <c r="BL203" s="329"/>
      <c r="BN203" s="329"/>
    </row>
    <row r="204" spans="1:67">
      <c r="A204" s="531">
        <v>1</v>
      </c>
      <c r="B204" s="329" t="s">
        <v>1684</v>
      </c>
      <c r="D204" s="537" t="s">
        <v>2562</v>
      </c>
      <c r="F204" s="555">
        <v>0</v>
      </c>
      <c r="G204" s="333">
        <f t="shared" si="51"/>
        <v>0</v>
      </c>
      <c r="N204" s="329"/>
      <c r="P204" s="329"/>
      <c r="R204" s="329"/>
      <c r="T204" s="329"/>
      <c r="V204" s="329"/>
      <c r="X204" s="329"/>
      <c r="Z204" s="329"/>
      <c r="AB204" s="329"/>
      <c r="AD204" s="329"/>
      <c r="AF204" s="329"/>
      <c r="AH204" s="329"/>
      <c r="AJ204" s="329"/>
      <c r="AL204" s="329"/>
      <c r="AN204" s="329"/>
      <c r="AP204" s="329"/>
      <c r="AR204" s="329"/>
      <c r="AT204" s="329"/>
      <c r="AV204" s="329"/>
      <c r="AX204" s="329"/>
      <c r="AZ204" s="329"/>
      <c r="BB204" s="329"/>
      <c r="BD204" s="329"/>
      <c r="BF204" s="329"/>
      <c r="BH204" s="329"/>
      <c r="BJ204" s="329"/>
      <c r="BL204" s="329"/>
      <c r="BN204" s="329"/>
    </row>
    <row r="205" spans="1:67">
      <c r="A205" s="531">
        <v>1</v>
      </c>
      <c r="B205" s="329" t="s">
        <v>1684</v>
      </c>
      <c r="D205" s="537" t="s">
        <v>2563</v>
      </c>
      <c r="F205" s="555">
        <v>0</v>
      </c>
      <c r="G205" s="333">
        <f t="shared" si="51"/>
        <v>0</v>
      </c>
      <c r="N205" s="329"/>
      <c r="P205" s="329"/>
      <c r="R205" s="329"/>
      <c r="T205" s="329"/>
      <c r="V205" s="329"/>
      <c r="X205" s="329"/>
      <c r="Z205" s="329"/>
      <c r="AB205" s="329"/>
      <c r="AD205" s="329"/>
      <c r="AF205" s="329"/>
      <c r="AH205" s="329"/>
      <c r="AJ205" s="329"/>
      <c r="AL205" s="329"/>
      <c r="AN205" s="329"/>
      <c r="AP205" s="329"/>
      <c r="AR205" s="329"/>
      <c r="AT205" s="329"/>
      <c r="AV205" s="329"/>
      <c r="AX205" s="329"/>
      <c r="AZ205" s="329"/>
      <c r="BB205" s="329"/>
      <c r="BD205" s="329"/>
      <c r="BF205" s="329"/>
      <c r="BH205" s="329"/>
      <c r="BJ205" s="329"/>
      <c r="BL205" s="329"/>
      <c r="BN205" s="329"/>
    </row>
    <row r="206" spans="1:67">
      <c r="A206" s="531">
        <v>1</v>
      </c>
      <c r="B206" s="329" t="s">
        <v>1684</v>
      </c>
      <c r="D206" s="537" t="s">
        <v>1468</v>
      </c>
      <c r="F206" s="322">
        <v>0</v>
      </c>
      <c r="G206" s="333">
        <f>F206</f>
        <v>0</v>
      </c>
      <c r="N206" s="329"/>
      <c r="P206" s="329"/>
      <c r="R206" s="329"/>
      <c r="T206" s="329"/>
      <c r="V206" s="329"/>
      <c r="X206" s="329"/>
      <c r="Z206" s="329"/>
      <c r="AB206" s="329"/>
      <c r="AD206" s="329"/>
      <c r="AF206" s="329"/>
      <c r="AH206" s="329"/>
      <c r="AJ206" s="329"/>
      <c r="AL206" s="329"/>
      <c r="AN206" s="329"/>
      <c r="AP206" s="329"/>
      <c r="AR206" s="329"/>
      <c r="AT206" s="329"/>
      <c r="AV206" s="329"/>
      <c r="AX206" s="329"/>
      <c r="AZ206" s="329"/>
      <c r="BB206" s="329"/>
      <c r="BD206" s="329"/>
      <c r="BF206" s="329"/>
      <c r="BH206" s="329"/>
      <c r="BJ206" s="329"/>
      <c r="BL206" s="329"/>
      <c r="BN206" s="329"/>
    </row>
    <row r="207" spans="1:67">
      <c r="A207" s="531">
        <v>1</v>
      </c>
      <c r="B207" s="329" t="s">
        <v>1684</v>
      </c>
      <c r="D207" s="537" t="s">
        <v>2564</v>
      </c>
      <c r="F207" s="322">
        <v>0</v>
      </c>
      <c r="N207" s="329"/>
      <c r="P207" s="329"/>
      <c r="R207" s="329"/>
      <c r="T207" s="329"/>
      <c r="V207" s="329"/>
      <c r="X207" s="329"/>
      <c r="Z207" s="329"/>
      <c r="AB207" s="329"/>
      <c r="AD207" s="329"/>
      <c r="AF207" s="329"/>
      <c r="AH207" s="329"/>
      <c r="AJ207" s="329"/>
      <c r="AL207" s="329"/>
      <c r="AN207" s="329"/>
      <c r="AP207" s="329"/>
      <c r="AR207" s="329"/>
      <c r="AT207" s="329"/>
      <c r="AV207" s="329"/>
      <c r="AX207" s="329"/>
      <c r="AZ207" s="329"/>
      <c r="BB207" s="329"/>
      <c r="BD207" s="329"/>
      <c r="BF207" s="329"/>
      <c r="BH207" s="329"/>
      <c r="BJ207" s="329"/>
      <c r="BL207" s="329"/>
      <c r="BN207" s="329"/>
    </row>
    <row r="208" spans="1:67">
      <c r="A208" s="531">
        <v>1</v>
      </c>
      <c r="B208" s="329" t="s">
        <v>1684</v>
      </c>
      <c r="D208" s="537" t="s">
        <v>2565</v>
      </c>
      <c r="F208" s="322">
        <v>0</v>
      </c>
      <c r="N208" s="329"/>
      <c r="P208" s="329"/>
      <c r="R208" s="329"/>
      <c r="T208" s="329"/>
      <c r="V208" s="329"/>
      <c r="X208" s="329"/>
      <c r="Z208" s="329"/>
      <c r="AB208" s="329"/>
      <c r="AD208" s="329"/>
      <c r="AF208" s="329"/>
      <c r="AH208" s="329"/>
      <c r="AJ208" s="329"/>
      <c r="AL208" s="329"/>
      <c r="AN208" s="329"/>
      <c r="AP208" s="329"/>
      <c r="AR208" s="329"/>
      <c r="AT208" s="329"/>
      <c r="AV208" s="329"/>
      <c r="AX208" s="329"/>
      <c r="AZ208" s="329"/>
      <c r="BB208" s="329"/>
      <c r="BD208" s="329"/>
      <c r="BF208" s="329"/>
      <c r="BH208" s="329"/>
      <c r="BJ208" s="329"/>
      <c r="BL208" s="329"/>
      <c r="BN208" s="329"/>
    </row>
    <row r="209" spans="1:66">
      <c r="A209" s="531">
        <v>1</v>
      </c>
      <c r="B209" s="329" t="s">
        <v>1684</v>
      </c>
      <c r="D209" s="537" t="s">
        <v>1469</v>
      </c>
      <c r="F209" s="322">
        <v>1</v>
      </c>
      <c r="N209" s="329"/>
      <c r="P209" s="329"/>
      <c r="R209" s="329"/>
      <c r="T209" s="329"/>
      <c r="V209" s="329"/>
      <c r="X209" s="329"/>
      <c r="Z209" s="329"/>
      <c r="AB209" s="329"/>
      <c r="AD209" s="329"/>
      <c r="AF209" s="329"/>
      <c r="AH209" s="329"/>
      <c r="AJ209" s="329"/>
      <c r="AL209" s="329"/>
      <c r="AN209" s="329"/>
      <c r="AP209" s="329"/>
      <c r="AR209" s="329"/>
      <c r="AT209" s="329"/>
      <c r="AV209" s="329"/>
      <c r="AX209" s="329"/>
      <c r="AZ209" s="329"/>
      <c r="BB209" s="329"/>
      <c r="BD209" s="329"/>
      <c r="BF209" s="329"/>
      <c r="BH209" s="329"/>
      <c r="BJ209" s="329"/>
      <c r="BL209" s="329"/>
      <c r="BN209" s="329"/>
    </row>
    <row r="210" spans="1:66">
      <c r="A210" s="531">
        <v>1</v>
      </c>
      <c r="B210" s="329" t="s">
        <v>1684</v>
      </c>
      <c r="D210" s="537" t="s">
        <v>2566</v>
      </c>
      <c r="F210" s="555">
        <v>0</v>
      </c>
      <c r="G210" s="333">
        <f>F210</f>
        <v>0</v>
      </c>
      <c r="N210" s="329"/>
      <c r="P210" s="329"/>
      <c r="R210" s="329"/>
      <c r="T210" s="329"/>
      <c r="V210" s="329"/>
      <c r="X210" s="329"/>
      <c r="Z210" s="329"/>
      <c r="AB210" s="329"/>
      <c r="AD210" s="329"/>
      <c r="AF210" s="329"/>
      <c r="AH210" s="329"/>
      <c r="AJ210" s="329"/>
      <c r="AL210" s="329"/>
      <c r="AN210" s="329"/>
      <c r="AP210" s="329"/>
      <c r="AR210" s="329"/>
      <c r="AT210" s="329"/>
      <c r="AV210" s="329"/>
      <c r="AX210" s="329"/>
      <c r="AZ210" s="329"/>
      <c r="BB210" s="329"/>
      <c r="BD210" s="329"/>
      <c r="BF210" s="329"/>
      <c r="BH210" s="329"/>
      <c r="BJ210" s="329"/>
      <c r="BL210" s="329"/>
      <c r="BN210" s="329"/>
    </row>
    <row r="211" spans="1:66">
      <c r="A211" s="531">
        <v>1</v>
      </c>
      <c r="B211" s="329" t="s">
        <v>1684</v>
      </c>
      <c r="D211" s="537" t="s">
        <v>2567</v>
      </c>
      <c r="F211" s="555">
        <v>0</v>
      </c>
      <c r="G211" s="333">
        <f>F211</f>
        <v>0</v>
      </c>
      <c r="N211" s="329"/>
      <c r="P211" s="329"/>
      <c r="R211" s="329"/>
      <c r="T211" s="329"/>
      <c r="V211" s="329"/>
      <c r="X211" s="329"/>
      <c r="Z211" s="329"/>
      <c r="AB211" s="329"/>
      <c r="AD211" s="329"/>
      <c r="AF211" s="329"/>
      <c r="AH211" s="329"/>
      <c r="AJ211" s="329"/>
      <c r="AL211" s="329"/>
      <c r="AN211" s="329"/>
      <c r="AP211" s="329"/>
      <c r="AR211" s="329"/>
      <c r="AT211" s="329"/>
      <c r="AV211" s="329"/>
      <c r="AX211" s="329"/>
      <c r="AZ211" s="329"/>
      <c r="BB211" s="329"/>
      <c r="BD211" s="329"/>
      <c r="BF211" s="329"/>
      <c r="BH211" s="329"/>
      <c r="BJ211" s="329"/>
      <c r="BL211" s="329"/>
      <c r="BN211" s="329"/>
    </row>
    <row r="212" spans="1:66">
      <c r="N212" s="329"/>
      <c r="P212" s="329"/>
      <c r="R212" s="329"/>
      <c r="T212" s="329"/>
      <c r="V212" s="329"/>
      <c r="X212" s="329"/>
      <c r="Z212" s="329"/>
      <c r="AB212" s="329"/>
      <c r="AD212" s="329"/>
      <c r="AF212" s="329"/>
      <c r="AH212" s="329"/>
      <c r="AJ212" s="329"/>
      <c r="AL212" s="329"/>
      <c r="AN212" s="329"/>
      <c r="AP212" s="329"/>
      <c r="AR212" s="329"/>
      <c r="AT212" s="329"/>
      <c r="AV212" s="329"/>
      <c r="AX212" s="329"/>
      <c r="AZ212" s="329"/>
      <c r="BB212" s="329"/>
      <c r="BD212" s="329"/>
      <c r="BF212" s="329"/>
      <c r="BH212" s="329"/>
      <c r="BJ212" s="329"/>
      <c r="BL212" s="329"/>
      <c r="BN212" s="329"/>
    </row>
    <row r="213" spans="1:66">
      <c r="N213" s="329"/>
      <c r="P213" s="329"/>
      <c r="R213" s="329"/>
      <c r="T213" s="329"/>
      <c r="V213" s="329"/>
      <c r="X213" s="329"/>
      <c r="Z213" s="329"/>
      <c r="AB213" s="329"/>
      <c r="AD213" s="329"/>
      <c r="AF213" s="329"/>
      <c r="AH213" s="329"/>
      <c r="AJ213" s="329"/>
      <c r="AL213" s="329"/>
      <c r="AN213" s="329"/>
      <c r="AP213" s="329"/>
      <c r="AR213" s="329"/>
      <c r="AT213" s="329"/>
      <c r="AV213" s="329"/>
      <c r="AX213" s="329"/>
      <c r="AZ213" s="329"/>
      <c r="BB213" s="329"/>
      <c r="BD213" s="329"/>
      <c r="BF213" s="329"/>
      <c r="BH213" s="329"/>
      <c r="BJ213" s="329"/>
      <c r="BL213" s="329"/>
      <c r="BN213" s="329"/>
    </row>
    <row r="214" spans="1:66">
      <c r="A214" s="531">
        <v>1</v>
      </c>
      <c r="B214" s="329" t="s">
        <v>1454</v>
      </c>
      <c r="D214" s="867" t="s">
        <v>1941</v>
      </c>
      <c r="N214" s="329"/>
      <c r="P214" s="329"/>
      <c r="R214" s="329"/>
      <c r="T214" s="329"/>
      <c r="V214" s="329"/>
      <c r="X214" s="329"/>
      <c r="Z214" s="329"/>
      <c r="AB214" s="329"/>
      <c r="AD214" s="329"/>
      <c r="AF214" s="329"/>
      <c r="AH214" s="329"/>
      <c r="AJ214" s="329"/>
      <c r="AL214" s="329"/>
      <c r="AN214" s="329"/>
      <c r="AP214" s="329"/>
      <c r="AR214" s="329"/>
      <c r="AT214" s="329"/>
      <c r="AV214" s="329"/>
      <c r="AX214" s="329"/>
      <c r="AZ214" s="329"/>
      <c r="BB214" s="329"/>
      <c r="BD214" s="329"/>
      <c r="BF214" s="329"/>
      <c r="BH214" s="329"/>
      <c r="BJ214" s="329"/>
      <c r="BL214" s="329"/>
      <c r="BN214" s="329"/>
    </row>
    <row r="215" spans="1:66">
      <c r="A215" s="531">
        <v>1</v>
      </c>
      <c r="B215" s="329" t="s">
        <v>1454</v>
      </c>
      <c r="D215" s="864" t="s">
        <v>1472</v>
      </c>
      <c r="E215" s="448" t="s">
        <v>1571</v>
      </c>
      <c r="F215" s="339"/>
      <c r="G215" s="329">
        <f>((F6*0.5)*H3)</f>
        <v>0</v>
      </c>
      <c r="H215" s="329">
        <f>((F6*0.48)*I3)</f>
        <v>86.399999999999991</v>
      </c>
      <c r="N215" s="329"/>
      <c r="P215" s="329"/>
      <c r="R215" s="329"/>
      <c r="T215" s="329"/>
      <c r="V215" s="329"/>
      <c r="X215" s="329"/>
      <c r="Z215" s="329"/>
      <c r="AB215" s="329"/>
      <c r="AD215" s="329"/>
      <c r="AF215" s="329"/>
      <c r="AH215" s="329"/>
      <c r="AJ215" s="329"/>
      <c r="AL215" s="329"/>
      <c r="AN215" s="329"/>
      <c r="AP215" s="329"/>
      <c r="AR215" s="329"/>
      <c r="AT215" s="329"/>
      <c r="AV215" s="329"/>
      <c r="AX215" s="329"/>
      <c r="AZ215" s="329"/>
      <c r="BB215" s="329"/>
      <c r="BD215" s="329"/>
      <c r="BF215" s="329"/>
      <c r="BH215" s="329"/>
      <c r="BJ215" s="329"/>
      <c r="BL215" s="329"/>
      <c r="BN215" s="329"/>
    </row>
    <row r="216" spans="1:66">
      <c r="A216" s="531">
        <v>1</v>
      </c>
      <c r="B216" s="329" t="s">
        <v>1454</v>
      </c>
      <c r="D216" s="864" t="s">
        <v>1467</v>
      </c>
      <c r="F216" s="339"/>
      <c r="G216" s="329">
        <f>(F6*0.225)*I3</f>
        <v>40.5</v>
      </c>
      <c r="H216" s="329">
        <f>(F6*0.245)*H3</f>
        <v>0</v>
      </c>
      <c r="N216" s="329"/>
      <c r="P216" s="329"/>
      <c r="R216" s="329"/>
      <c r="T216" s="329"/>
      <c r="V216" s="329"/>
      <c r="X216" s="329"/>
      <c r="Z216" s="329"/>
      <c r="AB216" s="329"/>
      <c r="AD216" s="329"/>
      <c r="AF216" s="329"/>
      <c r="AH216" s="329"/>
      <c r="AJ216" s="329"/>
      <c r="AL216" s="329"/>
      <c r="AN216" s="329"/>
      <c r="AP216" s="329"/>
      <c r="AR216" s="329"/>
      <c r="AT216" s="329"/>
      <c r="AV216" s="329"/>
      <c r="AX216" s="329"/>
      <c r="AZ216" s="329"/>
      <c r="BB216" s="329"/>
      <c r="BD216" s="329"/>
      <c r="BF216" s="329"/>
      <c r="BH216" s="329"/>
      <c r="BJ216" s="329"/>
      <c r="BL216" s="329"/>
      <c r="BN216" s="329"/>
    </row>
    <row r="217" spans="1:66">
      <c r="A217" s="531">
        <v>1</v>
      </c>
      <c r="B217" s="329" t="s">
        <v>1454</v>
      </c>
      <c r="D217" s="537" t="s">
        <v>2698</v>
      </c>
      <c r="F217" s="324">
        <v>70</v>
      </c>
      <c r="N217" s="329"/>
      <c r="P217" s="329"/>
      <c r="R217" s="329"/>
      <c r="T217" s="329"/>
      <c r="V217" s="329"/>
      <c r="X217" s="329"/>
      <c r="Z217" s="329"/>
      <c r="AB217" s="329"/>
      <c r="AD217" s="329"/>
      <c r="AF217" s="329"/>
      <c r="AH217" s="329"/>
      <c r="AJ217" s="329"/>
      <c r="AL217" s="329"/>
      <c r="AN217" s="329"/>
      <c r="AP217" s="329"/>
      <c r="AR217" s="329"/>
      <c r="AT217" s="329"/>
      <c r="AV217" s="329"/>
      <c r="AX217" s="329"/>
      <c r="AZ217" s="329"/>
      <c r="BB217" s="329"/>
      <c r="BD217" s="329"/>
      <c r="BF217" s="329"/>
      <c r="BH217" s="329"/>
      <c r="BJ217" s="329"/>
      <c r="BL217" s="329"/>
      <c r="BN217" s="329"/>
    </row>
    <row r="218" spans="1:66">
      <c r="A218" s="531">
        <v>1</v>
      </c>
      <c r="B218" s="329" t="s">
        <v>1454</v>
      </c>
      <c r="D218" s="858" t="s">
        <v>2568</v>
      </c>
      <c r="E218" s="448" t="s">
        <v>1573</v>
      </c>
      <c r="F218" s="324">
        <v>110</v>
      </c>
      <c r="G218" s="329">
        <f>IF(F218&lt;120,0.8,IF(F218&gt;140,2,0))</f>
        <v>0.8</v>
      </c>
      <c r="N218" s="329"/>
      <c r="P218" s="329"/>
      <c r="R218" s="329"/>
      <c r="T218" s="329"/>
      <c r="V218" s="329"/>
      <c r="X218" s="329"/>
      <c r="Z218" s="329"/>
      <c r="AB218" s="329"/>
      <c r="AD218" s="329"/>
      <c r="AF218" s="329"/>
      <c r="AH218" s="329"/>
      <c r="AJ218" s="329"/>
      <c r="AL218" s="329"/>
      <c r="AN218" s="329"/>
      <c r="AP218" s="329"/>
      <c r="AR218" s="329"/>
      <c r="AT218" s="329"/>
      <c r="AV218" s="329"/>
      <c r="AX218" s="329"/>
      <c r="AZ218" s="329"/>
      <c r="BB218" s="329"/>
      <c r="BD218" s="329"/>
      <c r="BF218" s="329"/>
      <c r="BH218" s="329"/>
      <c r="BJ218" s="329"/>
      <c r="BL218" s="329"/>
      <c r="BN218" s="329"/>
    </row>
    <row r="219" spans="1:66">
      <c r="B219" s="329" t="s">
        <v>1454</v>
      </c>
      <c r="D219" s="858" t="s">
        <v>2569</v>
      </c>
      <c r="E219" s="448" t="s">
        <v>1572</v>
      </c>
      <c r="F219" s="324">
        <v>65</v>
      </c>
      <c r="G219" s="329">
        <f>IF(F219&lt;80,0.8,IF(F219&gt;90,2,0))</f>
        <v>0.8</v>
      </c>
      <c r="H219" s="329">
        <f>MAX(G218:G219)</f>
        <v>0.8</v>
      </c>
      <c r="N219" s="329"/>
      <c r="P219" s="329"/>
      <c r="R219" s="329"/>
      <c r="T219" s="329"/>
      <c r="V219" s="329"/>
      <c r="X219" s="329"/>
      <c r="Z219" s="329"/>
      <c r="AB219" s="329"/>
      <c r="AD219" s="329"/>
      <c r="AF219" s="329"/>
      <c r="AH219" s="329"/>
      <c r="AJ219" s="329"/>
      <c r="AL219" s="329"/>
      <c r="AN219" s="329"/>
      <c r="AP219" s="329"/>
      <c r="AR219" s="329"/>
      <c r="AT219" s="329"/>
      <c r="AV219" s="329"/>
      <c r="AX219" s="329"/>
      <c r="AZ219" s="329"/>
      <c r="BB219" s="329"/>
      <c r="BD219" s="329"/>
      <c r="BF219" s="329"/>
      <c r="BH219" s="329"/>
      <c r="BJ219" s="329"/>
      <c r="BL219" s="329"/>
      <c r="BN219" s="329"/>
    </row>
    <row r="220" spans="1:66">
      <c r="B220" s="329" t="s">
        <v>1454</v>
      </c>
      <c r="D220" s="537" t="s">
        <v>2699</v>
      </c>
      <c r="F220" s="324">
        <v>90</v>
      </c>
      <c r="I220" s="546" t="s">
        <v>1739</v>
      </c>
      <c r="J220" s="598">
        <f>(-93.565+(2.9979*H3)+(7.9979*H68)+(1.1998*F4)+(0.1499375*F218)+(0.7995*H6))/100</f>
        <v>9.0734185185185154E-2</v>
      </c>
      <c r="N220" s="329"/>
      <c r="P220" s="329"/>
      <c r="R220" s="329"/>
      <c r="T220" s="329"/>
      <c r="V220" s="329"/>
      <c r="X220" s="329"/>
      <c r="Z220" s="329"/>
      <c r="AB220" s="329"/>
      <c r="AD220" s="329"/>
      <c r="AF220" s="329"/>
      <c r="AH220" s="329"/>
      <c r="AJ220" s="329"/>
      <c r="AL220" s="329"/>
      <c r="AN220" s="329"/>
      <c r="AP220" s="329"/>
      <c r="AR220" s="329"/>
      <c r="AT220" s="329"/>
      <c r="AV220" s="329"/>
      <c r="AX220" s="329"/>
      <c r="AZ220" s="329"/>
      <c r="BB220" s="329"/>
      <c r="BD220" s="329"/>
      <c r="BF220" s="329"/>
      <c r="BH220" s="329"/>
      <c r="BJ220" s="329"/>
      <c r="BL220" s="329"/>
      <c r="BN220" s="329"/>
    </row>
    <row r="221" spans="1:66">
      <c r="B221" s="329" t="s">
        <v>1454</v>
      </c>
      <c r="D221" s="537" t="s">
        <v>2700</v>
      </c>
      <c r="F221" s="324">
        <v>65</v>
      </c>
      <c r="J221"/>
      <c r="N221" s="329"/>
      <c r="P221" s="329"/>
      <c r="R221" s="329"/>
      <c r="T221" s="329"/>
      <c r="V221" s="329"/>
      <c r="X221" s="329"/>
      <c r="Z221" s="329"/>
      <c r="AB221" s="329"/>
      <c r="AD221" s="329"/>
      <c r="AF221" s="329"/>
      <c r="AH221" s="329"/>
      <c r="AJ221" s="329"/>
      <c r="AL221" s="329"/>
      <c r="AN221" s="329"/>
      <c r="AP221" s="329"/>
      <c r="AR221" s="329"/>
      <c r="AT221" s="329"/>
      <c r="AV221" s="329"/>
      <c r="AX221" s="329"/>
      <c r="AZ221" s="329"/>
      <c r="BB221" s="329"/>
      <c r="BD221" s="329"/>
      <c r="BF221" s="329"/>
      <c r="BH221" s="329"/>
      <c r="BJ221" s="329"/>
      <c r="BL221" s="329"/>
      <c r="BN221" s="329"/>
    </row>
    <row r="222" spans="1:66">
      <c r="B222" s="329" t="s">
        <v>1454</v>
      </c>
      <c r="D222" s="537" t="s">
        <v>2704</v>
      </c>
      <c r="F222" s="555">
        <v>2</v>
      </c>
      <c r="G222" s="333">
        <f>IF(F222=2,1,0)</f>
        <v>1</v>
      </c>
      <c r="N222" s="329"/>
      <c r="P222" s="329"/>
      <c r="R222" s="329"/>
      <c r="T222" s="329"/>
      <c r="V222" s="329"/>
      <c r="X222" s="329"/>
      <c r="Z222" s="329"/>
      <c r="AB222" s="329"/>
      <c r="AD222" s="329"/>
      <c r="AF222" s="329"/>
      <c r="AH222" s="329"/>
      <c r="AJ222" s="329"/>
      <c r="AL222" s="329"/>
      <c r="AN222" s="329"/>
      <c r="AP222" s="329"/>
      <c r="AR222" s="329"/>
      <c r="AT222" s="329"/>
      <c r="AV222" s="329"/>
      <c r="AX222" s="329"/>
      <c r="AZ222" s="329"/>
      <c r="BB222" s="329"/>
      <c r="BD222" s="329"/>
      <c r="BF222" s="329"/>
      <c r="BH222" s="329"/>
      <c r="BJ222" s="329"/>
      <c r="BL222" s="329"/>
      <c r="BN222" s="329"/>
    </row>
    <row r="223" spans="1:66">
      <c r="B223" s="329" t="s">
        <v>1454</v>
      </c>
      <c r="D223" s="393" t="s">
        <v>2357</v>
      </c>
      <c r="E223" s="586"/>
      <c r="F223" s="88">
        <v>108</v>
      </c>
      <c r="G223" s="324"/>
      <c r="N223" s="329"/>
      <c r="P223" s="329"/>
      <c r="R223" s="329"/>
      <c r="T223" s="329"/>
      <c r="V223" s="329"/>
      <c r="X223" s="329"/>
      <c r="Z223" s="329"/>
      <c r="AB223" s="329"/>
      <c r="AD223" s="329"/>
      <c r="AF223" s="329"/>
      <c r="AH223" s="329"/>
      <c r="AJ223" s="329"/>
      <c r="AL223" s="329"/>
      <c r="AN223" s="329"/>
      <c r="AP223" s="329"/>
      <c r="AR223" s="329"/>
      <c r="AT223" s="329"/>
      <c r="AV223" s="329"/>
      <c r="AX223" s="329"/>
      <c r="AZ223" s="329"/>
      <c r="BB223" s="329"/>
      <c r="BD223" s="329"/>
      <c r="BF223" s="329"/>
      <c r="BH223" s="329"/>
      <c r="BJ223" s="329"/>
      <c r="BL223" s="329"/>
      <c r="BN223" s="329"/>
    </row>
    <row r="224" spans="1:66">
      <c r="B224" s="329" t="s">
        <v>1454</v>
      </c>
      <c r="D224" s="393" t="s">
        <v>2358</v>
      </c>
      <c r="E224" s="586"/>
      <c r="F224" s="88"/>
      <c r="G224" s="324"/>
      <c r="N224" s="329"/>
      <c r="P224" s="329"/>
      <c r="R224" s="329"/>
      <c r="T224" s="329"/>
      <c r="V224" s="329"/>
      <c r="X224" s="329"/>
      <c r="Z224" s="329"/>
      <c r="AB224" s="329"/>
      <c r="AD224" s="329"/>
      <c r="AF224" s="329"/>
      <c r="AH224" s="329"/>
      <c r="AJ224" s="329"/>
      <c r="AL224" s="329"/>
      <c r="AN224" s="329"/>
      <c r="AP224" s="329"/>
      <c r="AR224" s="329"/>
      <c r="AT224" s="329"/>
      <c r="AV224" s="329"/>
      <c r="AX224" s="329"/>
      <c r="AZ224" s="329"/>
      <c r="BB224" s="329"/>
      <c r="BD224" s="329"/>
      <c r="BF224" s="329"/>
      <c r="BH224" s="329"/>
      <c r="BJ224" s="329"/>
      <c r="BL224" s="329"/>
      <c r="BN224" s="329"/>
    </row>
    <row r="225" spans="1:66">
      <c r="B225" s="329" t="s">
        <v>1454</v>
      </c>
      <c r="D225" s="393" t="s">
        <v>2359</v>
      </c>
      <c r="E225" s="586"/>
      <c r="F225" s="88"/>
      <c r="G225" s="324"/>
      <c r="N225" s="329"/>
      <c r="P225" s="329"/>
      <c r="R225" s="329"/>
      <c r="T225" s="329"/>
      <c r="V225" s="329"/>
      <c r="X225" s="329"/>
      <c r="Z225" s="329"/>
      <c r="AB225" s="329"/>
      <c r="AD225" s="329"/>
      <c r="AF225" s="329"/>
      <c r="AH225" s="329"/>
      <c r="AJ225" s="329"/>
      <c r="AL225" s="329"/>
      <c r="AN225" s="329"/>
      <c r="AP225" s="329"/>
      <c r="AR225" s="329"/>
      <c r="AT225" s="329"/>
      <c r="AV225" s="329"/>
      <c r="AX225" s="329"/>
      <c r="AZ225" s="329"/>
      <c r="BB225" s="329"/>
      <c r="BD225" s="329"/>
      <c r="BF225" s="329"/>
      <c r="BH225" s="329"/>
      <c r="BJ225" s="329"/>
      <c r="BL225" s="329"/>
      <c r="BN225" s="329"/>
    </row>
    <row r="226" spans="1:66">
      <c r="B226" s="329" t="s">
        <v>1454</v>
      </c>
      <c r="D226" s="393" t="s">
        <v>2360</v>
      </c>
      <c r="E226" s="586"/>
      <c r="F226" s="88"/>
      <c r="G226" s="324"/>
      <c r="N226" s="329"/>
      <c r="P226" s="329"/>
      <c r="R226" s="329"/>
      <c r="T226" s="329"/>
      <c r="V226" s="329"/>
      <c r="X226" s="329"/>
      <c r="Z226" s="329"/>
      <c r="AB226" s="329"/>
      <c r="AD226" s="329"/>
      <c r="AF226" s="329"/>
      <c r="AH226" s="329"/>
      <c r="AJ226" s="329"/>
      <c r="AL226" s="329"/>
      <c r="AN226" s="329"/>
      <c r="AP226" s="329"/>
      <c r="AR226" s="329"/>
      <c r="AT226" s="329"/>
      <c r="AV226" s="329"/>
      <c r="AX226" s="329"/>
      <c r="AZ226" s="329"/>
      <c r="BB226" s="329"/>
      <c r="BD226" s="329"/>
      <c r="BF226" s="329"/>
      <c r="BH226" s="329"/>
      <c r="BJ226" s="329"/>
      <c r="BL226" s="329"/>
      <c r="BN226" s="329"/>
    </row>
    <row r="227" spans="1:66">
      <c r="B227" s="329" t="s">
        <v>1454</v>
      </c>
      <c r="D227" s="393" t="s">
        <v>2361</v>
      </c>
      <c r="E227" s="586"/>
      <c r="F227" s="88"/>
      <c r="G227" s="324"/>
      <c r="N227" s="329"/>
      <c r="P227" s="329"/>
      <c r="R227" s="329"/>
      <c r="T227" s="329"/>
      <c r="V227" s="329"/>
      <c r="X227" s="329"/>
      <c r="Z227" s="329"/>
      <c r="AB227" s="329"/>
      <c r="AD227" s="329"/>
      <c r="AF227" s="329"/>
      <c r="AH227" s="329"/>
      <c r="AJ227" s="329"/>
      <c r="AL227" s="329"/>
      <c r="AN227" s="329"/>
      <c r="AP227" s="329"/>
      <c r="AR227" s="329"/>
      <c r="AT227" s="329"/>
      <c r="AV227" s="329"/>
      <c r="AX227" s="329"/>
      <c r="AZ227" s="329"/>
      <c r="BB227" s="329"/>
      <c r="BD227" s="329"/>
      <c r="BF227" s="329"/>
      <c r="BH227" s="329"/>
      <c r="BJ227" s="329"/>
      <c r="BL227" s="329"/>
      <c r="BN227" s="329"/>
    </row>
    <row r="228" spans="1:66">
      <c r="A228" s="531">
        <v>1</v>
      </c>
      <c r="B228" s="329" t="s">
        <v>1454</v>
      </c>
      <c r="D228" s="393" t="s">
        <v>2362</v>
      </c>
      <c r="E228" s="586"/>
      <c r="F228" s="88">
        <v>99</v>
      </c>
      <c r="G228" s="324"/>
      <c r="N228" s="329"/>
      <c r="P228" s="329"/>
      <c r="R228" s="329"/>
      <c r="T228" s="329"/>
      <c r="V228" s="329"/>
      <c r="X228" s="329"/>
      <c r="Z228" s="329"/>
      <c r="AB228" s="329"/>
      <c r="AD228" s="329"/>
      <c r="AF228" s="329"/>
      <c r="AH228" s="329"/>
      <c r="AJ228" s="329"/>
      <c r="AL228" s="329"/>
      <c r="AN228" s="329"/>
      <c r="AP228" s="329"/>
      <c r="AR228" s="329"/>
      <c r="AT228" s="329"/>
      <c r="AV228" s="329"/>
      <c r="AX228" s="329"/>
      <c r="AZ228" s="329"/>
      <c r="BB228" s="329"/>
      <c r="BD228" s="329"/>
      <c r="BF228" s="329"/>
      <c r="BH228" s="329"/>
      <c r="BJ228" s="329"/>
      <c r="BL228" s="329"/>
      <c r="BN228" s="329"/>
    </row>
    <row r="229" spans="1:66">
      <c r="A229" s="531"/>
      <c r="B229" s="329" t="s">
        <v>1454</v>
      </c>
      <c r="D229" s="393" t="s">
        <v>2363</v>
      </c>
      <c r="E229" s="586"/>
      <c r="F229" s="88"/>
      <c r="G229" s="324"/>
      <c r="N229" s="329"/>
      <c r="P229" s="329"/>
      <c r="R229" s="329"/>
      <c r="T229" s="329"/>
      <c r="V229" s="329"/>
      <c r="X229" s="329"/>
      <c r="Z229" s="329"/>
      <c r="AB229" s="329"/>
      <c r="AD229" s="329"/>
      <c r="AF229" s="329"/>
      <c r="AH229" s="329"/>
      <c r="AJ229" s="329"/>
      <c r="AL229" s="329"/>
      <c r="AN229" s="329"/>
      <c r="AP229" s="329"/>
      <c r="AR229" s="329"/>
      <c r="AT229" s="329"/>
      <c r="AV229" s="329"/>
      <c r="AX229" s="329"/>
      <c r="AZ229" s="329"/>
      <c r="BB229" s="329"/>
      <c r="BD229" s="329"/>
      <c r="BF229" s="329"/>
      <c r="BH229" s="329"/>
      <c r="BJ229" s="329"/>
      <c r="BL229" s="329"/>
      <c r="BN229" s="329"/>
    </row>
    <row r="230" spans="1:66">
      <c r="A230" s="531">
        <v>1</v>
      </c>
      <c r="B230" s="329" t="s">
        <v>1454</v>
      </c>
      <c r="D230" s="393" t="s">
        <v>2723</v>
      </c>
      <c r="E230" s="586"/>
      <c r="F230" s="88">
        <v>1</v>
      </c>
      <c r="G230" s="319">
        <f>IF(F230=1,2,1)</f>
        <v>2</v>
      </c>
      <c r="N230" s="329"/>
      <c r="P230" s="329"/>
      <c r="R230" s="329"/>
      <c r="T230" s="329"/>
      <c r="V230" s="329"/>
      <c r="X230" s="329"/>
      <c r="Z230" s="329"/>
      <c r="AB230" s="329"/>
      <c r="AD230" s="329"/>
      <c r="AF230" s="329"/>
      <c r="AH230" s="329"/>
      <c r="AJ230" s="329"/>
      <c r="AL230" s="329"/>
      <c r="AN230" s="329"/>
      <c r="AP230" s="329"/>
      <c r="AR230" s="329"/>
      <c r="AT230" s="329"/>
      <c r="AV230" s="329"/>
      <c r="AX230" s="329"/>
      <c r="AZ230" s="329"/>
      <c r="BB230" s="329"/>
      <c r="BD230" s="329"/>
      <c r="BF230" s="329"/>
      <c r="BH230" s="329"/>
      <c r="BJ230" s="329"/>
      <c r="BL230" s="329"/>
      <c r="BN230" s="329"/>
    </row>
    <row r="231" spans="1:66">
      <c r="A231" s="531">
        <v>1</v>
      </c>
      <c r="B231" s="329" t="s">
        <v>1454</v>
      </c>
      <c r="D231" s="393" t="s">
        <v>2724</v>
      </c>
      <c r="E231" s="586"/>
      <c r="F231" s="88">
        <v>1</v>
      </c>
      <c r="G231" s="319">
        <f>IF(F231=1,2,1)</f>
        <v>2</v>
      </c>
      <c r="N231" s="329"/>
      <c r="P231" s="329"/>
      <c r="R231" s="329"/>
      <c r="T231" s="329"/>
      <c r="V231" s="329"/>
      <c r="X231" s="329"/>
      <c r="Z231" s="329"/>
      <c r="AB231" s="329"/>
      <c r="AD231" s="329"/>
      <c r="AF231" s="329"/>
      <c r="AH231" s="329"/>
      <c r="AJ231" s="329"/>
      <c r="AL231" s="329"/>
      <c r="AN231" s="329"/>
      <c r="AP231" s="329"/>
      <c r="AR231" s="329"/>
      <c r="AT231" s="329"/>
      <c r="AV231" s="329"/>
      <c r="AX231" s="329"/>
      <c r="AZ231" s="329"/>
      <c r="BB231" s="329"/>
      <c r="BD231" s="329"/>
      <c r="BF231" s="329"/>
      <c r="BH231" s="329"/>
      <c r="BJ231" s="329"/>
      <c r="BL231" s="329"/>
      <c r="BN231" s="329"/>
    </row>
    <row r="232" spans="1:66">
      <c r="B232" s="329" t="s">
        <v>1454</v>
      </c>
      <c r="D232" s="389" t="s">
        <v>750</v>
      </c>
      <c r="E232" s="587"/>
      <c r="F232" s="208"/>
      <c r="G232" s="324"/>
      <c r="N232" s="329"/>
      <c r="P232" s="329"/>
      <c r="R232" s="329"/>
      <c r="T232" s="329"/>
      <c r="V232" s="329"/>
      <c r="X232" s="329"/>
      <c r="Z232" s="329"/>
      <c r="AB232" s="329"/>
      <c r="AD232" s="329"/>
      <c r="AF232" s="329"/>
      <c r="AH232" s="329"/>
      <c r="AJ232" s="329"/>
      <c r="AL232" s="329"/>
      <c r="AN232" s="329"/>
      <c r="AP232" s="329"/>
      <c r="AR232" s="329"/>
      <c r="AT232" s="329"/>
      <c r="AV232" s="329"/>
      <c r="AX232" s="329"/>
      <c r="AZ232" s="329"/>
      <c r="BB232" s="329"/>
      <c r="BD232" s="329"/>
      <c r="BF232" s="329"/>
      <c r="BH232" s="329"/>
      <c r="BJ232" s="329"/>
      <c r="BL232" s="329"/>
      <c r="BN232" s="329"/>
    </row>
    <row r="233" spans="1:66">
      <c r="B233" s="329" t="s">
        <v>1454</v>
      </c>
      <c r="D233" s="210" t="s">
        <v>2749</v>
      </c>
      <c r="E233" s="596" t="s">
        <v>1729</v>
      </c>
      <c r="F233" s="76">
        <v>0</v>
      </c>
      <c r="G233" s="759">
        <f>IF(F233=1,1.5,0)</f>
        <v>0</v>
      </c>
      <c r="N233" s="329"/>
      <c r="P233" s="329"/>
      <c r="R233" s="329"/>
      <c r="T233" s="329"/>
      <c r="V233" s="329"/>
      <c r="X233" s="329"/>
      <c r="Z233" s="329"/>
      <c r="AB233" s="329"/>
      <c r="AD233" s="329"/>
      <c r="AF233" s="329"/>
      <c r="AH233" s="329"/>
      <c r="AJ233" s="329"/>
      <c r="AL233" s="329"/>
      <c r="AN233" s="329"/>
      <c r="AP233" s="329"/>
      <c r="AR233" s="329"/>
      <c r="AT233" s="329"/>
      <c r="AV233" s="329"/>
      <c r="AX233" s="329"/>
      <c r="AZ233" s="329"/>
      <c r="BB233" s="329"/>
      <c r="BD233" s="329"/>
      <c r="BF233" s="329"/>
      <c r="BH233" s="329"/>
      <c r="BJ233" s="329"/>
      <c r="BL233" s="329"/>
      <c r="BN233" s="329"/>
    </row>
    <row r="234" spans="1:66">
      <c r="B234" s="329" t="s">
        <v>1454</v>
      </c>
      <c r="D234" s="210" t="s">
        <v>2570</v>
      </c>
      <c r="E234" s="596" t="s">
        <v>1730</v>
      </c>
      <c r="F234" s="76">
        <v>0</v>
      </c>
      <c r="G234" s="759">
        <f>IF(F234=1,1.5,0)</f>
        <v>0</v>
      </c>
      <c r="N234" s="329"/>
      <c r="P234" s="329"/>
      <c r="R234" s="329"/>
      <c r="T234" s="329"/>
      <c r="V234" s="329"/>
      <c r="X234" s="329"/>
      <c r="Z234" s="329"/>
      <c r="AB234" s="329"/>
      <c r="AD234" s="329"/>
      <c r="AF234" s="329"/>
      <c r="AH234" s="329"/>
      <c r="AJ234" s="329"/>
      <c r="AL234" s="329"/>
      <c r="AN234" s="329"/>
      <c r="AP234" s="329"/>
      <c r="AR234" s="329"/>
      <c r="AT234" s="329"/>
      <c r="AV234" s="329"/>
      <c r="AX234" s="329"/>
      <c r="AZ234" s="329"/>
      <c r="BB234" s="329"/>
      <c r="BD234" s="329"/>
      <c r="BF234" s="329"/>
      <c r="BH234" s="329"/>
      <c r="BJ234" s="329"/>
      <c r="BL234" s="329"/>
      <c r="BN234" s="329"/>
    </row>
    <row r="235" spans="1:66">
      <c r="B235" s="329" t="s">
        <v>1454</v>
      </c>
      <c r="D235" s="210" t="s">
        <v>2571</v>
      </c>
      <c r="E235" s="596" t="s">
        <v>1731</v>
      </c>
      <c r="F235" s="76">
        <v>0</v>
      </c>
      <c r="G235" s="759">
        <f>IF(F235=1,1.5,0)</f>
        <v>0</v>
      </c>
      <c r="I235" s="329" t="s">
        <v>2748</v>
      </c>
      <c r="J235" s="329">
        <f>MAX(G233:G236)</f>
        <v>1.5</v>
      </c>
      <c r="N235" s="329"/>
      <c r="P235" s="329"/>
      <c r="R235" s="329"/>
      <c r="T235" s="329"/>
      <c r="V235" s="329"/>
      <c r="X235" s="329"/>
      <c r="Z235" s="329"/>
      <c r="AB235" s="329"/>
      <c r="AD235" s="329"/>
      <c r="AF235" s="329"/>
      <c r="AH235" s="329"/>
      <c r="AJ235" s="329"/>
      <c r="AL235" s="329"/>
      <c r="AN235" s="329"/>
      <c r="AP235" s="329"/>
      <c r="AR235" s="329"/>
      <c r="AT235" s="329"/>
      <c r="AV235" s="329"/>
      <c r="AX235" s="329"/>
      <c r="AZ235" s="329"/>
      <c r="BB235" s="329"/>
      <c r="BD235" s="329"/>
      <c r="BF235" s="329"/>
      <c r="BH235" s="329"/>
      <c r="BJ235" s="329"/>
      <c r="BL235" s="329"/>
      <c r="BN235" s="329"/>
    </row>
    <row r="236" spans="1:66">
      <c r="D236" s="679" t="s">
        <v>2572</v>
      </c>
      <c r="F236" s="76">
        <v>1</v>
      </c>
      <c r="G236" s="759">
        <f>IF(F236=1,1.5,0)</f>
        <v>1.5</v>
      </c>
      <c r="H236" s="329">
        <f>IF(G236=1,1.5,1)</f>
        <v>1</v>
      </c>
      <c r="N236" s="329"/>
      <c r="P236" s="329"/>
      <c r="R236" s="329"/>
      <c r="T236" s="329"/>
      <c r="V236" s="329"/>
      <c r="X236" s="329"/>
      <c r="Z236" s="329"/>
      <c r="AB236" s="329"/>
      <c r="AD236" s="329"/>
      <c r="AF236" s="329"/>
      <c r="AH236" s="329"/>
      <c r="AJ236" s="329"/>
      <c r="AL236" s="329"/>
      <c r="AN236" s="329"/>
      <c r="AP236" s="329"/>
      <c r="AR236" s="329"/>
      <c r="AT236" s="329"/>
      <c r="AV236" s="329"/>
      <c r="AX236" s="329"/>
      <c r="AZ236" s="329"/>
      <c r="BB236" s="329"/>
      <c r="BD236" s="329"/>
      <c r="BF236" s="329"/>
      <c r="BH236" s="329"/>
      <c r="BJ236" s="329"/>
      <c r="BL236" s="329"/>
      <c r="BN236" s="329"/>
    </row>
    <row r="237" spans="1:66" ht="37.5">
      <c r="B237" s="329" t="s">
        <v>1454</v>
      </c>
      <c r="D237" s="390" t="s">
        <v>2391</v>
      </c>
      <c r="E237" s="596" t="s">
        <v>1732</v>
      </c>
      <c r="F237" s="324">
        <v>3</v>
      </c>
      <c r="G237" s="324"/>
      <c r="N237" s="329"/>
      <c r="P237" s="329"/>
      <c r="R237" s="329"/>
      <c r="T237" s="329"/>
      <c r="V237" s="329"/>
      <c r="X237" s="329"/>
      <c r="Z237" s="329"/>
      <c r="AB237" s="329"/>
      <c r="AD237" s="329"/>
      <c r="AF237" s="329"/>
      <c r="AH237" s="329"/>
      <c r="AJ237" s="329"/>
      <c r="AL237" s="329"/>
      <c r="AN237" s="329"/>
      <c r="AP237" s="329"/>
      <c r="AR237" s="329"/>
      <c r="AT237" s="329"/>
      <c r="AV237" s="329"/>
      <c r="AX237" s="329"/>
      <c r="AZ237" s="329"/>
      <c r="BB237" s="329"/>
      <c r="BD237" s="329"/>
      <c r="BF237" s="329"/>
      <c r="BH237" s="329"/>
      <c r="BJ237" s="329"/>
      <c r="BL237" s="329"/>
      <c r="BN237" s="329"/>
    </row>
    <row r="238" spans="1:66">
      <c r="B238" s="329" t="s">
        <v>1454</v>
      </c>
      <c r="C238" s="447" t="s">
        <v>2353</v>
      </c>
      <c r="D238" s="394" t="s">
        <v>756</v>
      </c>
      <c r="E238" s="597"/>
      <c r="G238" s="324"/>
      <c r="N238" s="329"/>
      <c r="P238" s="329"/>
      <c r="R238" s="329"/>
      <c r="T238" s="329"/>
      <c r="V238" s="329"/>
      <c r="X238" s="329"/>
      <c r="Z238" s="329"/>
      <c r="AB238" s="329"/>
      <c r="AD238" s="329"/>
      <c r="AF238" s="329"/>
      <c r="AH238" s="329"/>
      <c r="AJ238" s="329"/>
      <c r="AL238" s="329"/>
      <c r="AN238" s="329"/>
      <c r="AP238" s="329"/>
      <c r="AR238" s="329"/>
      <c r="AT238" s="329"/>
      <c r="AV238" s="329"/>
      <c r="AX238" s="329"/>
      <c r="AZ238" s="329"/>
      <c r="BB238" s="329"/>
      <c r="BD238" s="329"/>
      <c r="BF238" s="329"/>
      <c r="BH238" s="329"/>
      <c r="BJ238" s="329"/>
      <c r="BL238" s="329"/>
      <c r="BN238" s="329"/>
    </row>
    <row r="239" spans="1:66">
      <c r="B239" s="329" t="s">
        <v>1454</v>
      </c>
      <c r="C239" s="447" t="s">
        <v>2353</v>
      </c>
      <c r="D239" s="390" t="s">
        <v>755</v>
      </c>
      <c r="G239" s="324"/>
      <c r="N239" s="329"/>
      <c r="P239" s="329"/>
      <c r="R239" s="329"/>
      <c r="T239" s="329"/>
      <c r="V239" s="329"/>
      <c r="X239" s="329"/>
      <c r="Z239" s="329"/>
      <c r="AB239" s="329"/>
      <c r="AD239" s="329"/>
      <c r="AF239" s="329"/>
      <c r="AH239" s="329"/>
      <c r="AJ239" s="329"/>
      <c r="AL239" s="329"/>
      <c r="AN239" s="329"/>
      <c r="AP239" s="329"/>
      <c r="AR239" s="329"/>
      <c r="AT239" s="329"/>
      <c r="AV239" s="329"/>
      <c r="AX239" s="329"/>
      <c r="AZ239" s="329"/>
      <c r="BB239" s="329"/>
      <c r="BD239" s="329"/>
      <c r="BF239" s="329"/>
      <c r="BH239" s="329"/>
      <c r="BJ239" s="329"/>
      <c r="BL239" s="329"/>
      <c r="BN239" s="329"/>
    </row>
    <row r="240" spans="1:66">
      <c r="B240" s="329" t="s">
        <v>1454</v>
      </c>
      <c r="C240" s="447" t="s">
        <v>2353</v>
      </c>
      <c r="D240" s="394" t="s">
        <v>757</v>
      </c>
      <c r="E240" s="588"/>
      <c r="G240" s="324"/>
      <c r="N240" s="329"/>
      <c r="P240" s="329"/>
      <c r="R240" s="329"/>
      <c r="T240" s="329"/>
      <c r="V240" s="329"/>
      <c r="X240" s="329"/>
      <c r="Z240" s="329"/>
      <c r="AB240" s="329"/>
      <c r="AD240" s="329"/>
      <c r="AF240" s="329"/>
      <c r="AH240" s="329"/>
      <c r="AJ240" s="329"/>
      <c r="AL240" s="329"/>
      <c r="AN240" s="329"/>
      <c r="AP240" s="329"/>
      <c r="AR240" s="329"/>
      <c r="AT240" s="329"/>
      <c r="AV240" s="329"/>
      <c r="AX240" s="329"/>
      <c r="AZ240" s="329"/>
      <c r="BB240" s="329"/>
      <c r="BD240" s="329"/>
      <c r="BF240" s="329"/>
      <c r="BH240" s="329"/>
      <c r="BJ240" s="329"/>
      <c r="BL240" s="329"/>
      <c r="BN240" s="329"/>
    </row>
    <row r="241" spans="1:66">
      <c r="B241" s="329" t="s">
        <v>1454</v>
      </c>
      <c r="C241" s="447" t="s">
        <v>2253</v>
      </c>
      <c r="D241" s="116" t="s">
        <v>1644</v>
      </c>
      <c r="E241" s="448" t="s">
        <v>1728</v>
      </c>
      <c r="N241" s="329"/>
      <c r="P241" s="329"/>
      <c r="R241" s="329"/>
      <c r="T241" s="329"/>
      <c r="V241" s="329"/>
      <c r="X241" s="329"/>
      <c r="Z241" s="329"/>
      <c r="AB241" s="329"/>
      <c r="AD241" s="329"/>
      <c r="AF241" s="329"/>
      <c r="AH241" s="329"/>
      <c r="AJ241" s="329"/>
      <c r="AL241" s="329"/>
      <c r="AN241" s="329"/>
      <c r="AP241" s="329"/>
      <c r="AR241" s="329"/>
      <c r="AT241" s="329"/>
      <c r="AV241" s="329"/>
      <c r="AX241" s="329"/>
      <c r="AZ241" s="329"/>
      <c r="BB241" s="329"/>
      <c r="BD241" s="329"/>
      <c r="BF241" s="329"/>
      <c r="BH241" s="329"/>
      <c r="BJ241" s="329"/>
      <c r="BL241" s="329"/>
      <c r="BN241" s="329"/>
    </row>
    <row r="242" spans="1:66">
      <c r="B242" s="329" t="s">
        <v>1454</v>
      </c>
      <c r="C242" s="447" t="s">
        <v>2282</v>
      </c>
      <c r="D242" s="116" t="s">
        <v>2573</v>
      </c>
      <c r="F242" s="76">
        <v>0</v>
      </c>
      <c r="G242" s="333">
        <f t="shared" ref="G242:G248" si="52">IF(F242=1,1,0)</f>
        <v>0</v>
      </c>
      <c r="H242" s="331">
        <f t="shared" ref="H242:H244" si="53">IF(G242=1,1.2,0.8)</f>
        <v>0.8</v>
      </c>
      <c r="I242" s="351" t="s">
        <v>1724</v>
      </c>
      <c r="J242" s="329">
        <f>MAX(H242:H246)</f>
        <v>1.2</v>
      </c>
      <c r="N242" s="329"/>
      <c r="P242" s="329"/>
      <c r="R242" s="329"/>
      <c r="T242" s="329"/>
      <c r="V242" s="329"/>
      <c r="X242" s="329"/>
      <c r="Z242" s="329"/>
      <c r="AB242" s="329"/>
      <c r="AD242" s="329"/>
      <c r="AF242" s="329"/>
      <c r="AH242" s="329"/>
      <c r="AJ242" s="329"/>
      <c r="AL242" s="329"/>
      <c r="AN242" s="329"/>
      <c r="AP242" s="329"/>
      <c r="AR242" s="329"/>
      <c r="AT242" s="329"/>
      <c r="AV242" s="329"/>
      <c r="AX242" s="329"/>
      <c r="AZ242" s="329"/>
      <c r="BB242" s="329"/>
      <c r="BD242" s="329"/>
      <c r="BF242" s="329"/>
      <c r="BH242" s="329"/>
      <c r="BJ242" s="329"/>
      <c r="BL242" s="329"/>
      <c r="BN242" s="329"/>
    </row>
    <row r="243" spans="1:66">
      <c r="B243" s="329" t="s">
        <v>1454</v>
      </c>
      <c r="C243" s="447" t="s">
        <v>2282</v>
      </c>
      <c r="D243" s="116" t="s">
        <v>2574</v>
      </c>
      <c r="F243" s="76">
        <v>0</v>
      </c>
      <c r="G243" s="333">
        <f t="shared" si="52"/>
        <v>0</v>
      </c>
      <c r="H243" s="331">
        <f t="shared" si="53"/>
        <v>0.8</v>
      </c>
      <c r="N243" s="329"/>
      <c r="P243" s="329"/>
      <c r="R243" s="329"/>
      <c r="T243" s="329"/>
      <c r="V243" s="329"/>
      <c r="X243" s="329"/>
      <c r="Z243" s="329"/>
      <c r="AB243" s="329"/>
      <c r="AD243" s="329"/>
      <c r="AF243" s="329"/>
      <c r="AH243" s="329"/>
      <c r="AJ243" s="329"/>
      <c r="AL243" s="329"/>
      <c r="AN243" s="329"/>
      <c r="AP243" s="329"/>
      <c r="AR243" s="329"/>
      <c r="AT243" s="329"/>
      <c r="AV243" s="329"/>
      <c r="AX243" s="329"/>
      <c r="AZ243" s="329"/>
      <c r="BB243" s="329"/>
      <c r="BD243" s="329"/>
      <c r="BF243" s="329"/>
      <c r="BH243" s="329"/>
      <c r="BJ243" s="329"/>
      <c r="BL243" s="329"/>
      <c r="BN243" s="329"/>
    </row>
    <row r="244" spans="1:66" ht="36.75">
      <c r="B244" s="329" t="s">
        <v>1454</v>
      </c>
      <c r="C244" s="447" t="s">
        <v>2282</v>
      </c>
      <c r="D244" s="116" t="s">
        <v>2575</v>
      </c>
      <c r="F244" s="76">
        <v>0</v>
      </c>
      <c r="G244" s="333">
        <f t="shared" si="52"/>
        <v>0</v>
      </c>
      <c r="H244" s="331">
        <f t="shared" si="53"/>
        <v>0.8</v>
      </c>
      <c r="N244" s="329"/>
      <c r="P244" s="329"/>
      <c r="R244" s="329"/>
      <c r="T244" s="329"/>
      <c r="V244" s="329"/>
      <c r="X244" s="329"/>
      <c r="Z244" s="329"/>
      <c r="AB244" s="329"/>
      <c r="AD244" s="329"/>
      <c r="AF244" s="329"/>
      <c r="AH244" s="329"/>
      <c r="AJ244" s="329"/>
      <c r="AL244" s="329"/>
      <c r="AN244" s="329"/>
      <c r="AP244" s="329"/>
      <c r="AR244" s="329"/>
      <c r="AT244" s="329"/>
      <c r="AV244" s="329"/>
      <c r="AX244" s="329"/>
      <c r="AZ244" s="329"/>
      <c r="BB244" s="329"/>
      <c r="BD244" s="329"/>
      <c r="BF244" s="329"/>
      <c r="BH244" s="329"/>
      <c r="BJ244" s="329"/>
      <c r="BL244" s="329"/>
      <c r="BN244" s="329"/>
    </row>
    <row r="245" spans="1:66">
      <c r="B245" s="329" t="s">
        <v>1454</v>
      </c>
      <c r="C245" s="447" t="s">
        <v>2282</v>
      </c>
      <c r="D245" s="116" t="s">
        <v>2576</v>
      </c>
      <c r="F245" s="76">
        <v>1</v>
      </c>
      <c r="G245" s="333">
        <f t="shared" si="52"/>
        <v>1</v>
      </c>
      <c r="H245" s="331">
        <f t="shared" ref="H245" si="54">IF(G245=1,1.2,0.8)</f>
        <v>1.2</v>
      </c>
      <c r="I245" s="764">
        <f>IF(F245=1,2.5,1)</f>
        <v>2.5</v>
      </c>
      <c r="N245" s="329"/>
      <c r="P245" s="329"/>
      <c r="R245" s="329"/>
      <c r="T245" s="329"/>
      <c r="V245" s="329"/>
      <c r="X245" s="329"/>
      <c r="Z245" s="329"/>
      <c r="AB245" s="329"/>
      <c r="AD245" s="329"/>
      <c r="AF245" s="329"/>
      <c r="AH245" s="329"/>
      <c r="AJ245" s="329"/>
      <c r="AL245" s="329"/>
      <c r="AN245" s="329"/>
      <c r="AP245" s="329"/>
      <c r="AR245" s="329"/>
      <c r="AT245" s="329"/>
      <c r="AV245" s="329"/>
      <c r="AX245" s="329"/>
      <c r="AZ245" s="329"/>
      <c r="BB245" s="329"/>
      <c r="BD245" s="329"/>
      <c r="BF245" s="329"/>
      <c r="BH245" s="329"/>
      <c r="BJ245" s="329"/>
      <c r="BL245" s="329"/>
      <c r="BN245" s="329"/>
    </row>
    <row r="246" spans="1:66">
      <c r="B246" s="329" t="s">
        <v>1454</v>
      </c>
      <c r="D246" s="537" t="s">
        <v>2577</v>
      </c>
      <c r="F246" s="76">
        <v>0</v>
      </c>
      <c r="G246" s="333">
        <f t="shared" si="52"/>
        <v>0</v>
      </c>
      <c r="H246" s="331">
        <f t="shared" ref="H246" si="55">IF(G246=1,1.2,0.8)</f>
        <v>0.8</v>
      </c>
      <c r="N246" s="329"/>
      <c r="P246" s="329"/>
      <c r="R246" s="329"/>
      <c r="T246" s="329"/>
      <c r="V246" s="329"/>
      <c r="X246" s="329"/>
      <c r="Z246" s="329"/>
      <c r="AB246" s="329"/>
      <c r="AD246" s="329"/>
      <c r="AF246" s="329"/>
      <c r="AH246" s="329"/>
      <c r="AJ246" s="329"/>
      <c r="AL246" s="329"/>
      <c r="AN246" s="329"/>
      <c r="AP246" s="329"/>
      <c r="AR246" s="329"/>
      <c r="AT246" s="329"/>
      <c r="AV246" s="329"/>
      <c r="AX246" s="329"/>
      <c r="AZ246" s="329"/>
      <c r="BB246" s="329"/>
      <c r="BD246" s="329"/>
      <c r="BF246" s="329"/>
      <c r="BH246" s="329"/>
      <c r="BJ246" s="329"/>
      <c r="BL246" s="329"/>
      <c r="BN246" s="329"/>
    </row>
    <row r="247" spans="1:66">
      <c r="B247" s="329" t="s">
        <v>1454</v>
      </c>
      <c r="C247" s="447" t="s">
        <v>2283</v>
      </c>
      <c r="D247" s="537" t="s">
        <v>2578</v>
      </c>
      <c r="F247" s="76">
        <v>0</v>
      </c>
      <c r="G247" s="333">
        <f t="shared" si="52"/>
        <v>0</v>
      </c>
      <c r="H247" s="331">
        <f t="shared" ref="H247:H248" si="56">IF(G247=1,1.2,0.8)</f>
        <v>0.8</v>
      </c>
      <c r="N247" s="329"/>
      <c r="P247" s="329"/>
      <c r="R247" s="329"/>
      <c r="T247" s="329"/>
      <c r="V247" s="329"/>
      <c r="X247" s="329"/>
      <c r="Z247" s="329"/>
      <c r="AB247" s="329"/>
      <c r="AD247" s="329"/>
      <c r="AF247" s="329"/>
      <c r="AH247" s="329"/>
      <c r="AJ247" s="329"/>
      <c r="AL247" s="329"/>
      <c r="AN247" s="329"/>
      <c r="AP247" s="329"/>
      <c r="AR247" s="329"/>
      <c r="AT247" s="329"/>
      <c r="AV247" s="329"/>
      <c r="AX247" s="329"/>
      <c r="AZ247" s="329"/>
      <c r="BB247" s="329"/>
      <c r="BD247" s="329"/>
      <c r="BF247" s="329"/>
      <c r="BH247" s="329"/>
      <c r="BJ247" s="329"/>
      <c r="BL247" s="329"/>
      <c r="BN247" s="329"/>
    </row>
    <row r="248" spans="1:66">
      <c r="B248" s="329" t="s">
        <v>1454</v>
      </c>
      <c r="C248" s="447" t="s">
        <v>2283</v>
      </c>
      <c r="D248" s="537" t="s">
        <v>2579</v>
      </c>
      <c r="F248" s="76">
        <v>0</v>
      </c>
      <c r="G248" s="333">
        <f t="shared" si="52"/>
        <v>0</v>
      </c>
      <c r="H248" s="331">
        <f t="shared" si="56"/>
        <v>0.8</v>
      </c>
      <c r="N248" s="329"/>
      <c r="P248" s="329"/>
      <c r="R248" s="329"/>
      <c r="T248" s="329"/>
      <c r="V248" s="329"/>
      <c r="X248" s="329"/>
      <c r="Z248" s="329"/>
      <c r="AB248" s="329"/>
      <c r="AD248" s="329"/>
      <c r="AF248" s="329"/>
      <c r="AH248" s="329"/>
      <c r="AJ248" s="329"/>
      <c r="AL248" s="329"/>
      <c r="AN248" s="329"/>
      <c r="AP248" s="329"/>
      <c r="AR248" s="329"/>
      <c r="AT248" s="329"/>
      <c r="AV248" s="329"/>
      <c r="AX248" s="329"/>
      <c r="AZ248" s="329"/>
      <c r="BB248" s="329"/>
      <c r="BD248" s="329"/>
      <c r="BF248" s="329"/>
      <c r="BH248" s="329"/>
      <c r="BJ248" s="329"/>
      <c r="BL248" s="329"/>
      <c r="BN248" s="329"/>
    </row>
    <row r="249" spans="1:66">
      <c r="A249" s="531">
        <v>1</v>
      </c>
      <c r="B249" s="342" t="s">
        <v>1046</v>
      </c>
      <c r="C249" s="447" t="s">
        <v>2262</v>
      </c>
      <c r="D249" s="542" t="s">
        <v>2580</v>
      </c>
      <c r="E249" s="880"/>
      <c r="F249" s="881">
        <v>6</v>
      </c>
      <c r="G249" s="678" t="s">
        <v>1720</v>
      </c>
      <c r="H249" s="329">
        <f>(F249/20)*F250</f>
        <v>0.3</v>
      </c>
      <c r="N249" s="329"/>
      <c r="P249" s="329"/>
      <c r="R249" s="329"/>
      <c r="T249" s="329"/>
      <c r="V249" s="329"/>
      <c r="X249" s="329"/>
      <c r="Z249" s="329"/>
      <c r="AB249" s="329"/>
      <c r="AD249" s="329"/>
      <c r="AF249" s="329"/>
      <c r="AH249" s="329"/>
      <c r="AJ249" s="329"/>
      <c r="AL249" s="329"/>
      <c r="AN249" s="329"/>
      <c r="AP249" s="329"/>
      <c r="AR249" s="329"/>
      <c r="AT249" s="329"/>
      <c r="AV249" s="329"/>
      <c r="AX249" s="329"/>
      <c r="AZ249" s="329"/>
      <c r="BB249" s="329"/>
      <c r="BD249" s="329"/>
      <c r="BF249" s="329"/>
      <c r="BH249" s="329"/>
      <c r="BJ249" s="329"/>
      <c r="BL249" s="329"/>
      <c r="BN249" s="329"/>
    </row>
    <row r="250" spans="1:66">
      <c r="A250" s="531">
        <v>1</v>
      </c>
      <c r="B250" s="342" t="s">
        <v>1046</v>
      </c>
      <c r="C250" s="447" t="s">
        <v>2262</v>
      </c>
      <c r="D250" s="542" t="s">
        <v>2672</v>
      </c>
      <c r="E250" s="880"/>
      <c r="F250" s="881">
        <v>1</v>
      </c>
      <c r="G250" s="324" t="s">
        <v>2351</v>
      </c>
      <c r="H250" s="531" t="s">
        <v>2751</v>
      </c>
      <c r="I250" s="531">
        <f>IF(F249&gt;5,1,0)</f>
        <v>1</v>
      </c>
      <c r="N250" s="329"/>
      <c r="P250" s="329"/>
      <c r="R250" s="329"/>
      <c r="T250" s="329"/>
      <c r="V250" s="329"/>
      <c r="X250" s="329"/>
      <c r="Z250" s="329"/>
      <c r="AB250" s="329"/>
      <c r="AD250" s="329"/>
      <c r="AF250" s="329"/>
      <c r="AH250" s="329"/>
      <c r="AJ250" s="329"/>
      <c r="AL250" s="329"/>
      <c r="AN250" s="329"/>
      <c r="AP250" s="329"/>
      <c r="AR250" s="329"/>
      <c r="AT250" s="329"/>
      <c r="AV250" s="329"/>
      <c r="AX250" s="329"/>
      <c r="AZ250" s="329"/>
      <c r="BB250" s="329"/>
      <c r="BD250" s="329"/>
      <c r="BF250" s="329"/>
      <c r="BH250" s="329"/>
      <c r="BJ250" s="329"/>
      <c r="BL250" s="329"/>
      <c r="BN250" s="329"/>
    </row>
    <row r="251" spans="1:66" ht="37.5">
      <c r="A251" s="531">
        <v>1</v>
      </c>
      <c r="B251" s="342" t="s">
        <v>1046</v>
      </c>
      <c r="D251" s="542" t="s">
        <v>2581</v>
      </c>
      <c r="F251" s="555">
        <v>0</v>
      </c>
      <c r="N251" s="329"/>
      <c r="P251" s="329"/>
      <c r="R251" s="329"/>
      <c r="T251" s="329"/>
      <c r="V251" s="329"/>
      <c r="X251" s="329"/>
      <c r="Z251" s="329"/>
      <c r="AB251" s="329"/>
      <c r="AD251" s="329"/>
      <c r="AF251" s="329"/>
      <c r="AH251" s="329"/>
      <c r="AJ251" s="329"/>
      <c r="AL251" s="329"/>
      <c r="AN251" s="329"/>
      <c r="AP251" s="329"/>
      <c r="AR251" s="329"/>
      <c r="AT251" s="329"/>
      <c r="AV251" s="329"/>
      <c r="AX251" s="329"/>
      <c r="AZ251" s="329"/>
      <c r="BB251" s="329"/>
      <c r="BD251" s="329"/>
      <c r="BF251" s="329"/>
      <c r="BH251" s="329"/>
      <c r="BJ251" s="329"/>
      <c r="BL251" s="329"/>
      <c r="BN251" s="329"/>
    </row>
    <row r="252" spans="1:66">
      <c r="N252" s="329"/>
      <c r="P252" s="329"/>
      <c r="R252" s="329"/>
      <c r="T252" s="329"/>
      <c r="V252" s="329"/>
      <c r="X252" s="329"/>
      <c r="Z252" s="329"/>
      <c r="AB252" s="329"/>
      <c r="AD252" s="329"/>
      <c r="AF252" s="329"/>
      <c r="AH252" s="329"/>
      <c r="AJ252" s="329"/>
      <c r="AL252" s="329"/>
      <c r="AN252" s="329"/>
      <c r="AP252" s="329"/>
      <c r="AR252" s="329"/>
      <c r="AT252" s="329"/>
      <c r="AV252" s="329"/>
      <c r="AX252" s="329"/>
      <c r="AZ252" s="329"/>
      <c r="BB252" s="329"/>
      <c r="BD252" s="329"/>
      <c r="BF252" s="329"/>
      <c r="BH252" s="329"/>
      <c r="BJ252" s="329"/>
      <c r="BL252" s="329"/>
      <c r="BN252" s="329"/>
    </row>
    <row r="253" spans="1:66">
      <c r="N253" s="329"/>
      <c r="P253" s="329"/>
      <c r="R253" s="329"/>
      <c r="T253" s="329"/>
      <c r="V253" s="329"/>
      <c r="X253" s="329"/>
      <c r="Z253" s="329"/>
      <c r="AB253" s="329"/>
      <c r="AD253" s="329"/>
      <c r="AF253" s="329"/>
      <c r="AH253" s="329"/>
      <c r="AJ253" s="329"/>
      <c r="AL253" s="329"/>
      <c r="AN253" s="329"/>
      <c r="AP253" s="329"/>
      <c r="AR253" s="329"/>
      <c r="AT253" s="329"/>
      <c r="AV253" s="329"/>
      <c r="AX253" s="329"/>
      <c r="AZ253" s="329"/>
      <c r="BB253" s="329"/>
      <c r="BD253" s="329"/>
      <c r="BF253" s="329"/>
      <c r="BH253" s="329"/>
      <c r="BJ253" s="329"/>
      <c r="BL253" s="329"/>
      <c r="BN253" s="329"/>
    </row>
    <row r="254" spans="1:66">
      <c r="B254" s="329" t="s">
        <v>1683</v>
      </c>
      <c r="D254" s="545" t="s">
        <v>2582</v>
      </c>
      <c r="F254" s="555">
        <v>0</v>
      </c>
      <c r="G254" s="333">
        <f>F254</f>
        <v>0</v>
      </c>
      <c r="N254" s="329"/>
      <c r="P254" s="329"/>
      <c r="R254" s="329"/>
      <c r="T254" s="329"/>
      <c r="V254" s="329"/>
      <c r="X254" s="329"/>
      <c r="Z254" s="329"/>
      <c r="AB254" s="329"/>
      <c r="AD254" s="329"/>
      <c r="AF254" s="329"/>
      <c r="AH254" s="329"/>
      <c r="AJ254" s="329"/>
      <c r="AL254" s="329"/>
      <c r="AN254" s="329"/>
      <c r="AP254" s="329"/>
      <c r="AR254" s="329"/>
      <c r="AT254" s="329"/>
      <c r="AV254" s="329"/>
      <c r="AX254" s="329"/>
      <c r="AZ254" s="329"/>
      <c r="BB254" s="329"/>
      <c r="BD254" s="329"/>
      <c r="BF254" s="329"/>
      <c r="BH254" s="329"/>
      <c r="BJ254" s="329"/>
      <c r="BL254" s="329"/>
      <c r="BN254" s="329"/>
    </row>
    <row r="255" spans="1:66">
      <c r="B255" s="329" t="s">
        <v>1683</v>
      </c>
      <c r="C255" s="447" t="s">
        <v>2271</v>
      </c>
      <c r="D255" s="545" t="s">
        <v>2583</v>
      </c>
      <c r="F255" s="324">
        <v>0</v>
      </c>
      <c r="N255" s="329"/>
      <c r="P255" s="329"/>
      <c r="R255" s="329"/>
      <c r="T255" s="329"/>
      <c r="V255" s="329"/>
      <c r="X255" s="329"/>
      <c r="Z255" s="329"/>
      <c r="AB255" s="329"/>
      <c r="AD255" s="329"/>
      <c r="AF255" s="329"/>
      <c r="AH255" s="329"/>
      <c r="AJ255" s="329"/>
      <c r="AL255" s="329"/>
      <c r="AN255" s="329"/>
      <c r="AP255" s="329"/>
      <c r="AR255" s="329"/>
      <c r="AT255" s="329"/>
      <c r="AV255" s="329"/>
      <c r="AX255" s="329"/>
      <c r="AZ255" s="329"/>
      <c r="BB255" s="329"/>
      <c r="BD255" s="329"/>
      <c r="BF255" s="329"/>
      <c r="BH255" s="329"/>
      <c r="BJ255" s="329"/>
      <c r="BL255" s="329"/>
      <c r="BN255" s="329"/>
    </row>
    <row r="256" spans="1:66">
      <c r="B256" s="329" t="s">
        <v>1683</v>
      </c>
      <c r="C256" s="447" t="s">
        <v>2270</v>
      </c>
      <c r="D256" s="545" t="s">
        <v>2584</v>
      </c>
      <c r="F256" s="555">
        <v>0</v>
      </c>
      <c r="N256" s="329"/>
      <c r="P256" s="329"/>
      <c r="R256" s="329"/>
      <c r="T256" s="329"/>
      <c r="V256" s="329"/>
      <c r="X256" s="329"/>
      <c r="Z256" s="329"/>
      <c r="AB256" s="329"/>
      <c r="AD256" s="329"/>
      <c r="AF256" s="329"/>
      <c r="AH256" s="329"/>
      <c r="AJ256" s="329"/>
      <c r="AL256" s="329"/>
      <c r="AN256" s="329"/>
      <c r="AP256" s="329"/>
      <c r="AR256" s="329"/>
      <c r="AT256" s="329"/>
      <c r="AV256" s="329"/>
      <c r="AX256" s="329"/>
      <c r="AZ256" s="329"/>
      <c r="BB256" s="329"/>
      <c r="BD256" s="329"/>
      <c r="BF256" s="329"/>
      <c r="BH256" s="329"/>
      <c r="BJ256" s="329"/>
      <c r="BL256" s="329"/>
      <c r="BN256" s="329"/>
    </row>
    <row r="257" spans="2:66">
      <c r="B257" s="24" t="s">
        <v>1045</v>
      </c>
      <c r="C257" s="447" t="s">
        <v>2273</v>
      </c>
      <c r="D257" s="663" t="s">
        <v>2585</v>
      </c>
      <c r="F257" s="555">
        <v>0</v>
      </c>
      <c r="N257" s="329"/>
      <c r="P257" s="329"/>
      <c r="R257" s="329"/>
      <c r="T257" s="329"/>
      <c r="V257" s="329"/>
      <c r="X257" s="329"/>
      <c r="Z257" s="329"/>
      <c r="AB257" s="329"/>
      <c r="AD257" s="329"/>
      <c r="AF257" s="329"/>
      <c r="AH257" s="329"/>
      <c r="AJ257" s="329"/>
      <c r="AL257" s="329"/>
      <c r="AN257" s="329"/>
      <c r="AP257" s="329"/>
      <c r="AR257" s="329"/>
      <c r="AT257" s="329"/>
      <c r="AV257" s="329"/>
      <c r="AX257" s="329"/>
      <c r="AZ257" s="329"/>
      <c r="BB257" s="329"/>
      <c r="BD257" s="329"/>
      <c r="BF257" s="329"/>
      <c r="BH257" s="329"/>
      <c r="BJ257" s="329"/>
      <c r="BL257" s="329"/>
      <c r="BN257" s="329"/>
    </row>
    <row r="258" spans="2:66">
      <c r="B258" s="24" t="s">
        <v>1045</v>
      </c>
      <c r="C258" s="447" t="s">
        <v>2273</v>
      </c>
      <c r="D258" s="663" t="s">
        <v>2673</v>
      </c>
      <c r="F258" s="555">
        <v>0</v>
      </c>
      <c r="N258" s="329"/>
      <c r="P258" s="329"/>
      <c r="R258" s="329"/>
      <c r="T258" s="329"/>
      <c r="V258" s="329"/>
      <c r="X258" s="329"/>
      <c r="Z258" s="329"/>
      <c r="AB258" s="329"/>
      <c r="AD258" s="329"/>
      <c r="AF258" s="329"/>
      <c r="AH258" s="329"/>
      <c r="AJ258" s="329"/>
      <c r="AL258" s="329"/>
      <c r="AN258" s="329"/>
      <c r="AP258" s="329"/>
      <c r="AR258" s="329"/>
      <c r="AT258" s="329"/>
      <c r="AV258" s="329"/>
      <c r="AX258" s="329"/>
      <c r="AZ258" s="329"/>
      <c r="BB258" s="329"/>
      <c r="BD258" s="329"/>
      <c r="BF258" s="329"/>
      <c r="BH258" s="329"/>
      <c r="BJ258" s="329"/>
      <c r="BL258" s="329"/>
      <c r="BN258" s="329"/>
    </row>
    <row r="259" spans="2:66">
      <c r="B259" s="24" t="s">
        <v>1045</v>
      </c>
      <c r="C259" s="447" t="s">
        <v>2274</v>
      </c>
      <c r="D259" s="663" t="s">
        <v>2586</v>
      </c>
      <c r="F259" s="555">
        <v>0</v>
      </c>
      <c r="N259" s="329"/>
      <c r="P259" s="329"/>
      <c r="R259" s="329"/>
      <c r="T259" s="329"/>
      <c r="V259" s="329"/>
      <c r="X259" s="329"/>
      <c r="Z259" s="329"/>
      <c r="AB259" s="329"/>
      <c r="AD259" s="329"/>
      <c r="AF259" s="329"/>
      <c r="AH259" s="329"/>
      <c r="AJ259" s="329"/>
      <c r="AL259" s="329"/>
      <c r="AN259" s="329"/>
      <c r="AP259" s="329"/>
      <c r="AR259" s="329"/>
      <c r="AT259" s="329"/>
      <c r="AV259" s="329"/>
      <c r="AX259" s="329"/>
      <c r="AZ259" s="329"/>
      <c r="BB259" s="329"/>
      <c r="BD259" s="329"/>
      <c r="BF259" s="329"/>
      <c r="BH259" s="329"/>
      <c r="BJ259" s="329"/>
      <c r="BL259" s="329"/>
      <c r="BN259" s="329"/>
    </row>
    <row r="260" spans="2:66">
      <c r="N260" s="329"/>
      <c r="P260" s="329"/>
      <c r="R260" s="329"/>
      <c r="T260" s="329"/>
      <c r="V260" s="329"/>
      <c r="X260" s="329"/>
      <c r="Z260" s="329"/>
      <c r="AB260" s="329"/>
      <c r="AD260" s="329"/>
      <c r="AF260" s="329"/>
      <c r="AH260" s="329"/>
      <c r="AJ260" s="329"/>
      <c r="AL260" s="329"/>
      <c r="AN260" s="329"/>
      <c r="AP260" s="329"/>
      <c r="AR260" s="329"/>
      <c r="AT260" s="329"/>
      <c r="AV260" s="329"/>
      <c r="AX260" s="329"/>
      <c r="AZ260" s="329"/>
      <c r="BB260" s="329"/>
      <c r="BD260" s="329"/>
      <c r="BF260" s="329"/>
      <c r="BH260" s="329"/>
      <c r="BJ260" s="329"/>
      <c r="BL260" s="329"/>
      <c r="BN260" s="329"/>
    </row>
    <row r="261" spans="2:66">
      <c r="B261" s="329" t="s">
        <v>1683</v>
      </c>
      <c r="C261" s="447" t="s">
        <v>2284</v>
      </c>
      <c r="D261" s="698" t="s">
        <v>1985</v>
      </c>
      <c r="F261" s="326" t="s">
        <v>2242</v>
      </c>
      <c r="N261" s="329"/>
      <c r="P261" s="329"/>
      <c r="R261" s="329"/>
      <c r="T261" s="329"/>
      <c r="V261" s="329"/>
      <c r="X261" s="329"/>
      <c r="Z261" s="329"/>
      <c r="AB261" s="329"/>
      <c r="AD261" s="329"/>
      <c r="AF261" s="329"/>
      <c r="AH261" s="329"/>
      <c r="AJ261" s="329"/>
      <c r="AL261" s="329"/>
      <c r="AN261" s="329"/>
      <c r="AP261" s="329"/>
      <c r="AR261" s="329"/>
      <c r="AT261" s="329"/>
      <c r="AV261" s="329"/>
      <c r="AX261" s="329"/>
      <c r="AZ261" s="329"/>
      <c r="BB261" s="329"/>
      <c r="BD261" s="329"/>
      <c r="BF261" s="329"/>
      <c r="BH261" s="329"/>
      <c r="BJ261" s="329"/>
      <c r="BL261" s="329"/>
      <c r="BN261" s="329"/>
    </row>
    <row r="262" spans="2:66">
      <c r="B262" s="329" t="s">
        <v>1683</v>
      </c>
      <c r="C262" s="447" t="s">
        <v>2285</v>
      </c>
      <c r="D262" s="698" t="s">
        <v>1986</v>
      </c>
      <c r="F262" s="326" t="s">
        <v>2242</v>
      </c>
      <c r="N262" s="329"/>
      <c r="P262" s="329"/>
      <c r="R262" s="329"/>
      <c r="T262" s="329"/>
      <c r="V262" s="329"/>
      <c r="X262" s="329"/>
      <c r="Z262" s="329"/>
      <c r="AB262" s="329"/>
      <c r="AD262" s="329"/>
      <c r="AF262" s="329"/>
      <c r="AH262" s="329"/>
      <c r="AJ262" s="329"/>
      <c r="AL262" s="329"/>
      <c r="AN262" s="329"/>
      <c r="AP262" s="329"/>
      <c r="AR262" s="329"/>
      <c r="AT262" s="329"/>
      <c r="AV262" s="329"/>
      <c r="AX262" s="329"/>
      <c r="AZ262" s="329"/>
      <c r="BB262" s="329"/>
      <c r="BD262" s="329"/>
      <c r="BF262" s="329"/>
      <c r="BH262" s="329"/>
      <c r="BJ262" s="329"/>
      <c r="BL262" s="329"/>
      <c r="BN262" s="329"/>
    </row>
    <row r="263" spans="2:66">
      <c r="B263" s="329" t="s">
        <v>1683</v>
      </c>
      <c r="C263" s="447" t="s">
        <v>2286</v>
      </c>
      <c r="D263" s="698" t="s">
        <v>1985</v>
      </c>
      <c r="F263" s="326" t="s">
        <v>2242</v>
      </c>
      <c r="N263" s="329"/>
      <c r="P263" s="329"/>
      <c r="R263" s="329"/>
      <c r="T263" s="329"/>
      <c r="V263" s="329"/>
      <c r="X263" s="329"/>
      <c r="Z263" s="329"/>
      <c r="AB263" s="329"/>
      <c r="AD263" s="329"/>
      <c r="AF263" s="329"/>
      <c r="AH263" s="329"/>
      <c r="AJ263" s="329"/>
      <c r="AL263" s="329"/>
      <c r="AN263" s="329"/>
      <c r="AP263" s="329"/>
      <c r="AR263" s="329"/>
      <c r="AT263" s="329"/>
      <c r="AV263" s="329"/>
      <c r="AX263" s="329"/>
      <c r="AZ263" s="329"/>
      <c r="BB263" s="329"/>
      <c r="BD263" s="329"/>
      <c r="BF263" s="329"/>
      <c r="BH263" s="329"/>
      <c r="BJ263" s="329"/>
      <c r="BL263" s="329"/>
      <c r="BN263" s="329"/>
    </row>
    <row r="264" spans="2:66">
      <c r="B264" s="329" t="s">
        <v>1683</v>
      </c>
      <c r="C264" s="447" t="s">
        <v>2287</v>
      </c>
      <c r="D264" s="698" t="s">
        <v>1986</v>
      </c>
      <c r="F264" s="326" t="s">
        <v>2242</v>
      </c>
      <c r="N264" s="329"/>
      <c r="P264" s="329"/>
      <c r="R264" s="329"/>
      <c r="T264" s="329"/>
      <c r="V264" s="329"/>
      <c r="X264" s="329"/>
      <c r="Z264" s="329"/>
      <c r="AB264" s="329"/>
      <c r="AD264" s="329"/>
      <c r="AF264" s="329"/>
      <c r="AH264" s="329"/>
      <c r="AJ264" s="329"/>
      <c r="AL264" s="329"/>
      <c r="AN264" s="329"/>
      <c r="AP264" s="329"/>
      <c r="AR264" s="329"/>
      <c r="AT264" s="329"/>
      <c r="AV264" s="329"/>
      <c r="AX264" s="329"/>
      <c r="AZ264" s="329"/>
      <c r="BB264" s="329"/>
      <c r="BD264" s="329"/>
      <c r="BF264" s="329"/>
      <c r="BH264" s="329"/>
      <c r="BJ264" s="329"/>
      <c r="BL264" s="329"/>
      <c r="BN264" s="329"/>
    </row>
    <row r="265" spans="2:66">
      <c r="B265" s="329" t="s">
        <v>1683</v>
      </c>
      <c r="C265" s="447" t="s">
        <v>2288</v>
      </c>
      <c r="D265" s="698" t="s">
        <v>1986</v>
      </c>
      <c r="F265" s="326" t="s">
        <v>2242</v>
      </c>
      <c r="N265" s="329"/>
      <c r="P265" s="329"/>
      <c r="R265" s="329"/>
      <c r="T265" s="329"/>
      <c r="V265" s="329"/>
      <c r="X265" s="329"/>
      <c r="Z265" s="329"/>
      <c r="AB265" s="329"/>
      <c r="AD265" s="329"/>
      <c r="AF265" s="329"/>
      <c r="AH265" s="329"/>
      <c r="AJ265" s="329"/>
      <c r="AL265" s="329"/>
      <c r="AN265" s="329"/>
      <c r="AP265" s="329"/>
      <c r="AR265" s="329"/>
      <c r="AT265" s="329"/>
      <c r="AV265" s="329"/>
      <c r="AX265" s="329"/>
      <c r="AZ265" s="329"/>
      <c r="BB265" s="329"/>
      <c r="BD265" s="329"/>
      <c r="BF265" s="329"/>
      <c r="BH265" s="329"/>
      <c r="BJ265" s="329"/>
      <c r="BL265" s="329"/>
      <c r="BN265" s="329"/>
    </row>
    <row r="266" spans="2:66">
      <c r="B266" s="329" t="s">
        <v>1683</v>
      </c>
      <c r="C266" s="447" t="s">
        <v>2289</v>
      </c>
      <c r="D266" s="698" t="s">
        <v>1985</v>
      </c>
      <c r="F266" s="326" t="s">
        <v>2242</v>
      </c>
      <c r="N266" s="329"/>
      <c r="P266" s="329"/>
      <c r="R266" s="329"/>
      <c r="T266" s="329"/>
      <c r="V266" s="329"/>
      <c r="X266" s="329"/>
      <c r="Z266" s="329"/>
      <c r="AB266" s="329"/>
      <c r="AD266" s="329"/>
      <c r="AF266" s="329"/>
      <c r="AH266" s="329"/>
      <c r="AJ266" s="329"/>
      <c r="AL266" s="329"/>
      <c r="AN266" s="329"/>
      <c r="AP266" s="329"/>
      <c r="AR266" s="329"/>
      <c r="AT266" s="329"/>
      <c r="AV266" s="329"/>
      <c r="AX266" s="329"/>
      <c r="AZ266" s="329"/>
      <c r="BB266" s="329"/>
      <c r="BD266" s="329"/>
      <c r="BF266" s="329"/>
      <c r="BH266" s="329"/>
      <c r="BJ266" s="329"/>
      <c r="BL266" s="329"/>
      <c r="BN266" s="329"/>
    </row>
    <row r="267" spans="2:66">
      <c r="B267" s="329" t="s">
        <v>1683</v>
      </c>
      <c r="C267" s="447" t="s">
        <v>2290</v>
      </c>
      <c r="D267" s="698" t="s">
        <v>1986</v>
      </c>
      <c r="F267" s="326" t="s">
        <v>2242</v>
      </c>
      <c r="N267" s="329"/>
      <c r="P267" s="329"/>
      <c r="R267" s="329"/>
      <c r="T267" s="329"/>
      <c r="V267" s="329"/>
      <c r="X267" s="329"/>
      <c r="Z267" s="329"/>
      <c r="AB267" s="329"/>
      <c r="AD267" s="329"/>
      <c r="AF267" s="329"/>
      <c r="AH267" s="329"/>
      <c r="AJ267" s="329"/>
      <c r="AL267" s="329"/>
      <c r="AN267" s="329"/>
      <c r="AP267" s="329"/>
      <c r="AR267" s="329"/>
      <c r="AT267" s="329"/>
      <c r="AV267" s="329"/>
      <c r="AX267" s="329"/>
      <c r="AZ267" s="329"/>
      <c r="BB267" s="329"/>
      <c r="BD267" s="329"/>
      <c r="BF267" s="329"/>
      <c r="BH267" s="329"/>
      <c r="BJ267" s="329"/>
      <c r="BL267" s="329"/>
      <c r="BN267" s="329"/>
    </row>
    <row r="268" spans="2:66">
      <c r="B268" s="329" t="s">
        <v>1683</v>
      </c>
      <c r="C268" s="447" t="s">
        <v>2291</v>
      </c>
      <c r="D268" s="698" t="s">
        <v>1986</v>
      </c>
      <c r="F268" s="326" t="s">
        <v>2242</v>
      </c>
      <c r="N268" s="329"/>
      <c r="P268" s="329"/>
      <c r="R268" s="329"/>
      <c r="T268" s="329"/>
      <c r="V268" s="329"/>
      <c r="X268" s="329"/>
      <c r="Z268" s="329"/>
      <c r="AB268" s="329"/>
      <c r="AD268" s="329"/>
      <c r="AF268" s="329"/>
      <c r="AH268" s="329"/>
      <c r="AJ268" s="329"/>
      <c r="AL268" s="329"/>
      <c r="AN268" s="329"/>
      <c r="AP268" s="329"/>
      <c r="AR268" s="329"/>
      <c r="AT268" s="329"/>
      <c r="AV268" s="329"/>
      <c r="AX268" s="329"/>
      <c r="AZ268" s="329"/>
      <c r="BB268" s="329"/>
      <c r="BD268" s="329"/>
      <c r="BF268" s="329"/>
      <c r="BH268" s="329"/>
      <c r="BJ268" s="329"/>
      <c r="BL268" s="329"/>
      <c r="BN268" s="329"/>
    </row>
    <row r="269" spans="2:66">
      <c r="B269" s="329" t="s">
        <v>1683</v>
      </c>
      <c r="C269" s="447" t="s">
        <v>2292</v>
      </c>
      <c r="D269" s="698" t="s">
        <v>1985</v>
      </c>
      <c r="F269" s="326" t="s">
        <v>2242</v>
      </c>
      <c r="N269" s="329"/>
      <c r="P269" s="329"/>
      <c r="R269" s="329"/>
      <c r="T269" s="329"/>
      <c r="V269" s="329"/>
      <c r="X269" s="329"/>
      <c r="Z269" s="329"/>
      <c r="AB269" s="329"/>
      <c r="AD269" s="329"/>
      <c r="AF269" s="329"/>
      <c r="AH269" s="329"/>
      <c r="AJ269" s="329"/>
      <c r="AL269" s="329"/>
      <c r="AN269" s="329"/>
      <c r="AP269" s="329"/>
      <c r="AR269" s="329"/>
      <c r="AT269" s="329"/>
      <c r="AV269" s="329"/>
      <c r="AX269" s="329"/>
      <c r="AZ269" s="329"/>
      <c r="BB269" s="329"/>
      <c r="BD269" s="329"/>
      <c r="BF269" s="329"/>
      <c r="BH269" s="329"/>
      <c r="BJ269" s="329"/>
      <c r="BL269" s="329"/>
      <c r="BN269" s="329"/>
    </row>
    <row r="270" spans="2:66">
      <c r="B270" s="329" t="s">
        <v>1683</v>
      </c>
      <c r="C270" s="447" t="s">
        <v>2293</v>
      </c>
      <c r="D270" s="698" t="s">
        <v>1985</v>
      </c>
      <c r="F270" s="326" t="s">
        <v>2242</v>
      </c>
      <c r="N270" s="329"/>
      <c r="P270" s="329"/>
      <c r="R270" s="329"/>
      <c r="T270" s="329"/>
      <c r="V270" s="329"/>
      <c r="X270" s="329"/>
      <c r="Z270" s="329"/>
      <c r="AB270" s="329"/>
      <c r="AD270" s="329"/>
      <c r="AF270" s="329"/>
      <c r="AH270" s="329"/>
      <c r="AJ270" s="329"/>
      <c r="AL270" s="329"/>
      <c r="AN270" s="329"/>
      <c r="AP270" s="329"/>
      <c r="AR270" s="329"/>
      <c r="AT270" s="329"/>
      <c r="AV270" s="329"/>
      <c r="AX270" s="329"/>
      <c r="AZ270" s="329"/>
      <c r="BB270" s="329"/>
      <c r="BD270" s="329"/>
      <c r="BF270" s="329"/>
      <c r="BH270" s="329"/>
      <c r="BJ270" s="329"/>
      <c r="BL270" s="329"/>
      <c r="BN270" s="329"/>
    </row>
    <row r="271" spans="2:66" ht="37.5">
      <c r="B271" s="329" t="s">
        <v>1683</v>
      </c>
      <c r="C271" s="447" t="s">
        <v>2252</v>
      </c>
      <c r="D271" s="698" t="s">
        <v>1987</v>
      </c>
      <c r="F271" s="326" t="s">
        <v>2242</v>
      </c>
      <c r="N271" s="329"/>
      <c r="P271" s="329"/>
      <c r="R271" s="329"/>
      <c r="T271" s="329"/>
      <c r="V271" s="329"/>
      <c r="X271" s="329"/>
      <c r="Z271" s="329"/>
      <c r="AB271" s="329"/>
      <c r="AD271" s="329"/>
      <c r="AF271" s="329"/>
      <c r="AH271" s="329"/>
      <c r="AJ271" s="329"/>
      <c r="AL271" s="329"/>
      <c r="AN271" s="329"/>
      <c r="AP271" s="329"/>
      <c r="AR271" s="329"/>
      <c r="AT271" s="329"/>
      <c r="AV271" s="329"/>
      <c r="AX271" s="329"/>
      <c r="AZ271" s="329"/>
      <c r="BB271" s="329"/>
      <c r="BD271" s="329"/>
      <c r="BF271" s="329"/>
      <c r="BH271" s="329"/>
      <c r="BJ271" s="329"/>
      <c r="BL271" s="329"/>
      <c r="BN271" s="329"/>
    </row>
    <row r="272" spans="2:66" ht="37.5">
      <c r="B272" s="329" t="s">
        <v>1683</v>
      </c>
      <c r="C272" s="447" t="s">
        <v>2270</v>
      </c>
      <c r="D272" s="865" t="s">
        <v>1988</v>
      </c>
      <c r="F272" s="326" t="s">
        <v>2242</v>
      </c>
      <c r="N272" s="329"/>
      <c r="P272" s="329"/>
      <c r="R272" s="329"/>
      <c r="T272" s="329"/>
      <c r="V272" s="329"/>
      <c r="X272" s="329"/>
      <c r="Z272" s="329"/>
      <c r="AB272" s="329"/>
      <c r="AD272" s="329"/>
      <c r="AF272" s="329"/>
      <c r="AH272" s="329"/>
      <c r="AJ272" s="329"/>
      <c r="AL272" s="329"/>
      <c r="AN272" s="329"/>
      <c r="AP272" s="329"/>
      <c r="AR272" s="329"/>
      <c r="AT272" s="329"/>
      <c r="AV272" s="329"/>
      <c r="AX272" s="329"/>
      <c r="AZ272" s="329"/>
      <c r="BB272" s="329"/>
      <c r="BD272" s="329"/>
      <c r="BF272" s="329"/>
      <c r="BH272" s="329"/>
      <c r="BJ272" s="329"/>
      <c r="BL272" s="329"/>
      <c r="BN272" s="329"/>
    </row>
    <row r="273" spans="2:66" ht="37.5">
      <c r="B273" s="329" t="s">
        <v>1683</v>
      </c>
      <c r="C273" s="447" t="s">
        <v>2271</v>
      </c>
      <c r="D273" s="865" t="s">
        <v>1989</v>
      </c>
      <c r="F273" s="326" t="s">
        <v>2242</v>
      </c>
      <c r="N273" s="329"/>
      <c r="P273" s="329"/>
      <c r="R273" s="329"/>
      <c r="T273" s="329"/>
      <c r="V273" s="329"/>
      <c r="X273" s="329"/>
      <c r="Z273" s="329"/>
      <c r="AB273" s="329"/>
      <c r="AD273" s="329"/>
      <c r="AF273" s="329"/>
      <c r="AH273" s="329"/>
      <c r="AJ273" s="329"/>
      <c r="AL273" s="329"/>
      <c r="AN273" s="329"/>
      <c r="AP273" s="329"/>
      <c r="AR273" s="329"/>
      <c r="AT273" s="329"/>
      <c r="AV273" s="329"/>
      <c r="AX273" s="329"/>
      <c r="AZ273" s="329"/>
      <c r="BB273" s="329"/>
      <c r="BD273" s="329"/>
      <c r="BF273" s="329"/>
      <c r="BH273" s="329"/>
      <c r="BJ273" s="329"/>
      <c r="BL273" s="329"/>
      <c r="BN273" s="329"/>
    </row>
    <row r="274" spans="2:66">
      <c r="B274" s="329" t="s">
        <v>1683</v>
      </c>
      <c r="C274" s="447" t="s">
        <v>2294</v>
      </c>
      <c r="D274" s="865" t="s">
        <v>1990</v>
      </c>
      <c r="F274" s="326" t="s">
        <v>2242</v>
      </c>
      <c r="N274" s="329"/>
      <c r="P274" s="329"/>
      <c r="R274" s="329"/>
      <c r="T274" s="329"/>
      <c r="V274" s="329"/>
      <c r="X274" s="329"/>
      <c r="Z274" s="329"/>
      <c r="AB274" s="329"/>
      <c r="AD274" s="329"/>
      <c r="AF274" s="329"/>
      <c r="AH274" s="329"/>
      <c r="AJ274" s="329"/>
      <c r="AL274" s="329"/>
      <c r="AN274" s="329"/>
      <c r="AP274" s="329"/>
      <c r="AR274" s="329"/>
      <c r="AT274" s="329"/>
      <c r="AV274" s="329"/>
      <c r="AX274" s="329"/>
      <c r="AZ274" s="329"/>
      <c r="BB274" s="329"/>
      <c r="BD274" s="329"/>
      <c r="BF274" s="329"/>
      <c r="BH274" s="329"/>
      <c r="BJ274" s="329"/>
      <c r="BL274" s="329"/>
      <c r="BN274" s="329"/>
    </row>
    <row r="275" spans="2:66">
      <c r="B275" s="329" t="s">
        <v>1683</v>
      </c>
      <c r="C275" s="447" t="s">
        <v>2295</v>
      </c>
      <c r="D275" s="865" t="s">
        <v>1991</v>
      </c>
      <c r="F275" s="326" t="s">
        <v>2242</v>
      </c>
      <c r="N275" s="329"/>
      <c r="P275" s="329"/>
      <c r="R275" s="329"/>
      <c r="T275" s="329"/>
      <c r="V275" s="329"/>
      <c r="X275" s="329"/>
      <c r="Z275" s="329"/>
      <c r="AB275" s="329"/>
      <c r="AD275" s="329"/>
      <c r="AF275" s="329"/>
      <c r="AH275" s="329"/>
      <c r="AJ275" s="329"/>
      <c r="AL275" s="329"/>
      <c r="AN275" s="329"/>
      <c r="AP275" s="329"/>
      <c r="AR275" s="329"/>
      <c r="AT275" s="329"/>
      <c r="AV275" s="329"/>
      <c r="AX275" s="329"/>
      <c r="AZ275" s="329"/>
      <c r="BB275" s="329"/>
      <c r="BD275" s="329"/>
      <c r="BF275" s="329"/>
      <c r="BH275" s="329"/>
      <c r="BJ275" s="329"/>
      <c r="BL275" s="329"/>
      <c r="BN275" s="329"/>
    </row>
    <row r="276" spans="2:66">
      <c r="B276" s="329" t="s">
        <v>1683</v>
      </c>
      <c r="C276" s="447" t="s">
        <v>2296</v>
      </c>
      <c r="D276" s="865" t="s">
        <v>1990</v>
      </c>
      <c r="F276" s="326" t="s">
        <v>2242</v>
      </c>
      <c r="N276" s="329"/>
      <c r="P276" s="329"/>
      <c r="R276" s="329"/>
      <c r="T276" s="329"/>
      <c r="V276" s="329"/>
      <c r="X276" s="329"/>
      <c r="Z276" s="329"/>
      <c r="AB276" s="329"/>
      <c r="AD276" s="329"/>
      <c r="AF276" s="329"/>
      <c r="AH276" s="329"/>
      <c r="AJ276" s="329"/>
      <c r="AL276" s="329"/>
      <c r="AN276" s="329"/>
      <c r="AP276" s="329"/>
      <c r="AR276" s="329"/>
      <c r="AT276" s="329"/>
      <c r="AV276" s="329"/>
      <c r="AX276" s="329"/>
      <c r="AZ276" s="329"/>
      <c r="BB276" s="329"/>
      <c r="BD276" s="329"/>
      <c r="BF276" s="329"/>
      <c r="BH276" s="329"/>
      <c r="BJ276" s="329"/>
      <c r="BL276" s="329"/>
      <c r="BN276" s="329"/>
    </row>
    <row r="277" spans="2:66">
      <c r="B277" s="329" t="s">
        <v>1683</v>
      </c>
      <c r="C277" s="447" t="s">
        <v>2297</v>
      </c>
      <c r="D277" s="865" t="s">
        <v>1990</v>
      </c>
      <c r="F277" s="326" t="s">
        <v>2242</v>
      </c>
      <c r="N277" s="329"/>
      <c r="P277" s="329"/>
      <c r="R277" s="329"/>
      <c r="T277" s="329"/>
      <c r="V277" s="329"/>
      <c r="X277" s="329"/>
      <c r="Z277" s="329"/>
      <c r="AB277" s="329"/>
      <c r="AD277" s="329"/>
      <c r="AF277" s="329"/>
      <c r="AH277" s="329"/>
      <c r="AJ277" s="329"/>
      <c r="AL277" s="329"/>
      <c r="AN277" s="329"/>
      <c r="AP277" s="329"/>
      <c r="AR277" s="329"/>
      <c r="AT277" s="329"/>
      <c r="AV277" s="329"/>
      <c r="AX277" s="329"/>
      <c r="AZ277" s="329"/>
      <c r="BB277" s="329"/>
      <c r="BD277" s="329"/>
      <c r="BF277" s="329"/>
      <c r="BH277" s="329"/>
      <c r="BJ277" s="329"/>
      <c r="BL277" s="329"/>
      <c r="BN277" s="329"/>
    </row>
    <row r="278" spans="2:66">
      <c r="B278" s="329" t="s">
        <v>1683</v>
      </c>
      <c r="C278" s="447" t="s">
        <v>2298</v>
      </c>
      <c r="D278" s="865" t="s">
        <v>1991</v>
      </c>
      <c r="F278" s="326" t="s">
        <v>2242</v>
      </c>
      <c r="N278" s="329"/>
      <c r="P278" s="329"/>
      <c r="R278" s="329"/>
      <c r="T278" s="329"/>
      <c r="V278" s="329"/>
      <c r="X278" s="329"/>
      <c r="Z278" s="329"/>
      <c r="AB278" s="329"/>
      <c r="AD278" s="329"/>
      <c r="AF278" s="329"/>
      <c r="AH278" s="329"/>
      <c r="AJ278" s="329"/>
      <c r="AL278" s="329"/>
      <c r="AN278" s="329"/>
      <c r="AP278" s="329"/>
      <c r="AR278" s="329"/>
      <c r="AT278" s="329"/>
      <c r="AV278" s="329"/>
      <c r="AX278" s="329"/>
      <c r="AZ278" s="329"/>
      <c r="BB278" s="329"/>
      <c r="BD278" s="329"/>
      <c r="BF278" s="329"/>
      <c r="BH278" s="329"/>
      <c r="BJ278" s="329"/>
      <c r="BL278" s="329"/>
      <c r="BN278" s="329"/>
    </row>
    <row r="279" spans="2:66">
      <c r="B279" s="329" t="s">
        <v>1683</v>
      </c>
      <c r="C279" s="447" t="s">
        <v>2299</v>
      </c>
      <c r="D279" s="865" t="s">
        <v>1990</v>
      </c>
      <c r="F279" s="326" t="s">
        <v>2242</v>
      </c>
      <c r="N279" s="329"/>
      <c r="P279" s="329"/>
      <c r="R279" s="329"/>
      <c r="T279" s="329"/>
      <c r="V279" s="329"/>
      <c r="X279" s="329"/>
      <c r="Z279" s="329"/>
      <c r="AB279" s="329"/>
      <c r="AD279" s="329"/>
      <c r="AF279" s="329"/>
      <c r="AH279" s="329"/>
      <c r="AJ279" s="329"/>
      <c r="AL279" s="329"/>
      <c r="AN279" s="329"/>
      <c r="AP279" s="329"/>
      <c r="AR279" s="329"/>
      <c r="AT279" s="329"/>
      <c r="AV279" s="329"/>
      <c r="AX279" s="329"/>
      <c r="AZ279" s="329"/>
      <c r="BB279" s="329"/>
      <c r="BD279" s="329"/>
      <c r="BF279" s="329"/>
      <c r="BH279" s="329"/>
      <c r="BJ279" s="329"/>
      <c r="BL279" s="329"/>
      <c r="BN279" s="329"/>
    </row>
    <row r="280" spans="2:66">
      <c r="B280" s="329" t="s">
        <v>1683</v>
      </c>
      <c r="C280" s="447" t="s">
        <v>2300</v>
      </c>
      <c r="D280" s="865" t="s">
        <v>1990</v>
      </c>
      <c r="F280" s="326" t="s">
        <v>2242</v>
      </c>
      <c r="N280" s="329"/>
      <c r="P280" s="329"/>
      <c r="R280" s="329"/>
      <c r="T280" s="329"/>
      <c r="V280" s="329"/>
      <c r="X280" s="329"/>
      <c r="Z280" s="329"/>
      <c r="AB280" s="329"/>
      <c r="AD280" s="329"/>
      <c r="AF280" s="329"/>
      <c r="AH280" s="329"/>
      <c r="AJ280" s="329"/>
      <c r="AL280" s="329"/>
      <c r="AN280" s="329"/>
      <c r="AP280" s="329"/>
      <c r="AR280" s="329"/>
      <c r="AT280" s="329"/>
      <c r="AV280" s="329"/>
      <c r="AX280" s="329"/>
      <c r="AZ280" s="329"/>
      <c r="BB280" s="329"/>
      <c r="BD280" s="329"/>
      <c r="BF280" s="329"/>
      <c r="BH280" s="329"/>
      <c r="BJ280" s="329"/>
      <c r="BL280" s="329"/>
      <c r="BN280" s="329"/>
    </row>
    <row r="281" spans="2:66">
      <c r="B281" s="329" t="s">
        <v>1683</v>
      </c>
      <c r="C281" s="447" t="s">
        <v>2301</v>
      </c>
      <c r="D281" s="865" t="s">
        <v>1992</v>
      </c>
      <c r="F281" s="326" t="s">
        <v>2242</v>
      </c>
      <c r="N281" s="329"/>
      <c r="P281" s="329"/>
      <c r="R281" s="329"/>
      <c r="T281" s="329"/>
      <c r="V281" s="329"/>
      <c r="X281" s="329"/>
      <c r="Z281" s="329"/>
      <c r="AB281" s="329"/>
      <c r="AD281" s="329"/>
      <c r="AF281" s="329"/>
      <c r="AH281" s="329"/>
      <c r="AJ281" s="329"/>
      <c r="AL281" s="329"/>
      <c r="AN281" s="329"/>
      <c r="AP281" s="329"/>
      <c r="AR281" s="329"/>
      <c r="AT281" s="329"/>
      <c r="AV281" s="329"/>
      <c r="AX281" s="329"/>
      <c r="AZ281" s="329"/>
      <c r="BB281" s="329"/>
      <c r="BD281" s="329"/>
      <c r="BF281" s="329"/>
      <c r="BH281" s="329"/>
      <c r="BJ281" s="329"/>
      <c r="BL281" s="329"/>
      <c r="BN281" s="329"/>
    </row>
    <row r="282" spans="2:66">
      <c r="B282" s="329" t="s">
        <v>1683</v>
      </c>
      <c r="C282" s="447" t="s">
        <v>2302</v>
      </c>
      <c r="D282" s="865" t="s">
        <v>1990</v>
      </c>
      <c r="F282" s="326" t="s">
        <v>2242</v>
      </c>
      <c r="N282" s="329"/>
      <c r="P282" s="329"/>
      <c r="R282" s="329"/>
      <c r="T282" s="329"/>
      <c r="V282" s="329"/>
      <c r="X282" s="329"/>
      <c r="Z282" s="329"/>
      <c r="AB282" s="329"/>
      <c r="AD282" s="329"/>
      <c r="AF282" s="329"/>
      <c r="AH282" s="329"/>
      <c r="AJ282" s="329"/>
      <c r="AL282" s="329"/>
      <c r="AN282" s="329"/>
      <c r="AP282" s="329"/>
      <c r="AR282" s="329"/>
      <c r="AT282" s="329"/>
      <c r="AV282" s="329"/>
      <c r="AX282" s="329"/>
      <c r="AZ282" s="329"/>
      <c r="BB282" s="329"/>
      <c r="BD282" s="329"/>
      <c r="BF282" s="329"/>
      <c r="BH282" s="329"/>
      <c r="BJ282" s="329"/>
      <c r="BL282" s="329"/>
      <c r="BN282" s="329"/>
    </row>
    <row r="283" spans="2:66">
      <c r="B283" s="329" t="s">
        <v>1683</v>
      </c>
      <c r="C283" s="447" t="s">
        <v>2303</v>
      </c>
      <c r="D283" s="865" t="s">
        <v>1990</v>
      </c>
      <c r="F283" s="326" t="s">
        <v>2242</v>
      </c>
      <c r="N283" s="329"/>
      <c r="P283" s="329"/>
      <c r="R283" s="329"/>
      <c r="T283" s="329"/>
      <c r="V283" s="329"/>
      <c r="X283" s="329"/>
      <c r="Z283" s="329"/>
      <c r="AB283" s="329"/>
      <c r="AD283" s="329"/>
      <c r="AF283" s="329"/>
      <c r="AH283" s="329"/>
      <c r="AJ283" s="329"/>
      <c r="AL283" s="329"/>
      <c r="AN283" s="329"/>
      <c r="AP283" s="329"/>
      <c r="AR283" s="329"/>
      <c r="AT283" s="329"/>
      <c r="AV283" s="329"/>
      <c r="AX283" s="329"/>
      <c r="AZ283" s="329"/>
      <c r="BB283" s="329"/>
      <c r="BD283" s="329"/>
      <c r="BF283" s="329"/>
      <c r="BH283" s="329"/>
      <c r="BJ283" s="329"/>
      <c r="BL283" s="329"/>
      <c r="BN283" s="329"/>
    </row>
    <row r="284" spans="2:66">
      <c r="B284" s="329" t="s">
        <v>1683</v>
      </c>
      <c r="C284" s="447" t="s">
        <v>2304</v>
      </c>
      <c r="D284" s="865" t="s">
        <v>1990</v>
      </c>
      <c r="F284" s="326" t="s">
        <v>2242</v>
      </c>
      <c r="N284" s="329"/>
      <c r="P284" s="329"/>
      <c r="R284" s="329"/>
      <c r="T284" s="329"/>
      <c r="V284" s="329"/>
      <c r="X284" s="329"/>
      <c r="Z284" s="329"/>
      <c r="AB284" s="329"/>
      <c r="AD284" s="329"/>
      <c r="AF284" s="329"/>
      <c r="AH284" s="329"/>
      <c r="AJ284" s="329"/>
      <c r="AL284" s="329"/>
      <c r="AN284" s="329"/>
      <c r="AP284" s="329"/>
      <c r="AR284" s="329"/>
      <c r="AT284" s="329"/>
      <c r="AV284" s="329"/>
      <c r="AX284" s="329"/>
      <c r="AZ284" s="329"/>
      <c r="BB284" s="329"/>
      <c r="BD284" s="329"/>
      <c r="BF284" s="329"/>
      <c r="BH284" s="329"/>
      <c r="BJ284" s="329"/>
      <c r="BL284" s="329"/>
      <c r="BN284" s="329"/>
    </row>
    <row r="285" spans="2:66">
      <c r="B285" s="329" t="s">
        <v>1683</v>
      </c>
      <c r="C285" s="447" t="s">
        <v>2305</v>
      </c>
      <c r="D285" s="865" t="s">
        <v>1990</v>
      </c>
      <c r="F285" s="326" t="s">
        <v>2242</v>
      </c>
      <c r="N285" s="329"/>
      <c r="P285" s="329"/>
      <c r="R285" s="329"/>
      <c r="T285" s="329"/>
      <c r="V285" s="329"/>
      <c r="X285" s="329"/>
      <c r="Z285" s="329"/>
      <c r="AB285" s="329"/>
      <c r="AD285" s="329"/>
      <c r="AF285" s="329"/>
      <c r="AH285" s="329"/>
      <c r="AJ285" s="329"/>
      <c r="AL285" s="329"/>
      <c r="AN285" s="329"/>
      <c r="AP285" s="329"/>
      <c r="AR285" s="329"/>
      <c r="AT285" s="329"/>
      <c r="AV285" s="329"/>
      <c r="AX285" s="329"/>
      <c r="AZ285" s="329"/>
      <c r="BB285" s="329"/>
      <c r="BD285" s="329"/>
      <c r="BF285" s="329"/>
      <c r="BH285" s="329"/>
      <c r="BJ285" s="329"/>
      <c r="BL285" s="329"/>
      <c r="BN285" s="329"/>
    </row>
    <row r="286" spans="2:66">
      <c r="B286" s="329" t="s">
        <v>1683</v>
      </c>
      <c r="C286" s="447" t="s">
        <v>2306</v>
      </c>
      <c r="D286" s="865" t="s">
        <v>1990</v>
      </c>
      <c r="F286" s="326" t="s">
        <v>2242</v>
      </c>
      <c r="N286" s="329"/>
      <c r="P286" s="329"/>
      <c r="R286" s="329"/>
      <c r="T286" s="329"/>
      <c r="V286" s="329"/>
      <c r="X286" s="329"/>
      <c r="Z286" s="329"/>
      <c r="AB286" s="329"/>
      <c r="AD286" s="329"/>
      <c r="AF286" s="329"/>
      <c r="AH286" s="329"/>
      <c r="AJ286" s="329"/>
      <c r="AL286" s="329"/>
      <c r="AN286" s="329"/>
      <c r="AP286" s="329"/>
      <c r="AR286" s="329"/>
      <c r="AT286" s="329"/>
      <c r="AV286" s="329"/>
      <c r="AX286" s="329"/>
      <c r="AZ286" s="329"/>
      <c r="BB286" s="329"/>
      <c r="BD286" s="329"/>
      <c r="BF286" s="329"/>
      <c r="BH286" s="329"/>
      <c r="BJ286" s="329"/>
      <c r="BL286" s="329"/>
      <c r="BN286" s="329"/>
    </row>
    <row r="287" spans="2:66" ht="37.5">
      <c r="B287" s="329" t="s">
        <v>1683</v>
      </c>
      <c r="D287" s="865" t="s">
        <v>1993</v>
      </c>
      <c r="F287" s="326" t="s">
        <v>2242</v>
      </c>
      <c r="N287" s="329"/>
      <c r="P287" s="329"/>
      <c r="R287" s="329"/>
      <c r="T287" s="329"/>
      <c r="V287" s="329"/>
      <c r="X287" s="329"/>
      <c r="Z287" s="329"/>
      <c r="AB287" s="329"/>
      <c r="AD287" s="329"/>
      <c r="AF287" s="329"/>
      <c r="AH287" s="329"/>
      <c r="AJ287" s="329"/>
      <c r="AL287" s="329"/>
      <c r="AN287" s="329"/>
      <c r="AP287" s="329"/>
      <c r="AR287" s="329"/>
      <c r="AT287" s="329"/>
      <c r="AV287" s="329"/>
      <c r="AX287" s="329"/>
      <c r="AZ287" s="329"/>
      <c r="BB287" s="329"/>
      <c r="BD287" s="329"/>
      <c r="BF287" s="329"/>
      <c r="BH287" s="329"/>
      <c r="BJ287" s="329"/>
      <c r="BL287" s="329"/>
      <c r="BN287" s="329"/>
    </row>
    <row r="288" spans="2:66">
      <c r="B288" s="329" t="s">
        <v>1683</v>
      </c>
      <c r="C288" s="447" t="s">
        <v>2307</v>
      </c>
      <c r="D288" s="698" t="s">
        <v>1994</v>
      </c>
      <c r="F288" s="326" t="s">
        <v>2242</v>
      </c>
      <c r="N288" s="329"/>
      <c r="P288" s="329"/>
      <c r="R288" s="329"/>
      <c r="T288" s="329"/>
      <c r="V288" s="329"/>
      <c r="X288" s="329"/>
      <c r="Z288" s="329"/>
      <c r="AB288" s="329"/>
      <c r="AD288" s="329"/>
      <c r="AF288" s="329"/>
      <c r="AH288" s="329"/>
      <c r="AJ288" s="329"/>
      <c r="AL288" s="329"/>
      <c r="AN288" s="329"/>
      <c r="AP288" s="329"/>
      <c r="AR288" s="329"/>
      <c r="AT288" s="329"/>
      <c r="AV288" s="329"/>
      <c r="AX288" s="329"/>
      <c r="AZ288" s="329"/>
      <c r="BB288" s="329"/>
      <c r="BD288" s="329"/>
      <c r="BF288" s="329"/>
      <c r="BH288" s="329"/>
      <c r="BJ288" s="329"/>
      <c r="BL288" s="329"/>
      <c r="BN288" s="329"/>
    </row>
    <row r="289" spans="2:66">
      <c r="B289" s="329" t="s">
        <v>1683</v>
      </c>
      <c r="C289" s="447" t="s">
        <v>2308</v>
      </c>
      <c r="D289" s="698" t="s">
        <v>1994</v>
      </c>
      <c r="F289" s="326" t="s">
        <v>2242</v>
      </c>
      <c r="N289" s="329"/>
      <c r="P289" s="329"/>
      <c r="R289" s="329"/>
      <c r="T289" s="329"/>
      <c r="V289" s="329"/>
      <c r="X289" s="329"/>
      <c r="Z289" s="329"/>
      <c r="AB289" s="329"/>
      <c r="AD289" s="329"/>
      <c r="AF289" s="329"/>
      <c r="AH289" s="329"/>
      <c r="AJ289" s="329"/>
      <c r="AL289" s="329"/>
      <c r="AN289" s="329"/>
      <c r="AP289" s="329"/>
      <c r="AR289" s="329"/>
      <c r="AT289" s="329"/>
      <c r="AV289" s="329"/>
      <c r="AX289" s="329"/>
      <c r="AZ289" s="329"/>
      <c r="BB289" s="329"/>
      <c r="BD289" s="329"/>
      <c r="BF289" s="329"/>
      <c r="BH289" s="329"/>
      <c r="BJ289" s="329"/>
      <c r="BL289" s="329"/>
      <c r="BN289" s="329"/>
    </row>
    <row r="290" spans="2:66">
      <c r="B290" s="329" t="s">
        <v>1683</v>
      </c>
      <c r="C290" s="447" t="s">
        <v>2309</v>
      </c>
      <c r="D290" s="698" t="s">
        <v>1994</v>
      </c>
      <c r="F290" s="326" t="s">
        <v>2242</v>
      </c>
      <c r="N290" s="329"/>
      <c r="P290" s="329"/>
      <c r="R290" s="329"/>
      <c r="T290" s="329"/>
      <c r="V290" s="329"/>
      <c r="X290" s="329"/>
      <c r="Z290" s="329"/>
      <c r="AB290" s="329"/>
      <c r="AD290" s="329"/>
      <c r="AF290" s="329"/>
      <c r="AH290" s="329"/>
      <c r="AJ290" s="329"/>
      <c r="AL290" s="329"/>
      <c r="AN290" s="329"/>
      <c r="AP290" s="329"/>
      <c r="AR290" s="329"/>
      <c r="AT290" s="329"/>
      <c r="AV290" s="329"/>
      <c r="AX290" s="329"/>
      <c r="AZ290" s="329"/>
      <c r="BB290" s="329"/>
      <c r="BD290" s="329"/>
      <c r="BF290" s="329"/>
      <c r="BH290" s="329"/>
      <c r="BJ290" s="329"/>
      <c r="BL290" s="329"/>
      <c r="BN290" s="329"/>
    </row>
    <row r="291" spans="2:66">
      <c r="B291" s="329" t="s">
        <v>1683</v>
      </c>
      <c r="C291" s="447" t="s">
        <v>2310</v>
      </c>
      <c r="D291" s="698" t="s">
        <v>1995</v>
      </c>
      <c r="F291" s="326" t="s">
        <v>2242</v>
      </c>
      <c r="N291" s="329"/>
      <c r="P291" s="329"/>
      <c r="R291" s="329"/>
      <c r="T291" s="329"/>
      <c r="V291" s="329"/>
      <c r="X291" s="329"/>
      <c r="Z291" s="329"/>
      <c r="AB291" s="329"/>
      <c r="AD291" s="329"/>
      <c r="AF291" s="329"/>
      <c r="AH291" s="329"/>
      <c r="AJ291" s="329"/>
      <c r="AL291" s="329"/>
      <c r="AN291" s="329"/>
      <c r="AP291" s="329"/>
      <c r="AR291" s="329"/>
      <c r="AT291" s="329"/>
      <c r="AV291" s="329"/>
      <c r="AX291" s="329"/>
      <c r="AZ291" s="329"/>
      <c r="BB291" s="329"/>
      <c r="BD291" s="329"/>
      <c r="BF291" s="329"/>
      <c r="BH291" s="329"/>
      <c r="BJ291" s="329"/>
      <c r="BL291" s="329"/>
      <c r="BN291" s="329"/>
    </row>
    <row r="292" spans="2:66">
      <c r="B292" s="329" t="s">
        <v>1683</v>
      </c>
      <c r="C292" s="447" t="s">
        <v>2311</v>
      </c>
      <c r="D292" s="698" t="s">
        <v>1994</v>
      </c>
      <c r="F292" s="326" t="s">
        <v>2242</v>
      </c>
      <c r="N292" s="329"/>
      <c r="P292" s="329"/>
      <c r="R292" s="329"/>
      <c r="T292" s="329"/>
      <c r="V292" s="329"/>
      <c r="X292" s="329"/>
      <c r="Z292" s="329"/>
      <c r="AB292" s="329"/>
      <c r="AD292" s="329"/>
      <c r="AF292" s="329"/>
      <c r="AH292" s="329"/>
      <c r="AJ292" s="329"/>
      <c r="AL292" s="329"/>
      <c r="AN292" s="329"/>
      <c r="AP292" s="329"/>
      <c r="AR292" s="329"/>
      <c r="AT292" s="329"/>
      <c r="AV292" s="329"/>
      <c r="AX292" s="329"/>
      <c r="AZ292" s="329"/>
      <c r="BB292" s="329"/>
      <c r="BD292" s="329"/>
      <c r="BF292" s="329"/>
      <c r="BH292" s="329"/>
      <c r="BJ292" s="329"/>
      <c r="BL292" s="329"/>
      <c r="BN292" s="329"/>
    </row>
    <row r="293" spans="2:66">
      <c r="B293" s="329" t="s">
        <v>1683</v>
      </c>
      <c r="C293" s="447" t="s">
        <v>2312</v>
      </c>
      <c r="D293" s="698" t="s">
        <v>1994</v>
      </c>
      <c r="F293" s="326" t="s">
        <v>2242</v>
      </c>
      <c r="N293" s="329"/>
      <c r="P293" s="329"/>
      <c r="R293" s="329"/>
      <c r="T293" s="329"/>
      <c r="V293" s="329"/>
      <c r="X293" s="329"/>
      <c r="Z293" s="329"/>
      <c r="AB293" s="329"/>
      <c r="AD293" s="329"/>
      <c r="AF293" s="329"/>
      <c r="AH293" s="329"/>
      <c r="AJ293" s="329"/>
      <c r="AL293" s="329"/>
      <c r="AN293" s="329"/>
      <c r="AP293" s="329"/>
      <c r="AR293" s="329"/>
      <c r="AT293" s="329"/>
      <c r="AV293" s="329"/>
      <c r="AX293" s="329"/>
      <c r="AZ293" s="329"/>
      <c r="BB293" s="329"/>
      <c r="BD293" s="329"/>
      <c r="BF293" s="329"/>
      <c r="BH293" s="329"/>
      <c r="BJ293" s="329"/>
      <c r="BL293" s="329"/>
      <c r="BN293" s="329"/>
    </row>
    <row r="294" spans="2:66">
      <c r="B294" s="329" t="s">
        <v>1683</v>
      </c>
      <c r="C294" s="447" t="s">
        <v>2313</v>
      </c>
      <c r="D294" s="698" t="s">
        <v>1994</v>
      </c>
      <c r="F294" s="326" t="s">
        <v>2242</v>
      </c>
      <c r="N294" s="329"/>
      <c r="P294" s="329"/>
      <c r="R294" s="329"/>
      <c r="T294" s="329"/>
      <c r="V294" s="329"/>
      <c r="X294" s="329"/>
      <c r="Z294" s="329"/>
      <c r="AB294" s="329"/>
      <c r="AD294" s="329"/>
      <c r="AF294" s="329"/>
      <c r="AH294" s="329"/>
      <c r="AJ294" s="329"/>
      <c r="AL294" s="329"/>
      <c r="AN294" s="329"/>
      <c r="AP294" s="329"/>
      <c r="AR294" s="329"/>
      <c r="AT294" s="329"/>
      <c r="AV294" s="329"/>
      <c r="AX294" s="329"/>
      <c r="AZ294" s="329"/>
      <c r="BB294" s="329"/>
      <c r="BD294" s="329"/>
      <c r="BF294" s="329"/>
      <c r="BH294" s="329"/>
      <c r="BJ294" s="329"/>
      <c r="BL294" s="329"/>
      <c r="BN294" s="329"/>
    </row>
    <row r="295" spans="2:66">
      <c r="B295" s="329" t="s">
        <v>1683</v>
      </c>
      <c r="C295" s="447" t="s">
        <v>2314</v>
      </c>
      <c r="D295" s="698" t="s">
        <v>1994</v>
      </c>
      <c r="F295" s="326" t="s">
        <v>2242</v>
      </c>
      <c r="N295" s="329"/>
      <c r="P295" s="329"/>
      <c r="R295" s="329"/>
      <c r="T295" s="329"/>
      <c r="V295" s="329"/>
      <c r="X295" s="329"/>
      <c r="Z295" s="329"/>
      <c r="AB295" s="329"/>
      <c r="AD295" s="329"/>
      <c r="AF295" s="329"/>
      <c r="AH295" s="329"/>
      <c r="AJ295" s="329"/>
      <c r="AL295" s="329"/>
      <c r="AN295" s="329"/>
      <c r="AP295" s="329"/>
      <c r="AR295" s="329"/>
      <c r="AT295" s="329"/>
      <c r="AV295" s="329"/>
      <c r="AX295" s="329"/>
      <c r="AZ295" s="329"/>
      <c r="BB295" s="329"/>
      <c r="BD295" s="329"/>
      <c r="BF295" s="329"/>
      <c r="BH295" s="329"/>
      <c r="BJ295" s="329"/>
      <c r="BL295" s="329"/>
      <c r="BN295" s="329"/>
    </row>
    <row r="296" spans="2:66">
      <c r="B296" s="329" t="s">
        <v>1683</v>
      </c>
      <c r="C296" s="447" t="s">
        <v>2315</v>
      </c>
      <c r="D296" s="698" t="s">
        <v>1994</v>
      </c>
      <c r="F296" s="326" t="s">
        <v>2242</v>
      </c>
      <c r="N296" s="329"/>
      <c r="P296" s="329"/>
      <c r="R296" s="329"/>
      <c r="T296" s="329"/>
      <c r="V296" s="329"/>
      <c r="X296" s="329"/>
      <c r="Z296" s="329"/>
      <c r="AB296" s="329"/>
      <c r="AD296" s="329"/>
      <c r="AF296" s="329"/>
      <c r="AH296" s="329"/>
      <c r="AJ296" s="329"/>
      <c r="AL296" s="329"/>
      <c r="AN296" s="329"/>
      <c r="AP296" s="329"/>
      <c r="AR296" s="329"/>
      <c r="AT296" s="329"/>
      <c r="AV296" s="329"/>
      <c r="AX296" s="329"/>
      <c r="AZ296" s="329"/>
      <c r="BB296" s="329"/>
      <c r="BD296" s="329"/>
      <c r="BF296" s="329"/>
      <c r="BH296" s="329"/>
      <c r="BJ296" s="329"/>
      <c r="BL296" s="329"/>
      <c r="BN296" s="329"/>
    </row>
    <row r="297" spans="2:66">
      <c r="B297" s="329" t="s">
        <v>1683</v>
      </c>
      <c r="C297" s="447" t="s">
        <v>2316</v>
      </c>
      <c r="D297" s="698" t="s">
        <v>1994</v>
      </c>
      <c r="F297" s="326" t="s">
        <v>2242</v>
      </c>
      <c r="N297" s="329"/>
      <c r="P297" s="329"/>
      <c r="R297" s="329"/>
      <c r="T297" s="329"/>
      <c r="V297" s="329"/>
      <c r="X297" s="329"/>
      <c r="Z297" s="329"/>
      <c r="AB297" s="329"/>
      <c r="AD297" s="329"/>
      <c r="AF297" s="329"/>
      <c r="AH297" s="329"/>
      <c r="AJ297" s="329"/>
      <c r="AL297" s="329"/>
      <c r="AN297" s="329"/>
      <c r="AP297" s="329"/>
      <c r="AR297" s="329"/>
      <c r="AT297" s="329"/>
      <c r="AV297" s="329"/>
      <c r="AX297" s="329"/>
      <c r="AZ297" s="329"/>
      <c r="BB297" s="329"/>
      <c r="BD297" s="329"/>
      <c r="BF297" s="329"/>
      <c r="BH297" s="329"/>
      <c r="BJ297" s="329"/>
      <c r="BL297" s="329"/>
      <c r="BN297" s="329"/>
    </row>
    <row r="298" spans="2:66">
      <c r="B298" s="329" t="s">
        <v>1683</v>
      </c>
      <c r="C298" s="447" t="s">
        <v>2317</v>
      </c>
      <c r="D298" s="698" t="s">
        <v>1994</v>
      </c>
      <c r="F298" s="326" t="s">
        <v>2242</v>
      </c>
      <c r="N298" s="329"/>
      <c r="P298" s="329"/>
      <c r="R298" s="329"/>
      <c r="T298" s="329"/>
      <c r="V298" s="329"/>
      <c r="X298" s="329"/>
      <c r="Z298" s="329"/>
      <c r="AB298" s="329"/>
      <c r="AD298" s="329"/>
      <c r="AF298" s="329"/>
      <c r="AH298" s="329"/>
      <c r="AJ298" s="329"/>
      <c r="AL298" s="329"/>
      <c r="AN298" s="329"/>
      <c r="AP298" s="329"/>
      <c r="AR298" s="329"/>
      <c r="AT298" s="329"/>
      <c r="AV298" s="329"/>
      <c r="AX298" s="329"/>
      <c r="AZ298" s="329"/>
      <c r="BB298" s="329"/>
      <c r="BD298" s="329"/>
      <c r="BF298" s="329"/>
      <c r="BH298" s="329"/>
      <c r="BJ298" s="329"/>
      <c r="BL298" s="329"/>
      <c r="BN298" s="329"/>
    </row>
    <row r="299" spans="2:66">
      <c r="B299" s="329" t="s">
        <v>1683</v>
      </c>
      <c r="C299" s="447" t="s">
        <v>2318</v>
      </c>
      <c r="D299" s="698" t="s">
        <v>1994</v>
      </c>
      <c r="F299" s="326" t="s">
        <v>2242</v>
      </c>
      <c r="N299" s="329"/>
      <c r="P299" s="329"/>
      <c r="R299" s="329"/>
      <c r="T299" s="329"/>
      <c r="V299" s="329"/>
      <c r="X299" s="329"/>
      <c r="Z299" s="329"/>
      <c r="AB299" s="329"/>
      <c r="AD299" s="329"/>
      <c r="AF299" s="329"/>
      <c r="AH299" s="329"/>
      <c r="AJ299" s="329"/>
      <c r="AL299" s="329"/>
      <c r="AN299" s="329"/>
      <c r="AP299" s="329"/>
      <c r="AR299" s="329"/>
      <c r="AT299" s="329"/>
      <c r="AV299" s="329"/>
      <c r="AX299" s="329"/>
      <c r="AZ299" s="329"/>
      <c r="BB299" s="329"/>
      <c r="BD299" s="329"/>
      <c r="BF299" s="329"/>
      <c r="BH299" s="329"/>
      <c r="BJ299" s="329"/>
      <c r="BL299" s="329"/>
      <c r="BN299" s="329"/>
    </row>
    <row r="300" spans="2:66">
      <c r="B300" s="329" t="s">
        <v>1683</v>
      </c>
      <c r="C300" s="447" t="s">
        <v>2319</v>
      </c>
      <c r="D300" s="698" t="s">
        <v>1994</v>
      </c>
      <c r="F300" s="326" t="s">
        <v>2242</v>
      </c>
      <c r="N300" s="329"/>
      <c r="P300" s="329"/>
      <c r="R300" s="329"/>
      <c r="T300" s="329"/>
      <c r="V300" s="329"/>
      <c r="X300" s="329"/>
      <c r="Z300" s="329"/>
      <c r="AB300" s="329"/>
      <c r="AD300" s="329"/>
      <c r="AF300" s="329"/>
      <c r="AH300" s="329"/>
      <c r="AJ300" s="329"/>
      <c r="AL300" s="329"/>
      <c r="AN300" s="329"/>
      <c r="AP300" s="329"/>
      <c r="AR300" s="329"/>
      <c r="AT300" s="329"/>
      <c r="AV300" s="329"/>
      <c r="AX300" s="329"/>
      <c r="AZ300" s="329"/>
      <c r="BB300" s="329"/>
      <c r="BD300" s="329"/>
      <c r="BF300" s="329"/>
      <c r="BH300" s="329"/>
      <c r="BJ300" s="329"/>
      <c r="BL300" s="329"/>
      <c r="BN300" s="329"/>
    </row>
    <row r="301" spans="2:66">
      <c r="B301" s="329" t="s">
        <v>1683</v>
      </c>
      <c r="C301" s="447" t="s">
        <v>2320</v>
      </c>
      <c r="D301" s="698" t="s">
        <v>1995</v>
      </c>
      <c r="F301" s="326" t="s">
        <v>2242</v>
      </c>
      <c r="N301" s="329"/>
      <c r="P301" s="329"/>
      <c r="R301" s="329"/>
      <c r="T301" s="329"/>
      <c r="V301" s="329"/>
      <c r="X301" s="329"/>
      <c r="Z301" s="329"/>
      <c r="AB301" s="329"/>
      <c r="AD301" s="329"/>
      <c r="AF301" s="329"/>
      <c r="AH301" s="329"/>
      <c r="AJ301" s="329"/>
      <c r="AL301" s="329"/>
      <c r="AN301" s="329"/>
      <c r="AP301" s="329"/>
      <c r="AR301" s="329"/>
      <c r="AT301" s="329"/>
      <c r="AV301" s="329"/>
      <c r="AX301" s="329"/>
      <c r="AZ301" s="329"/>
      <c r="BB301" s="329"/>
      <c r="BD301" s="329"/>
      <c r="BF301" s="329"/>
      <c r="BH301" s="329"/>
      <c r="BJ301" s="329"/>
      <c r="BL301" s="329"/>
      <c r="BN301" s="329"/>
    </row>
    <row r="302" spans="2:66">
      <c r="B302" s="329" t="s">
        <v>1683</v>
      </c>
      <c r="C302" s="447" t="s">
        <v>2321</v>
      </c>
      <c r="D302" s="698" t="s">
        <v>1994</v>
      </c>
      <c r="F302" s="326" t="s">
        <v>2242</v>
      </c>
      <c r="N302" s="329"/>
      <c r="P302" s="329"/>
      <c r="R302" s="329"/>
      <c r="T302" s="329"/>
      <c r="V302" s="329"/>
      <c r="X302" s="329"/>
      <c r="Z302" s="329"/>
      <c r="AB302" s="329"/>
      <c r="AD302" s="329"/>
      <c r="AF302" s="329"/>
      <c r="AH302" s="329"/>
      <c r="AJ302" s="329"/>
      <c r="AL302" s="329"/>
      <c r="AN302" s="329"/>
      <c r="AP302" s="329"/>
      <c r="AR302" s="329"/>
      <c r="AT302" s="329"/>
      <c r="AV302" s="329"/>
      <c r="AX302" s="329"/>
      <c r="AZ302" s="329"/>
      <c r="BB302" s="329"/>
      <c r="BD302" s="329"/>
      <c r="BF302" s="329"/>
      <c r="BH302" s="329"/>
      <c r="BJ302" s="329"/>
      <c r="BL302" s="329"/>
      <c r="BN302" s="329"/>
    </row>
    <row r="303" spans="2:66">
      <c r="B303" s="329" t="s">
        <v>1683</v>
      </c>
      <c r="C303" s="447" t="s">
        <v>2322</v>
      </c>
      <c r="D303" s="698" t="s">
        <v>1994</v>
      </c>
      <c r="F303" s="326" t="s">
        <v>2242</v>
      </c>
      <c r="N303" s="329"/>
      <c r="P303" s="329"/>
      <c r="R303" s="329"/>
      <c r="T303" s="329"/>
      <c r="V303" s="329"/>
      <c r="X303" s="329"/>
      <c r="Z303" s="329"/>
      <c r="AB303" s="329"/>
      <c r="AD303" s="329"/>
      <c r="AF303" s="329"/>
      <c r="AH303" s="329"/>
      <c r="AJ303" s="329"/>
      <c r="AL303" s="329"/>
      <c r="AN303" s="329"/>
      <c r="AP303" s="329"/>
      <c r="AR303" s="329"/>
      <c r="AT303" s="329"/>
      <c r="AV303" s="329"/>
      <c r="AX303" s="329"/>
      <c r="AZ303" s="329"/>
      <c r="BB303" s="329"/>
      <c r="BD303" s="329"/>
      <c r="BF303" s="329"/>
      <c r="BH303" s="329"/>
      <c r="BJ303" s="329"/>
      <c r="BL303" s="329"/>
      <c r="BN303" s="329"/>
    </row>
    <row r="304" spans="2:66">
      <c r="B304" s="329" t="s">
        <v>1683</v>
      </c>
      <c r="C304" s="447" t="s">
        <v>2323</v>
      </c>
      <c r="D304" s="698" t="s">
        <v>1994</v>
      </c>
      <c r="F304" s="326" t="s">
        <v>2242</v>
      </c>
      <c r="N304" s="329"/>
      <c r="P304" s="329"/>
      <c r="R304" s="329"/>
      <c r="T304" s="329"/>
      <c r="V304" s="329"/>
      <c r="X304" s="329"/>
      <c r="Z304" s="329"/>
      <c r="AB304" s="329"/>
      <c r="AD304" s="329"/>
      <c r="AF304" s="329"/>
      <c r="AH304" s="329"/>
      <c r="AJ304" s="329"/>
      <c r="AL304" s="329"/>
      <c r="AN304" s="329"/>
      <c r="AP304" s="329"/>
      <c r="AR304" s="329"/>
      <c r="AT304" s="329"/>
      <c r="AV304" s="329"/>
      <c r="AX304" s="329"/>
      <c r="AZ304" s="329"/>
      <c r="BB304" s="329"/>
      <c r="BD304" s="329"/>
      <c r="BF304" s="329"/>
      <c r="BH304" s="329"/>
      <c r="BJ304" s="329"/>
      <c r="BL304" s="329"/>
      <c r="BN304" s="329"/>
    </row>
    <row r="305" spans="2:66" ht="37.5">
      <c r="B305" s="329" t="s">
        <v>1683</v>
      </c>
      <c r="D305" s="698" t="s">
        <v>1996</v>
      </c>
      <c r="F305" s="326" t="s">
        <v>2242</v>
      </c>
      <c r="N305" s="329"/>
      <c r="P305" s="329"/>
      <c r="R305" s="329"/>
      <c r="T305" s="329"/>
      <c r="V305" s="329"/>
      <c r="X305" s="329"/>
      <c r="Z305" s="329"/>
      <c r="AB305" s="329"/>
      <c r="AD305" s="329"/>
      <c r="AF305" s="329"/>
      <c r="AH305" s="329"/>
      <c r="AJ305" s="329"/>
      <c r="AL305" s="329"/>
      <c r="AN305" s="329"/>
      <c r="AP305" s="329"/>
      <c r="AR305" s="329"/>
      <c r="AT305" s="329"/>
      <c r="AV305" s="329"/>
      <c r="AX305" s="329"/>
      <c r="AZ305" s="329"/>
      <c r="BB305" s="329"/>
      <c r="BD305" s="329"/>
      <c r="BF305" s="329"/>
      <c r="BH305" s="329"/>
      <c r="BJ305" s="329"/>
      <c r="BL305" s="329"/>
      <c r="BN305" s="329"/>
    </row>
    <row r="306" spans="2:66">
      <c r="B306" s="329" t="s">
        <v>1683</v>
      </c>
      <c r="C306" s="447" t="s">
        <v>2280</v>
      </c>
      <c r="D306" s="698" t="s">
        <v>1997</v>
      </c>
      <c r="F306" s="326" t="s">
        <v>2242</v>
      </c>
      <c r="N306" s="329"/>
      <c r="P306" s="329"/>
      <c r="R306" s="329"/>
      <c r="T306" s="329"/>
      <c r="V306" s="329"/>
      <c r="X306" s="329"/>
      <c r="Z306" s="329"/>
      <c r="AB306" s="329"/>
      <c r="AD306" s="329"/>
      <c r="AF306" s="329"/>
      <c r="AH306" s="329"/>
      <c r="AJ306" s="329"/>
      <c r="AL306" s="329"/>
      <c r="AN306" s="329"/>
      <c r="AP306" s="329"/>
      <c r="AR306" s="329"/>
      <c r="AT306" s="329"/>
      <c r="AV306" s="329"/>
      <c r="AX306" s="329"/>
      <c r="AZ306" s="329"/>
      <c r="BB306" s="329"/>
      <c r="BD306" s="329"/>
      <c r="BF306" s="329"/>
      <c r="BH306" s="329"/>
      <c r="BJ306" s="329"/>
      <c r="BL306" s="329"/>
      <c r="BN306" s="329"/>
    </row>
    <row r="307" spans="2:66" ht="37.5">
      <c r="B307" s="329" t="s">
        <v>1683</v>
      </c>
      <c r="C307" s="447" t="s">
        <v>2324</v>
      </c>
      <c r="D307" s="536" t="s">
        <v>1998</v>
      </c>
      <c r="F307" s="326" t="s">
        <v>2242</v>
      </c>
      <c r="N307" s="329"/>
      <c r="P307" s="329"/>
      <c r="R307" s="329"/>
      <c r="T307" s="329"/>
      <c r="V307" s="329"/>
      <c r="X307" s="329"/>
      <c r="Z307" s="329"/>
      <c r="AB307" s="329"/>
      <c r="AD307" s="329"/>
      <c r="AF307" s="329"/>
      <c r="AH307" s="329"/>
      <c r="AJ307" s="329"/>
      <c r="AL307" s="329"/>
      <c r="AN307" s="329"/>
      <c r="AP307" s="329"/>
      <c r="AR307" s="329"/>
      <c r="AT307" s="329"/>
      <c r="AV307" s="329"/>
      <c r="AX307" s="329"/>
      <c r="AZ307" s="329"/>
      <c r="BB307" s="329"/>
      <c r="BD307" s="329"/>
      <c r="BF307" s="329"/>
      <c r="BH307" s="329"/>
      <c r="BJ307" s="329"/>
      <c r="BL307" s="329"/>
      <c r="BN307" s="329"/>
    </row>
    <row r="308" spans="2:66" ht="37.5">
      <c r="B308" s="329" t="s">
        <v>1683</v>
      </c>
      <c r="C308" s="447" t="s">
        <v>2325</v>
      </c>
      <c r="D308" s="536" t="s">
        <v>1998</v>
      </c>
      <c r="F308" s="326" t="s">
        <v>2242</v>
      </c>
      <c r="N308" s="329"/>
      <c r="P308" s="329"/>
      <c r="R308" s="329"/>
      <c r="T308" s="329"/>
      <c r="V308" s="329"/>
      <c r="X308" s="329"/>
      <c r="Z308" s="329"/>
      <c r="AB308" s="329"/>
      <c r="AD308" s="329"/>
      <c r="AF308" s="329"/>
      <c r="AH308" s="329"/>
      <c r="AJ308" s="329"/>
      <c r="AL308" s="329"/>
      <c r="AN308" s="329"/>
      <c r="AP308" s="329"/>
      <c r="AR308" s="329"/>
      <c r="AT308" s="329"/>
      <c r="AV308" s="329"/>
      <c r="AX308" s="329"/>
      <c r="AZ308" s="329"/>
      <c r="BB308" s="329"/>
      <c r="BD308" s="329"/>
      <c r="BF308" s="329"/>
      <c r="BH308" s="329"/>
      <c r="BJ308" s="329"/>
      <c r="BL308" s="329"/>
      <c r="BN308" s="329"/>
    </row>
    <row r="309" spans="2:66" ht="37.5">
      <c r="B309" s="329" t="s">
        <v>1683</v>
      </c>
      <c r="C309" s="447" t="s">
        <v>2326</v>
      </c>
      <c r="D309" s="536" t="s">
        <v>1998</v>
      </c>
      <c r="F309" s="326" t="s">
        <v>2242</v>
      </c>
      <c r="N309" s="329"/>
      <c r="P309" s="329"/>
      <c r="R309" s="329"/>
      <c r="T309" s="329"/>
      <c r="V309" s="329"/>
      <c r="X309" s="329"/>
      <c r="Z309" s="329"/>
      <c r="AB309" s="329"/>
      <c r="AD309" s="329"/>
      <c r="AF309" s="329"/>
      <c r="AH309" s="329"/>
      <c r="AJ309" s="329"/>
      <c r="AL309" s="329"/>
      <c r="AN309" s="329"/>
      <c r="AP309" s="329"/>
      <c r="AR309" s="329"/>
      <c r="AT309" s="329"/>
      <c r="AV309" s="329"/>
      <c r="AX309" s="329"/>
      <c r="AZ309" s="329"/>
      <c r="BB309" s="329"/>
      <c r="BD309" s="329"/>
      <c r="BF309" s="329"/>
      <c r="BH309" s="329"/>
      <c r="BJ309" s="329"/>
      <c r="BL309" s="329"/>
      <c r="BN309" s="329"/>
    </row>
    <row r="310" spans="2:66" ht="37.5">
      <c r="B310" s="329" t="s">
        <v>1683</v>
      </c>
      <c r="C310" s="447" t="s">
        <v>2327</v>
      </c>
      <c r="D310" s="536" t="s">
        <v>1998</v>
      </c>
      <c r="F310" s="326" t="s">
        <v>2242</v>
      </c>
      <c r="N310" s="329"/>
      <c r="P310" s="329"/>
      <c r="R310" s="329"/>
      <c r="T310" s="329"/>
      <c r="V310" s="329"/>
      <c r="X310" s="329"/>
      <c r="Z310" s="329"/>
      <c r="AB310" s="329"/>
      <c r="AD310" s="329"/>
      <c r="AF310" s="329"/>
      <c r="AH310" s="329"/>
      <c r="AJ310" s="329"/>
      <c r="AL310" s="329"/>
      <c r="AN310" s="329"/>
      <c r="AP310" s="329"/>
      <c r="AR310" s="329"/>
      <c r="AT310" s="329"/>
      <c r="AV310" s="329"/>
      <c r="AX310" s="329"/>
      <c r="AZ310" s="329"/>
      <c r="BB310" s="329"/>
      <c r="BD310" s="329"/>
      <c r="BF310" s="329"/>
      <c r="BH310" s="329"/>
      <c r="BJ310" s="329"/>
      <c r="BL310" s="329"/>
      <c r="BN310" s="329"/>
    </row>
    <row r="311" spans="2:66" ht="37.5">
      <c r="B311" s="329" t="s">
        <v>1683</v>
      </c>
      <c r="C311" s="447" t="s">
        <v>2328</v>
      </c>
      <c r="D311" s="536" t="s">
        <v>1998</v>
      </c>
      <c r="F311" s="326" t="s">
        <v>2242</v>
      </c>
      <c r="N311" s="329"/>
      <c r="P311" s="329"/>
      <c r="R311" s="329"/>
      <c r="T311" s="329"/>
      <c r="V311" s="329"/>
      <c r="X311" s="329"/>
      <c r="Z311" s="329"/>
      <c r="AB311" s="329"/>
      <c r="AD311" s="329"/>
      <c r="AF311" s="329"/>
      <c r="AH311" s="329"/>
      <c r="AJ311" s="329"/>
      <c r="AL311" s="329"/>
      <c r="AN311" s="329"/>
      <c r="AP311" s="329"/>
      <c r="AR311" s="329"/>
      <c r="AT311" s="329"/>
      <c r="AV311" s="329"/>
      <c r="AX311" s="329"/>
      <c r="AZ311" s="329"/>
      <c r="BB311" s="329"/>
      <c r="BD311" s="329"/>
      <c r="BF311" s="329"/>
      <c r="BH311" s="329"/>
      <c r="BJ311" s="329"/>
      <c r="BL311" s="329"/>
      <c r="BN311" s="329"/>
    </row>
    <row r="312" spans="2:66" ht="37.5">
      <c r="B312" s="329" t="s">
        <v>1683</v>
      </c>
      <c r="C312" s="447" t="s">
        <v>2329</v>
      </c>
      <c r="D312" s="536" t="s">
        <v>1998</v>
      </c>
      <c r="F312" s="326" t="s">
        <v>2242</v>
      </c>
      <c r="N312" s="329"/>
      <c r="P312" s="329"/>
      <c r="R312" s="329"/>
      <c r="T312" s="329"/>
      <c r="V312" s="329"/>
      <c r="X312" s="329"/>
      <c r="Z312" s="329"/>
      <c r="AB312" s="329"/>
      <c r="AD312" s="329"/>
      <c r="AF312" s="329"/>
      <c r="AH312" s="329"/>
      <c r="AJ312" s="329"/>
      <c r="AL312" s="329"/>
      <c r="AN312" s="329"/>
      <c r="AP312" s="329"/>
      <c r="AR312" s="329"/>
      <c r="AT312" s="329"/>
      <c r="AV312" s="329"/>
      <c r="AX312" s="329"/>
      <c r="AZ312" s="329"/>
      <c r="BB312" s="329"/>
      <c r="BD312" s="329"/>
      <c r="BF312" s="329"/>
      <c r="BH312" s="329"/>
      <c r="BJ312" s="329"/>
      <c r="BL312" s="329"/>
      <c r="BN312" s="329"/>
    </row>
    <row r="313" spans="2:66" ht="37.5">
      <c r="B313" s="329" t="s">
        <v>1683</v>
      </c>
      <c r="C313" s="447" t="s">
        <v>2330</v>
      </c>
      <c r="D313" s="536" t="s">
        <v>1998</v>
      </c>
      <c r="F313" s="326" t="s">
        <v>2242</v>
      </c>
      <c r="N313" s="329"/>
      <c r="P313" s="329"/>
      <c r="R313" s="329"/>
      <c r="T313" s="329"/>
      <c r="V313" s="329"/>
      <c r="X313" s="329"/>
      <c r="Z313" s="329"/>
      <c r="AB313" s="329"/>
      <c r="AD313" s="329"/>
      <c r="AF313" s="329"/>
      <c r="AH313" s="329"/>
      <c r="AJ313" s="329"/>
      <c r="AL313" s="329"/>
      <c r="AN313" s="329"/>
      <c r="AP313" s="329"/>
      <c r="AR313" s="329"/>
      <c r="AT313" s="329"/>
      <c r="AV313" s="329"/>
      <c r="AX313" s="329"/>
      <c r="AZ313" s="329"/>
      <c r="BB313" s="329"/>
      <c r="BD313" s="329"/>
      <c r="BF313" s="329"/>
      <c r="BH313" s="329"/>
      <c r="BJ313" s="329"/>
      <c r="BL313" s="329"/>
      <c r="BN313" s="329"/>
    </row>
    <row r="314" spans="2:66" ht="37.5">
      <c r="B314" s="329" t="s">
        <v>1683</v>
      </c>
      <c r="C314" s="447" t="s">
        <v>2331</v>
      </c>
      <c r="D314" s="536" t="s">
        <v>1998</v>
      </c>
      <c r="F314" s="326" t="s">
        <v>2242</v>
      </c>
      <c r="N314" s="329"/>
      <c r="P314" s="329"/>
      <c r="R314" s="329"/>
      <c r="T314" s="329"/>
      <c r="V314" s="329"/>
      <c r="X314" s="329"/>
      <c r="Z314" s="329"/>
      <c r="AB314" s="329"/>
      <c r="AD314" s="329"/>
      <c r="AF314" s="329"/>
      <c r="AH314" s="329"/>
      <c r="AJ314" s="329"/>
      <c r="AL314" s="329"/>
      <c r="AN314" s="329"/>
      <c r="AP314" s="329"/>
      <c r="AR314" s="329"/>
      <c r="AT314" s="329"/>
      <c r="AV314" s="329"/>
      <c r="AX314" s="329"/>
      <c r="AZ314" s="329"/>
      <c r="BB314" s="329"/>
      <c r="BD314" s="329"/>
      <c r="BF314" s="329"/>
      <c r="BH314" s="329"/>
      <c r="BJ314" s="329"/>
      <c r="BL314" s="329"/>
      <c r="BN314" s="329"/>
    </row>
    <row r="315" spans="2:66" ht="37.5">
      <c r="B315" s="329" t="s">
        <v>1683</v>
      </c>
      <c r="C315" s="447" t="s">
        <v>2332</v>
      </c>
      <c r="D315" s="536" t="s">
        <v>1998</v>
      </c>
      <c r="F315" s="326" t="s">
        <v>2242</v>
      </c>
      <c r="N315" s="329"/>
      <c r="P315" s="329"/>
      <c r="R315" s="329"/>
      <c r="T315" s="329"/>
      <c r="V315" s="329"/>
      <c r="X315" s="329"/>
      <c r="Z315" s="329"/>
      <c r="AB315" s="329"/>
      <c r="AD315" s="329"/>
      <c r="AF315" s="329"/>
      <c r="AH315" s="329"/>
      <c r="AJ315" s="329"/>
      <c r="AL315" s="329"/>
      <c r="AN315" s="329"/>
      <c r="AP315" s="329"/>
      <c r="AR315" s="329"/>
      <c r="AT315" s="329"/>
      <c r="AV315" s="329"/>
      <c r="AX315" s="329"/>
      <c r="AZ315" s="329"/>
      <c r="BB315" s="329"/>
      <c r="BD315" s="329"/>
      <c r="BF315" s="329"/>
      <c r="BH315" s="329"/>
      <c r="BJ315" s="329"/>
      <c r="BL315" s="329"/>
      <c r="BN315" s="329"/>
    </row>
    <row r="316" spans="2:66" ht="37.5">
      <c r="B316" s="329" t="s">
        <v>1683</v>
      </c>
      <c r="C316" s="447" t="s">
        <v>2333</v>
      </c>
      <c r="D316" s="536" t="s">
        <v>1998</v>
      </c>
      <c r="F316" s="326" t="s">
        <v>2242</v>
      </c>
      <c r="N316" s="329"/>
      <c r="P316" s="329"/>
      <c r="R316" s="329"/>
      <c r="T316" s="329"/>
      <c r="V316" s="329"/>
      <c r="X316" s="329"/>
      <c r="Z316" s="329"/>
      <c r="AB316" s="329"/>
      <c r="AD316" s="329"/>
      <c r="AF316" s="329"/>
      <c r="AH316" s="329"/>
      <c r="AJ316" s="329"/>
      <c r="AL316" s="329"/>
      <c r="AN316" s="329"/>
      <c r="AP316" s="329"/>
      <c r="AR316" s="329"/>
      <c r="AT316" s="329"/>
      <c r="AV316" s="329"/>
      <c r="AX316" s="329"/>
      <c r="AZ316" s="329"/>
      <c r="BB316" s="329"/>
      <c r="BD316" s="329"/>
      <c r="BF316" s="329"/>
      <c r="BH316" s="329"/>
      <c r="BJ316" s="329"/>
      <c r="BL316" s="329"/>
      <c r="BN316" s="329"/>
    </row>
    <row r="317" spans="2:66" ht="37.5">
      <c r="B317" s="329" t="s">
        <v>1683</v>
      </c>
      <c r="C317" s="447" t="s">
        <v>2334</v>
      </c>
      <c r="D317" s="536" t="s">
        <v>1998</v>
      </c>
      <c r="F317" s="326" t="s">
        <v>2242</v>
      </c>
      <c r="N317" s="329"/>
      <c r="P317" s="329"/>
      <c r="R317" s="329"/>
      <c r="T317" s="329"/>
      <c r="V317" s="329"/>
      <c r="X317" s="329"/>
      <c r="Z317" s="329"/>
      <c r="AB317" s="329"/>
      <c r="AD317" s="329"/>
      <c r="AF317" s="329"/>
      <c r="AH317" s="329"/>
      <c r="AJ317" s="329"/>
      <c r="AL317" s="329"/>
      <c r="AN317" s="329"/>
      <c r="AP317" s="329"/>
      <c r="AR317" s="329"/>
      <c r="AT317" s="329"/>
      <c r="AV317" s="329"/>
      <c r="AX317" s="329"/>
      <c r="AZ317" s="329"/>
      <c r="BB317" s="329"/>
      <c r="BD317" s="329"/>
      <c r="BF317" s="329"/>
      <c r="BH317" s="329"/>
      <c r="BJ317" s="329"/>
      <c r="BL317" s="329"/>
      <c r="BN317" s="329"/>
    </row>
    <row r="318" spans="2:66" ht="37.5">
      <c r="B318" s="329" t="s">
        <v>1683</v>
      </c>
      <c r="C318" s="447" t="s">
        <v>2335</v>
      </c>
      <c r="D318" s="536" t="s">
        <v>1998</v>
      </c>
      <c r="F318" s="326" t="s">
        <v>2242</v>
      </c>
      <c r="N318" s="329"/>
      <c r="P318" s="329"/>
      <c r="R318" s="329"/>
      <c r="T318" s="329"/>
      <c r="V318" s="329"/>
      <c r="X318" s="329"/>
      <c r="Z318" s="329"/>
      <c r="AB318" s="329"/>
      <c r="AD318" s="329"/>
      <c r="AF318" s="329"/>
      <c r="AH318" s="329"/>
      <c r="AJ318" s="329"/>
      <c r="AL318" s="329"/>
      <c r="AN318" s="329"/>
      <c r="AP318" s="329"/>
      <c r="AR318" s="329"/>
      <c r="AT318" s="329"/>
      <c r="AV318" s="329"/>
      <c r="AX318" s="329"/>
      <c r="AZ318" s="329"/>
      <c r="BB318" s="329"/>
      <c r="BD318" s="329"/>
      <c r="BF318" s="329"/>
      <c r="BH318" s="329"/>
      <c r="BJ318" s="329"/>
      <c r="BL318" s="329"/>
      <c r="BN318" s="329"/>
    </row>
    <row r="319" spans="2:66" ht="37.5">
      <c r="B319" s="329" t="s">
        <v>1683</v>
      </c>
      <c r="C319" s="447" t="s">
        <v>2336</v>
      </c>
      <c r="D319" s="536" t="s">
        <v>1998</v>
      </c>
      <c r="F319" s="326" t="s">
        <v>2242</v>
      </c>
      <c r="N319" s="329"/>
      <c r="P319" s="329"/>
      <c r="R319" s="329"/>
      <c r="T319" s="329"/>
      <c r="V319" s="329"/>
      <c r="X319" s="329"/>
      <c r="Z319" s="329"/>
      <c r="AB319" s="329"/>
      <c r="AD319" s="329"/>
      <c r="AF319" s="329"/>
      <c r="AH319" s="329"/>
      <c r="AJ319" s="329"/>
      <c r="AL319" s="329"/>
      <c r="AN319" s="329"/>
      <c r="AP319" s="329"/>
      <c r="AR319" s="329"/>
      <c r="AT319" s="329"/>
      <c r="AV319" s="329"/>
      <c r="AX319" s="329"/>
      <c r="AZ319" s="329"/>
      <c r="BB319" s="329"/>
      <c r="BD319" s="329"/>
      <c r="BF319" s="329"/>
      <c r="BH319" s="329"/>
      <c r="BJ319" s="329"/>
      <c r="BL319" s="329"/>
      <c r="BN319" s="329"/>
    </row>
    <row r="320" spans="2:66" ht="56.25">
      <c r="B320" s="329" t="s">
        <v>1683</v>
      </c>
      <c r="C320" s="447" t="s">
        <v>2265</v>
      </c>
      <c r="D320" s="536" t="s">
        <v>1999</v>
      </c>
      <c r="F320" s="326" t="s">
        <v>2242</v>
      </c>
      <c r="N320" s="329"/>
      <c r="P320" s="329"/>
      <c r="R320" s="329"/>
      <c r="T320" s="329"/>
      <c r="V320" s="329"/>
      <c r="X320" s="329"/>
      <c r="Z320" s="329"/>
      <c r="AB320" s="329"/>
      <c r="AD320" s="329"/>
      <c r="AF320" s="329"/>
      <c r="AH320" s="329"/>
      <c r="AJ320" s="329"/>
      <c r="AL320" s="329"/>
      <c r="AN320" s="329"/>
      <c r="AP320" s="329"/>
      <c r="AR320" s="329"/>
      <c r="AT320" s="329"/>
      <c r="AV320" s="329"/>
      <c r="AX320" s="329"/>
      <c r="AZ320" s="329"/>
      <c r="BB320" s="329"/>
      <c r="BD320" s="329"/>
      <c r="BF320" s="329"/>
      <c r="BH320" s="329"/>
      <c r="BJ320" s="329"/>
      <c r="BL320" s="329"/>
      <c r="BN320" s="329"/>
    </row>
    <row r="321" spans="2:66">
      <c r="B321" s="329" t="s">
        <v>1683</v>
      </c>
      <c r="C321" s="447" t="s">
        <v>2337</v>
      </c>
      <c r="D321" s="698" t="s">
        <v>2000</v>
      </c>
      <c r="F321" s="326" t="s">
        <v>2242</v>
      </c>
      <c r="N321" s="329"/>
      <c r="P321" s="329"/>
      <c r="R321" s="329"/>
      <c r="T321" s="329"/>
      <c r="V321" s="329"/>
      <c r="X321" s="329"/>
      <c r="Z321" s="329"/>
      <c r="AB321" s="329"/>
      <c r="AD321" s="329"/>
      <c r="AF321" s="329"/>
      <c r="AH321" s="329"/>
      <c r="AJ321" s="329"/>
      <c r="AL321" s="329"/>
      <c r="AN321" s="329"/>
      <c r="AP321" s="329"/>
      <c r="AR321" s="329"/>
      <c r="AT321" s="329"/>
      <c r="AV321" s="329"/>
      <c r="AX321" s="329"/>
      <c r="AZ321" s="329"/>
      <c r="BB321" s="329"/>
      <c r="BD321" s="329"/>
      <c r="BF321" s="329"/>
      <c r="BH321" s="329"/>
      <c r="BJ321" s="329"/>
      <c r="BL321" s="329"/>
      <c r="BN321" s="329"/>
    </row>
    <row r="322" spans="2:66">
      <c r="B322" s="329" t="s">
        <v>1683</v>
      </c>
      <c r="C322" s="447" t="s">
        <v>2338</v>
      </c>
      <c r="D322" s="698" t="s">
        <v>2000</v>
      </c>
      <c r="F322" s="326" t="s">
        <v>2242</v>
      </c>
      <c r="N322" s="329"/>
      <c r="P322" s="329"/>
      <c r="R322" s="329"/>
      <c r="T322" s="329"/>
      <c r="V322" s="329"/>
      <c r="X322" s="329"/>
      <c r="Z322" s="329"/>
      <c r="AB322" s="329"/>
      <c r="AD322" s="329"/>
      <c r="AF322" s="329"/>
      <c r="AH322" s="329"/>
      <c r="AJ322" s="329"/>
      <c r="AL322" s="329"/>
      <c r="AN322" s="329"/>
      <c r="AP322" s="329"/>
      <c r="AR322" s="329"/>
      <c r="AT322" s="329"/>
      <c r="AV322" s="329"/>
      <c r="AX322" s="329"/>
      <c r="AZ322" s="329"/>
      <c r="BB322" s="329"/>
      <c r="BD322" s="329"/>
      <c r="BF322" s="329"/>
      <c r="BH322" s="329"/>
      <c r="BJ322" s="329"/>
      <c r="BL322" s="329"/>
      <c r="BN322" s="329"/>
    </row>
    <row r="323" spans="2:66">
      <c r="B323" s="329" t="s">
        <v>1683</v>
      </c>
      <c r="C323" s="447" t="s">
        <v>2339</v>
      </c>
      <c r="D323" s="698" t="s">
        <v>2001</v>
      </c>
      <c r="F323" s="326" t="s">
        <v>2242</v>
      </c>
      <c r="N323" s="329"/>
      <c r="P323" s="329"/>
      <c r="R323" s="329"/>
      <c r="T323" s="329"/>
      <c r="V323" s="329"/>
      <c r="X323" s="329"/>
      <c r="Z323" s="329"/>
      <c r="AB323" s="329"/>
      <c r="AD323" s="329"/>
      <c r="AF323" s="329"/>
      <c r="AH323" s="329"/>
      <c r="AJ323" s="329"/>
      <c r="AL323" s="329"/>
      <c r="AN323" s="329"/>
      <c r="AP323" s="329"/>
      <c r="AR323" s="329"/>
      <c r="AT323" s="329"/>
      <c r="AV323" s="329"/>
      <c r="AX323" s="329"/>
      <c r="AZ323" s="329"/>
      <c r="BB323" s="329"/>
      <c r="BD323" s="329"/>
      <c r="BF323" s="329"/>
      <c r="BH323" s="329"/>
      <c r="BJ323" s="329"/>
      <c r="BL323" s="329"/>
      <c r="BN323" s="329"/>
    </row>
    <row r="324" spans="2:66" ht="37.5">
      <c r="B324" s="329" t="s">
        <v>1683</v>
      </c>
      <c r="C324" s="447" t="s">
        <v>2276</v>
      </c>
      <c r="D324" s="698" t="s">
        <v>2002</v>
      </c>
      <c r="F324" s="326" t="s">
        <v>2242</v>
      </c>
      <c r="N324" s="329"/>
      <c r="P324" s="329"/>
      <c r="R324" s="329"/>
      <c r="T324" s="329"/>
      <c r="V324" s="329"/>
      <c r="X324" s="329"/>
      <c r="Z324" s="329"/>
      <c r="AB324" s="329"/>
      <c r="AD324" s="329"/>
      <c r="AF324" s="329"/>
      <c r="AH324" s="329"/>
      <c r="AJ324" s="329"/>
      <c r="AL324" s="329"/>
      <c r="AN324" s="329"/>
      <c r="AP324" s="329"/>
      <c r="AR324" s="329"/>
      <c r="AT324" s="329"/>
      <c r="AV324" s="329"/>
      <c r="AX324" s="329"/>
      <c r="AZ324" s="329"/>
      <c r="BB324" s="329"/>
      <c r="BD324" s="329"/>
      <c r="BF324" s="329"/>
      <c r="BH324" s="329"/>
      <c r="BJ324" s="329"/>
      <c r="BL324" s="329"/>
      <c r="BN324" s="329"/>
    </row>
    <row r="325" spans="2:66" ht="37.5">
      <c r="B325" s="329" t="s">
        <v>1683</v>
      </c>
      <c r="C325" s="447" t="s">
        <v>2340</v>
      </c>
      <c r="D325" s="530" t="s">
        <v>2003</v>
      </c>
      <c r="F325" s="326" t="s">
        <v>2242</v>
      </c>
      <c r="N325" s="329"/>
      <c r="P325" s="329"/>
      <c r="R325" s="329"/>
      <c r="T325" s="329"/>
      <c r="V325" s="329"/>
      <c r="X325" s="329"/>
      <c r="Z325" s="329"/>
      <c r="AB325" s="329"/>
      <c r="AD325" s="329"/>
      <c r="AF325" s="329"/>
      <c r="AH325" s="329"/>
      <c r="AJ325" s="329"/>
      <c r="AL325" s="329"/>
      <c r="AN325" s="329"/>
      <c r="AP325" s="329"/>
      <c r="AR325" s="329"/>
      <c r="AT325" s="329"/>
      <c r="AV325" s="329"/>
      <c r="AX325" s="329"/>
      <c r="AZ325" s="329"/>
      <c r="BB325" s="329"/>
      <c r="BD325" s="329"/>
      <c r="BF325" s="329"/>
      <c r="BH325" s="329"/>
      <c r="BJ325" s="329"/>
      <c r="BL325" s="329"/>
      <c r="BN325" s="329"/>
    </row>
    <row r="326" spans="2:66">
      <c r="B326" s="329" t="s">
        <v>1683</v>
      </c>
      <c r="C326" s="447" t="s">
        <v>2341</v>
      </c>
      <c r="D326" s="530" t="s">
        <v>2004</v>
      </c>
      <c r="F326" s="326" t="s">
        <v>2242</v>
      </c>
      <c r="N326" s="329"/>
      <c r="P326" s="329"/>
      <c r="R326" s="329"/>
      <c r="T326" s="329"/>
      <c r="V326" s="329"/>
      <c r="X326" s="329"/>
      <c r="Z326" s="329"/>
      <c r="AB326" s="329"/>
      <c r="AD326" s="329"/>
      <c r="AF326" s="329"/>
      <c r="AH326" s="329"/>
      <c r="AJ326" s="329"/>
      <c r="AL326" s="329"/>
      <c r="AN326" s="329"/>
      <c r="AP326" s="329"/>
      <c r="AR326" s="329"/>
      <c r="AT326" s="329"/>
      <c r="AV326" s="329"/>
      <c r="AX326" s="329"/>
      <c r="AZ326" s="329"/>
      <c r="BB326" s="329"/>
      <c r="BD326" s="329"/>
      <c r="BF326" s="329"/>
      <c r="BH326" s="329"/>
      <c r="BJ326" s="329"/>
      <c r="BL326" s="329"/>
      <c r="BN326" s="329"/>
    </row>
    <row r="327" spans="2:66">
      <c r="B327" s="329" t="s">
        <v>1683</v>
      </c>
      <c r="C327" s="447" t="s">
        <v>2342</v>
      </c>
      <c r="D327" s="335" t="s">
        <v>2005</v>
      </c>
      <c r="F327" s="326" t="s">
        <v>2242</v>
      </c>
      <c r="N327" s="329"/>
      <c r="P327" s="329"/>
      <c r="R327" s="329"/>
      <c r="T327" s="329"/>
      <c r="V327" s="329"/>
      <c r="X327" s="329"/>
      <c r="Z327" s="329"/>
      <c r="AB327" s="329"/>
      <c r="AD327" s="329"/>
      <c r="AF327" s="329"/>
      <c r="AH327" s="329"/>
      <c r="AJ327" s="329"/>
      <c r="AL327" s="329"/>
      <c r="AN327" s="329"/>
      <c r="AP327" s="329"/>
      <c r="AR327" s="329"/>
      <c r="AT327" s="329"/>
      <c r="AV327" s="329"/>
      <c r="AX327" s="329"/>
      <c r="AZ327" s="329"/>
      <c r="BB327" s="329"/>
      <c r="BD327" s="329"/>
      <c r="BF327" s="329"/>
      <c r="BH327" s="329"/>
      <c r="BJ327" s="329"/>
      <c r="BL327" s="329"/>
      <c r="BN327" s="329"/>
    </row>
    <row r="328" spans="2:66">
      <c r="B328" s="329" t="s">
        <v>1683</v>
      </c>
      <c r="C328" s="447" t="s">
        <v>2343</v>
      </c>
      <c r="D328" s="533" t="s">
        <v>2006</v>
      </c>
      <c r="F328" s="326" t="s">
        <v>2242</v>
      </c>
      <c r="N328" s="329"/>
      <c r="P328" s="329"/>
      <c r="R328" s="329"/>
      <c r="T328" s="329"/>
      <c r="V328" s="329"/>
      <c r="X328" s="329"/>
      <c r="Z328" s="329"/>
      <c r="AB328" s="329"/>
      <c r="AD328" s="329"/>
      <c r="AF328" s="329"/>
      <c r="AH328" s="329"/>
      <c r="AJ328" s="329"/>
      <c r="AL328" s="329"/>
      <c r="AN328" s="329"/>
      <c r="AP328" s="329"/>
      <c r="AR328" s="329"/>
      <c r="AT328" s="329"/>
      <c r="AV328" s="329"/>
      <c r="AX328" s="329"/>
      <c r="AZ328" s="329"/>
      <c r="BB328" s="329"/>
      <c r="BD328" s="329"/>
      <c r="BF328" s="329"/>
      <c r="BH328" s="329"/>
      <c r="BJ328" s="329"/>
      <c r="BL328" s="329"/>
      <c r="BN328" s="329"/>
    </row>
    <row r="329" spans="2:66">
      <c r="B329" s="329" t="s">
        <v>1683</v>
      </c>
      <c r="C329" s="447" t="s">
        <v>2344</v>
      </c>
      <c r="D329" s="542" t="s">
        <v>2007</v>
      </c>
      <c r="F329" s="326" t="s">
        <v>2242</v>
      </c>
      <c r="N329" s="329"/>
      <c r="P329" s="329"/>
      <c r="R329" s="329"/>
      <c r="T329" s="329"/>
      <c r="V329" s="329"/>
      <c r="X329" s="329"/>
      <c r="Z329" s="329"/>
      <c r="AB329" s="329"/>
      <c r="AD329" s="329"/>
      <c r="AF329" s="329"/>
      <c r="AH329" s="329"/>
      <c r="AJ329" s="329"/>
      <c r="AL329" s="329"/>
      <c r="AN329" s="329"/>
      <c r="AP329" s="329"/>
      <c r="AR329" s="329"/>
      <c r="AT329" s="329"/>
      <c r="AV329" s="329"/>
      <c r="AX329" s="329"/>
      <c r="AZ329" s="329"/>
      <c r="BB329" s="329"/>
      <c r="BD329" s="329"/>
      <c r="BF329" s="329"/>
      <c r="BH329" s="329"/>
      <c r="BJ329" s="329"/>
      <c r="BL329" s="329"/>
      <c r="BN329" s="329"/>
    </row>
    <row r="330" spans="2:66">
      <c r="B330" s="329" t="s">
        <v>1683</v>
      </c>
      <c r="C330" s="447" t="s">
        <v>2345</v>
      </c>
      <c r="D330" s="542" t="s">
        <v>2008</v>
      </c>
      <c r="F330" s="326" t="s">
        <v>2242</v>
      </c>
      <c r="N330" s="329"/>
      <c r="P330" s="329"/>
      <c r="R330" s="329"/>
      <c r="T330" s="329"/>
      <c r="V330" s="329"/>
      <c r="X330" s="329"/>
      <c r="Z330" s="329"/>
      <c r="AB330" s="329"/>
      <c r="AD330" s="329"/>
      <c r="AF330" s="329"/>
      <c r="AH330" s="329"/>
      <c r="AJ330" s="329"/>
      <c r="AL330" s="329"/>
      <c r="AN330" s="329"/>
      <c r="AP330" s="329"/>
      <c r="AR330" s="329"/>
      <c r="AT330" s="329"/>
      <c r="AV330" s="329"/>
      <c r="AX330" s="329"/>
      <c r="AZ330" s="329"/>
      <c r="BB330" s="329"/>
      <c r="BD330" s="329"/>
      <c r="BF330" s="329"/>
      <c r="BH330" s="329"/>
      <c r="BJ330" s="329"/>
      <c r="BL330" s="329"/>
      <c r="BN330" s="329"/>
    </row>
    <row r="331" spans="2:66">
      <c r="B331" s="329" t="s">
        <v>1683</v>
      </c>
      <c r="C331" s="447" t="s">
        <v>2346</v>
      </c>
      <c r="D331" s="542" t="s">
        <v>2008</v>
      </c>
      <c r="F331" s="326" t="s">
        <v>2242</v>
      </c>
      <c r="N331" s="329"/>
      <c r="P331" s="329"/>
      <c r="R331" s="329"/>
      <c r="T331" s="329"/>
      <c r="V331" s="329"/>
      <c r="X331" s="329"/>
      <c r="Z331" s="329"/>
      <c r="AB331" s="329"/>
      <c r="AD331" s="329"/>
      <c r="AF331" s="329"/>
      <c r="AH331" s="329"/>
      <c r="AJ331" s="329"/>
      <c r="AL331" s="329"/>
      <c r="AN331" s="329"/>
      <c r="AP331" s="329"/>
      <c r="AR331" s="329"/>
      <c r="AT331" s="329"/>
      <c r="AV331" s="329"/>
      <c r="AX331" s="329"/>
      <c r="AZ331" s="329"/>
      <c r="BB331" s="329"/>
      <c r="BD331" s="329"/>
      <c r="BF331" s="329"/>
      <c r="BH331" s="329"/>
      <c r="BJ331" s="329"/>
      <c r="BL331" s="329"/>
      <c r="BN331" s="329"/>
    </row>
    <row r="332" spans="2:66">
      <c r="B332" s="329" t="s">
        <v>1683</v>
      </c>
      <c r="C332" s="447" t="s">
        <v>2347</v>
      </c>
      <c r="D332" s="542" t="s">
        <v>2009</v>
      </c>
      <c r="F332" s="326" t="s">
        <v>2242</v>
      </c>
      <c r="N332" s="329"/>
      <c r="P332" s="329"/>
      <c r="R332" s="329"/>
      <c r="T332" s="329"/>
      <c r="V332" s="329"/>
      <c r="X332" s="329"/>
      <c r="Z332" s="329"/>
      <c r="AB332" s="329"/>
      <c r="AD332" s="329"/>
      <c r="AF332" s="329"/>
      <c r="AH332" s="329"/>
      <c r="AJ332" s="329"/>
      <c r="AL332" s="329"/>
      <c r="AN332" s="329"/>
      <c r="AP332" s="329"/>
      <c r="AR332" s="329"/>
      <c r="AT332" s="329"/>
      <c r="AV332" s="329"/>
      <c r="AX332" s="329"/>
      <c r="AZ332" s="329"/>
      <c r="BB332" s="329"/>
      <c r="BD332" s="329"/>
      <c r="BF332" s="329"/>
      <c r="BH332" s="329"/>
      <c r="BJ332" s="329"/>
      <c r="BL332" s="329"/>
      <c r="BN332" s="329"/>
    </row>
    <row r="333" spans="2:66">
      <c r="B333" s="329" t="s">
        <v>1683</v>
      </c>
      <c r="C333" s="447" t="s">
        <v>2348</v>
      </c>
      <c r="D333" s="542" t="s">
        <v>2010</v>
      </c>
      <c r="F333" s="326" t="s">
        <v>2242</v>
      </c>
      <c r="N333" s="329"/>
      <c r="P333" s="329"/>
      <c r="R333" s="329"/>
      <c r="T333" s="329"/>
      <c r="V333" s="329"/>
      <c r="X333" s="329"/>
      <c r="Z333" s="329"/>
      <c r="AB333" s="329"/>
      <c r="AD333" s="329"/>
      <c r="AF333" s="329"/>
      <c r="AH333" s="329"/>
      <c r="AJ333" s="329"/>
      <c r="AL333" s="329"/>
      <c r="AN333" s="329"/>
      <c r="AP333" s="329"/>
      <c r="AR333" s="329"/>
      <c r="AT333" s="329"/>
      <c r="AV333" s="329"/>
      <c r="AX333" s="329"/>
      <c r="AZ333" s="329"/>
      <c r="BB333" s="329"/>
      <c r="BD333" s="329"/>
      <c r="BF333" s="329"/>
      <c r="BH333" s="329"/>
      <c r="BJ333" s="329"/>
      <c r="BL333" s="329"/>
      <c r="BN333" s="329"/>
    </row>
    <row r="334" spans="2:66">
      <c r="B334" s="329" t="s">
        <v>1683</v>
      </c>
      <c r="C334" s="447" t="s">
        <v>2349</v>
      </c>
      <c r="D334" s="542" t="s">
        <v>2011</v>
      </c>
      <c r="F334" s="326" t="s">
        <v>2242</v>
      </c>
      <c r="N334" s="329"/>
      <c r="P334" s="329"/>
      <c r="R334" s="329"/>
      <c r="T334" s="329"/>
      <c r="V334" s="329"/>
      <c r="X334" s="329"/>
      <c r="Z334" s="329"/>
      <c r="AB334" s="329"/>
      <c r="AD334" s="329"/>
      <c r="AF334" s="329"/>
      <c r="AH334" s="329"/>
      <c r="AJ334" s="329"/>
      <c r="AL334" s="329"/>
      <c r="AN334" s="329"/>
      <c r="AP334" s="329"/>
      <c r="AR334" s="329"/>
      <c r="AT334" s="329"/>
      <c r="AV334" s="329"/>
      <c r="AX334" s="329"/>
      <c r="AZ334" s="329"/>
      <c r="BB334" s="329"/>
      <c r="BD334" s="329"/>
      <c r="BF334" s="329"/>
      <c r="BH334" s="329"/>
      <c r="BJ334" s="329"/>
      <c r="BL334" s="329"/>
      <c r="BN334" s="329"/>
    </row>
    <row r="335" spans="2:66">
      <c r="N335" s="329"/>
      <c r="P335" s="329"/>
      <c r="R335" s="329"/>
      <c r="T335" s="329"/>
      <c r="V335" s="329"/>
      <c r="X335" s="329"/>
      <c r="Z335" s="329"/>
      <c r="AB335" s="329"/>
      <c r="AD335" s="329"/>
      <c r="AF335" s="329"/>
      <c r="AH335" s="329"/>
      <c r="AJ335" s="329"/>
      <c r="AL335" s="329"/>
      <c r="AN335" s="329"/>
      <c r="AP335" s="329"/>
      <c r="AR335" s="329"/>
      <c r="AT335" s="329"/>
      <c r="AV335" s="329"/>
      <c r="AX335" s="329"/>
      <c r="AZ335" s="329"/>
      <c r="BB335" s="329"/>
      <c r="BD335" s="329"/>
      <c r="BF335" s="329"/>
      <c r="BH335" s="329"/>
      <c r="BJ335" s="329"/>
      <c r="BL335" s="329"/>
      <c r="BN335" s="329"/>
    </row>
    <row r="336" spans="2:66" ht="93.75">
      <c r="B336" s="329" t="s">
        <v>2012</v>
      </c>
      <c r="C336" s="831" t="s">
        <v>2243</v>
      </c>
      <c r="D336" s="533" t="s">
        <v>2587</v>
      </c>
      <c r="F336" s="322">
        <v>0</v>
      </c>
      <c r="N336" s="329"/>
      <c r="P336" s="329"/>
      <c r="R336" s="329"/>
      <c r="T336" s="329"/>
      <c r="V336" s="329"/>
      <c r="X336" s="329"/>
      <c r="Z336" s="329"/>
      <c r="AB336" s="329"/>
      <c r="AD336" s="329"/>
      <c r="AF336" s="329"/>
      <c r="AH336" s="329"/>
      <c r="AJ336" s="329"/>
      <c r="AL336" s="329"/>
      <c r="AN336" s="329"/>
      <c r="AP336" s="329"/>
      <c r="AR336" s="329"/>
      <c r="AT336" s="329"/>
      <c r="AV336" s="329"/>
      <c r="AX336" s="329"/>
      <c r="AZ336" s="329"/>
      <c r="BB336" s="329"/>
      <c r="BD336" s="329"/>
      <c r="BF336" s="329"/>
      <c r="BH336" s="329"/>
      <c r="BJ336" s="329"/>
      <c r="BL336" s="329"/>
      <c r="BN336" s="329"/>
    </row>
    <row r="337" spans="1:66">
      <c r="A337" s="531">
        <v>1</v>
      </c>
      <c r="B337" s="329" t="s">
        <v>2012</v>
      </c>
      <c r="C337" s="447" t="s">
        <v>2240</v>
      </c>
      <c r="D337" s="700" t="s">
        <v>2588</v>
      </c>
      <c r="F337" s="555">
        <v>1</v>
      </c>
      <c r="N337" s="329"/>
      <c r="P337" s="329"/>
      <c r="R337" s="329"/>
      <c r="T337" s="329"/>
      <c r="V337" s="329"/>
      <c r="X337" s="329"/>
      <c r="Z337" s="329"/>
      <c r="AB337" s="329"/>
      <c r="AD337" s="329"/>
      <c r="AF337" s="329"/>
      <c r="AH337" s="329"/>
      <c r="AJ337" s="329"/>
      <c r="AL337" s="329"/>
      <c r="AN337" s="329"/>
      <c r="AP337" s="329"/>
      <c r="AR337" s="329"/>
      <c r="AT337" s="329"/>
      <c r="AV337" s="329"/>
      <c r="AX337" s="329"/>
      <c r="AZ337" s="329"/>
      <c r="BB337" s="329"/>
      <c r="BD337" s="329"/>
      <c r="BF337" s="329"/>
      <c r="BH337" s="329"/>
      <c r="BJ337" s="329"/>
      <c r="BL337" s="329"/>
      <c r="BN337" s="329"/>
    </row>
    <row r="338" spans="1:66" ht="37.5">
      <c r="A338" s="531">
        <v>1</v>
      </c>
      <c r="B338" s="329" t="s">
        <v>2012</v>
      </c>
      <c r="C338" s="447" t="s">
        <v>2241</v>
      </c>
      <c r="D338" s="533" t="s">
        <v>2589</v>
      </c>
      <c r="F338" s="555">
        <v>1</v>
      </c>
      <c r="N338" s="329"/>
      <c r="P338" s="329"/>
      <c r="R338" s="329"/>
      <c r="T338" s="329"/>
      <c r="V338" s="329"/>
      <c r="X338" s="329"/>
      <c r="Z338" s="329"/>
      <c r="AB338" s="329"/>
      <c r="AD338" s="329"/>
      <c r="AF338" s="329"/>
      <c r="AH338" s="329"/>
      <c r="AJ338" s="329"/>
      <c r="AL338" s="329"/>
      <c r="AN338" s="329"/>
      <c r="AP338" s="329"/>
      <c r="AR338" s="329"/>
      <c r="AT338" s="329"/>
      <c r="AV338" s="329"/>
      <c r="AX338" s="329"/>
      <c r="AZ338" s="329"/>
      <c r="BB338" s="329"/>
      <c r="BD338" s="329"/>
      <c r="BF338" s="329"/>
      <c r="BH338" s="329"/>
      <c r="BJ338" s="329"/>
      <c r="BL338" s="329"/>
      <c r="BN338" s="329"/>
    </row>
    <row r="339" spans="1:66">
      <c r="A339" s="531">
        <v>1</v>
      </c>
      <c r="B339" s="329" t="s">
        <v>2012</v>
      </c>
      <c r="C339" s="447" t="s">
        <v>2241</v>
      </c>
      <c r="D339" s="533" t="s">
        <v>2590</v>
      </c>
      <c r="F339" s="555">
        <v>1</v>
      </c>
      <c r="N339" s="329"/>
      <c r="P339" s="329"/>
      <c r="R339" s="329"/>
      <c r="T339" s="329"/>
      <c r="V339" s="329"/>
      <c r="X339" s="329"/>
      <c r="Z339" s="329"/>
      <c r="AB339" s="329"/>
      <c r="AD339" s="329"/>
      <c r="AF339" s="329"/>
      <c r="AH339" s="329"/>
      <c r="AJ339" s="329"/>
      <c r="AL339" s="329"/>
      <c r="AN339" s="329"/>
      <c r="AP339" s="329"/>
      <c r="AR339" s="329"/>
      <c r="AT339" s="329"/>
      <c r="AV339" s="329"/>
      <c r="AX339" s="329"/>
      <c r="AZ339" s="329"/>
      <c r="BB339" s="329"/>
      <c r="BD339" s="329"/>
      <c r="BF339" s="329"/>
      <c r="BH339" s="329"/>
      <c r="BJ339" s="329"/>
      <c r="BL339" s="329"/>
      <c r="BN339" s="329"/>
    </row>
    <row r="340" spans="1:66" ht="37.5">
      <c r="A340" s="531">
        <v>1</v>
      </c>
      <c r="B340" s="329" t="s">
        <v>2012</v>
      </c>
      <c r="C340" s="447" t="s">
        <v>2241</v>
      </c>
      <c r="D340" s="533" t="s">
        <v>2591</v>
      </c>
      <c r="F340" s="555">
        <v>1</v>
      </c>
      <c r="N340" s="329"/>
      <c r="P340" s="329"/>
      <c r="R340" s="329"/>
      <c r="T340" s="329"/>
      <c r="V340" s="329"/>
      <c r="X340" s="329"/>
      <c r="Z340" s="329"/>
      <c r="AB340" s="329"/>
      <c r="AD340" s="329"/>
      <c r="AF340" s="329"/>
      <c r="AH340" s="329"/>
      <c r="AJ340" s="329"/>
      <c r="AL340" s="329"/>
      <c r="AN340" s="329"/>
      <c r="AP340" s="329"/>
      <c r="AR340" s="329"/>
      <c r="AT340" s="329"/>
      <c r="AV340" s="329"/>
      <c r="AX340" s="329"/>
      <c r="AZ340" s="329"/>
      <c r="BB340" s="329"/>
      <c r="BD340" s="329"/>
      <c r="BF340" s="329"/>
      <c r="BH340" s="329"/>
      <c r="BJ340" s="329"/>
      <c r="BL340" s="329"/>
      <c r="BN340" s="329"/>
    </row>
    <row r="341" spans="1:66">
      <c r="B341" s="329" t="s">
        <v>2012</v>
      </c>
      <c r="D341" s="698" t="s">
        <v>2013</v>
      </c>
      <c r="F341" s="326" t="s">
        <v>2392</v>
      </c>
      <c r="N341" s="329"/>
      <c r="P341" s="329"/>
      <c r="R341" s="329"/>
      <c r="T341" s="329"/>
      <c r="V341" s="329"/>
      <c r="X341" s="329"/>
      <c r="Z341" s="329"/>
      <c r="AB341" s="329"/>
      <c r="AD341" s="329"/>
      <c r="AF341" s="329"/>
      <c r="AH341" s="329"/>
      <c r="AJ341" s="329"/>
      <c r="AL341" s="329"/>
      <c r="AN341" s="329"/>
      <c r="AP341" s="329"/>
      <c r="AR341" s="329"/>
      <c r="AT341" s="329"/>
      <c r="AV341" s="329"/>
      <c r="AX341" s="329"/>
      <c r="AZ341" s="329"/>
      <c r="BB341" s="329"/>
      <c r="BD341" s="329"/>
      <c r="BF341" s="329"/>
      <c r="BH341" s="329"/>
      <c r="BJ341" s="329"/>
      <c r="BL341" s="329"/>
      <c r="BN341" s="329"/>
    </row>
    <row r="342" spans="1:66" ht="37.5">
      <c r="B342" s="329" t="s">
        <v>2012</v>
      </c>
      <c r="C342" s="447" t="s">
        <v>2263</v>
      </c>
      <c r="D342" s="542" t="s">
        <v>2592</v>
      </c>
      <c r="F342" s="555">
        <v>0</v>
      </c>
      <c r="N342" s="329"/>
      <c r="P342" s="329"/>
      <c r="R342" s="329"/>
      <c r="T342" s="329"/>
      <c r="V342" s="329"/>
      <c r="X342" s="329"/>
      <c r="Z342" s="329"/>
      <c r="AB342" s="329"/>
      <c r="AD342" s="329"/>
      <c r="AF342" s="329"/>
      <c r="AH342" s="329"/>
      <c r="AJ342" s="329"/>
      <c r="AL342" s="329"/>
      <c r="AN342" s="329"/>
      <c r="AP342" s="329"/>
      <c r="AR342" s="329"/>
      <c r="AT342" s="329"/>
      <c r="AV342" s="329"/>
      <c r="AX342" s="329"/>
      <c r="AZ342" s="329"/>
      <c r="BB342" s="329"/>
      <c r="BD342" s="329"/>
      <c r="BF342" s="329"/>
      <c r="BH342" s="329"/>
      <c r="BJ342" s="329"/>
      <c r="BL342" s="329"/>
      <c r="BN342" s="329"/>
    </row>
    <row r="343" spans="1:66" ht="37.5">
      <c r="B343" s="329" t="s">
        <v>2012</v>
      </c>
      <c r="C343" s="447" t="s">
        <v>2264</v>
      </c>
      <c r="D343" s="542" t="s">
        <v>2594</v>
      </c>
      <c r="F343" s="555">
        <v>0</v>
      </c>
      <c r="N343" s="329"/>
      <c r="P343" s="329"/>
      <c r="R343" s="329"/>
      <c r="T343" s="329"/>
      <c r="V343" s="329"/>
      <c r="X343" s="329"/>
      <c r="Z343" s="329"/>
      <c r="AB343" s="329"/>
      <c r="AD343" s="329"/>
      <c r="AF343" s="329"/>
      <c r="AH343" s="329"/>
      <c r="AJ343" s="329"/>
      <c r="AL343" s="329"/>
      <c r="AN343" s="329"/>
      <c r="AP343" s="329"/>
      <c r="AR343" s="329"/>
      <c r="AT343" s="329"/>
      <c r="AV343" s="329"/>
      <c r="AX343" s="329"/>
      <c r="AZ343" s="329"/>
      <c r="BB343" s="329"/>
      <c r="BD343" s="329"/>
      <c r="BF343" s="329"/>
      <c r="BH343" s="329"/>
      <c r="BJ343" s="329"/>
      <c r="BL343" s="329"/>
      <c r="BN343" s="329"/>
    </row>
    <row r="344" spans="1:66" ht="37.5">
      <c r="B344" s="329" t="s">
        <v>2012</v>
      </c>
      <c r="D344" s="537" t="s">
        <v>2014</v>
      </c>
      <c r="F344" s="843" t="s">
        <v>2889</v>
      </c>
      <c r="N344" s="329"/>
      <c r="P344" s="329"/>
      <c r="R344" s="329"/>
      <c r="T344" s="329"/>
      <c r="V344" s="329"/>
      <c r="X344" s="329"/>
      <c r="Z344" s="329"/>
      <c r="AB344" s="329"/>
      <c r="AD344" s="329"/>
      <c r="AF344" s="329"/>
      <c r="AH344" s="329"/>
      <c r="AJ344" s="329"/>
      <c r="AL344" s="329"/>
      <c r="AN344" s="329"/>
      <c r="AP344" s="329"/>
      <c r="AR344" s="329"/>
      <c r="AT344" s="329"/>
      <c r="AV344" s="329"/>
      <c r="AX344" s="329"/>
      <c r="AZ344" s="329"/>
      <c r="BB344" s="329"/>
      <c r="BD344" s="329"/>
      <c r="BF344" s="329"/>
      <c r="BH344" s="329"/>
      <c r="BJ344" s="329"/>
      <c r="BL344" s="329"/>
      <c r="BN344" s="329"/>
    </row>
    <row r="345" spans="1:66">
      <c r="B345" s="329" t="s">
        <v>2012</v>
      </c>
      <c r="C345" s="447" t="s">
        <v>2261</v>
      </c>
      <c r="D345" s="530" t="s">
        <v>2593</v>
      </c>
      <c r="F345" s="322">
        <v>0</v>
      </c>
      <c r="N345" s="329"/>
      <c r="P345" s="329"/>
      <c r="R345" s="329"/>
      <c r="T345" s="329"/>
      <c r="V345" s="329"/>
      <c r="X345" s="329"/>
      <c r="Z345" s="329"/>
      <c r="AB345" s="329"/>
      <c r="AD345" s="329"/>
      <c r="AF345" s="329"/>
      <c r="AH345" s="329"/>
      <c r="AJ345" s="329"/>
      <c r="AL345" s="329"/>
      <c r="AN345" s="329"/>
      <c r="AP345" s="329"/>
      <c r="AR345" s="329"/>
      <c r="AT345" s="329"/>
      <c r="AV345" s="329"/>
      <c r="AX345" s="329"/>
      <c r="AZ345" s="329"/>
      <c r="BB345" s="329"/>
      <c r="BD345" s="329"/>
      <c r="BF345" s="329"/>
      <c r="BH345" s="329"/>
      <c r="BJ345" s="329"/>
      <c r="BL345" s="329"/>
      <c r="BN345" s="329"/>
    </row>
    <row r="346" spans="1:66">
      <c r="B346" s="329" t="s">
        <v>2012</v>
      </c>
      <c r="C346"/>
      <c r="D346" s="884" t="s">
        <v>2705</v>
      </c>
      <c r="E346"/>
      <c r="F346" s="884">
        <v>80</v>
      </c>
      <c r="G346" s="329">
        <f>F346-F217</f>
        <v>10</v>
      </c>
      <c r="H346" s="329">
        <f>IF(G346&gt;30,1,0)</f>
        <v>0</v>
      </c>
      <c r="I346" s="885" t="s">
        <v>2707</v>
      </c>
      <c r="N346" s="329"/>
      <c r="P346" s="329"/>
      <c r="R346" s="329"/>
      <c r="T346" s="329"/>
      <c r="V346" s="329"/>
      <c r="X346" s="329"/>
      <c r="Z346" s="329"/>
      <c r="AB346" s="329"/>
      <c r="AD346" s="329"/>
      <c r="AF346" s="329"/>
      <c r="AH346" s="329"/>
      <c r="AJ346" s="329"/>
      <c r="AL346" s="329"/>
      <c r="AN346" s="329"/>
      <c r="AP346" s="329"/>
      <c r="AR346" s="329"/>
      <c r="AT346" s="329"/>
      <c r="AV346" s="329"/>
      <c r="AX346" s="329"/>
      <c r="AZ346" s="329"/>
      <c r="BB346" s="329"/>
      <c r="BD346" s="329"/>
      <c r="BF346" s="329"/>
      <c r="BH346" s="329"/>
      <c r="BJ346" s="329"/>
      <c r="BL346" s="329"/>
      <c r="BN346" s="329"/>
    </row>
    <row r="347" spans="1:66">
      <c r="D347" s="537" t="s">
        <v>2706</v>
      </c>
      <c r="F347" s="324">
        <v>70</v>
      </c>
      <c r="G347" s="329">
        <f>F218-F347</f>
        <v>40</v>
      </c>
      <c r="H347" s="329">
        <f>IF(G347&gt;20,1,0)</f>
        <v>1</v>
      </c>
      <c r="N347" s="329"/>
      <c r="P347" s="329"/>
      <c r="R347" s="329"/>
      <c r="T347" s="329"/>
      <c r="V347" s="329"/>
      <c r="X347" s="329"/>
      <c r="Z347" s="329"/>
      <c r="AB347" s="329"/>
      <c r="AD347" s="329"/>
      <c r="AF347" s="329"/>
      <c r="AH347" s="329"/>
      <c r="AJ347" s="329"/>
      <c r="AL347" s="329"/>
      <c r="AN347" s="329"/>
      <c r="AP347" s="329"/>
      <c r="AR347" s="329"/>
      <c r="AT347" s="329"/>
      <c r="AV347" s="329"/>
      <c r="AX347" s="329"/>
      <c r="AZ347" s="329"/>
      <c r="BB347" s="329"/>
      <c r="BD347" s="329"/>
      <c r="BF347" s="329"/>
      <c r="BH347" s="329"/>
      <c r="BJ347" s="329"/>
      <c r="BL347" s="329"/>
      <c r="BN347" s="329"/>
    </row>
    <row r="348" spans="1:66">
      <c r="N348" s="329"/>
      <c r="P348" s="329"/>
      <c r="R348" s="329"/>
      <c r="T348" s="329"/>
      <c r="V348" s="329"/>
      <c r="X348" s="329"/>
      <c r="Z348" s="329"/>
      <c r="AB348" s="329"/>
      <c r="AD348" s="329"/>
      <c r="AF348" s="329"/>
      <c r="AH348" s="329"/>
      <c r="AJ348" s="329"/>
      <c r="AL348" s="329"/>
      <c r="AN348" s="329"/>
      <c r="AP348" s="329"/>
      <c r="AR348" s="329"/>
      <c r="AT348" s="329"/>
      <c r="AV348" s="329"/>
      <c r="AX348" s="329"/>
      <c r="AZ348" s="329"/>
      <c r="BB348" s="329"/>
      <c r="BD348" s="329"/>
      <c r="BF348" s="329"/>
      <c r="BH348" s="329"/>
      <c r="BJ348" s="329"/>
      <c r="BL348" s="329"/>
      <c r="BN348" s="329"/>
    </row>
    <row r="349" spans="1:66">
      <c r="N349" s="329"/>
      <c r="P349" s="329"/>
      <c r="R349" s="329"/>
      <c r="T349" s="329"/>
      <c r="V349" s="329"/>
      <c r="X349" s="329"/>
      <c r="Z349" s="329"/>
      <c r="AB349" s="329"/>
      <c r="AD349" s="329"/>
      <c r="AF349" s="329"/>
      <c r="AH349" s="329"/>
      <c r="AJ349" s="329"/>
      <c r="AL349" s="329"/>
      <c r="AN349" s="329"/>
      <c r="AP349" s="329"/>
      <c r="AR349" s="329"/>
      <c r="AT349" s="329"/>
      <c r="AV349" s="329"/>
      <c r="AX349" s="329"/>
      <c r="AZ349" s="329"/>
      <c r="BB349" s="329"/>
      <c r="BD349" s="329"/>
      <c r="BF349" s="329"/>
      <c r="BH349" s="329"/>
      <c r="BJ349" s="329"/>
      <c r="BL349" s="329"/>
      <c r="BN349" s="329"/>
    </row>
    <row r="350" spans="1:66">
      <c r="N350" s="329"/>
      <c r="P350" s="329"/>
      <c r="R350" s="329"/>
      <c r="T350" s="329"/>
      <c r="V350" s="329"/>
      <c r="X350" s="329"/>
      <c r="Z350" s="329"/>
      <c r="AB350" s="329"/>
      <c r="AD350" s="329"/>
      <c r="AF350" s="329"/>
      <c r="AH350" s="329"/>
      <c r="AJ350" s="329"/>
      <c r="AL350" s="329"/>
      <c r="AN350" s="329"/>
      <c r="AP350" s="329"/>
      <c r="AR350" s="329"/>
      <c r="AT350" s="329"/>
      <c r="AV350" s="329"/>
      <c r="AX350" s="329"/>
      <c r="AZ350" s="329"/>
      <c r="BB350" s="329"/>
      <c r="BD350" s="329"/>
      <c r="BF350" s="329"/>
      <c r="BH350" s="329"/>
      <c r="BJ350" s="329"/>
      <c r="BL350" s="329"/>
      <c r="BN350" s="329"/>
    </row>
    <row r="351" spans="1:66">
      <c r="A351" s="531">
        <v>1</v>
      </c>
      <c r="B351" s="360" t="s">
        <v>1040</v>
      </c>
      <c r="D351" s="537" t="s">
        <v>2234</v>
      </c>
      <c r="F351" s="326" t="s">
        <v>2365</v>
      </c>
      <c r="N351" s="329"/>
      <c r="P351" s="329"/>
      <c r="R351" s="329"/>
      <c r="T351" s="329"/>
      <c r="V351" s="329"/>
      <c r="X351" s="329"/>
      <c r="Z351" s="329"/>
      <c r="AB351" s="329"/>
      <c r="AD351" s="329"/>
      <c r="AF351" s="329"/>
      <c r="AH351" s="329"/>
      <c r="AJ351" s="329"/>
      <c r="AL351" s="329"/>
      <c r="AN351" s="329"/>
      <c r="AP351" s="329"/>
      <c r="AR351" s="329"/>
      <c r="AT351" s="329"/>
      <c r="AV351" s="329"/>
      <c r="AX351" s="329"/>
      <c r="AZ351" s="329"/>
      <c r="BB351" s="329"/>
      <c r="BD351" s="329"/>
      <c r="BF351" s="329"/>
      <c r="BH351" s="329"/>
      <c r="BJ351" s="329"/>
      <c r="BL351" s="329"/>
      <c r="BN351" s="329"/>
    </row>
    <row r="352" spans="1:66">
      <c r="A352" s="531">
        <v>1</v>
      </c>
      <c r="B352" s="360" t="s">
        <v>1040</v>
      </c>
      <c r="D352" s="537" t="s">
        <v>2235</v>
      </c>
      <c r="F352" s="326" t="s">
        <v>2366</v>
      </c>
      <c r="N352" s="329"/>
      <c r="P352" s="329"/>
      <c r="R352" s="329"/>
      <c r="T352" s="329"/>
      <c r="V352" s="329"/>
      <c r="X352" s="329"/>
      <c r="Z352" s="329"/>
      <c r="AB352" s="329"/>
      <c r="AD352" s="329"/>
      <c r="AF352" s="329"/>
      <c r="AH352" s="329"/>
      <c r="AJ352" s="329"/>
      <c r="AL352" s="329"/>
      <c r="AN352" s="329"/>
      <c r="AP352" s="329"/>
      <c r="AR352" s="329"/>
      <c r="AT352" s="329"/>
      <c r="AV352" s="329"/>
      <c r="AX352" s="329"/>
      <c r="AZ352" s="329"/>
      <c r="BB352" s="329"/>
      <c r="BD352" s="329"/>
      <c r="BF352" s="329"/>
      <c r="BH352" s="329"/>
      <c r="BJ352" s="329"/>
      <c r="BL352" s="329"/>
      <c r="BN352" s="329"/>
    </row>
    <row r="353" spans="1:66">
      <c r="A353" s="531">
        <v>1</v>
      </c>
      <c r="B353" s="360" t="s">
        <v>1040</v>
      </c>
      <c r="D353" s="537" t="s">
        <v>2236</v>
      </c>
      <c r="F353" s="833" t="s">
        <v>2367</v>
      </c>
      <c r="N353" s="329"/>
      <c r="P353" s="329"/>
      <c r="R353" s="329"/>
      <c r="T353" s="329"/>
      <c r="V353" s="329"/>
      <c r="X353" s="329"/>
      <c r="Z353" s="329"/>
      <c r="AB353" s="329"/>
      <c r="AD353" s="329"/>
      <c r="AF353" s="329"/>
      <c r="AH353" s="329"/>
      <c r="AJ353" s="329"/>
      <c r="AL353" s="329"/>
      <c r="AN353" s="329"/>
      <c r="AP353" s="329"/>
      <c r="AR353" s="329"/>
      <c r="AT353" s="329"/>
      <c r="AV353" s="329"/>
      <c r="AX353" s="329"/>
      <c r="AZ353" s="329"/>
      <c r="BB353" s="329"/>
      <c r="BD353" s="329"/>
      <c r="BF353" s="329"/>
      <c r="BH353" s="329"/>
      <c r="BJ353" s="329"/>
      <c r="BL353" s="329"/>
      <c r="BN353" s="329"/>
    </row>
    <row r="354" spans="1:66">
      <c r="A354" s="531">
        <v>1</v>
      </c>
      <c r="B354" s="360" t="s">
        <v>1040</v>
      </c>
      <c r="D354" s="537" t="s">
        <v>2237</v>
      </c>
      <c r="F354" s="844">
        <v>37723</v>
      </c>
      <c r="N354" s="329"/>
      <c r="P354" s="329"/>
      <c r="R354" s="329"/>
      <c r="T354" s="329"/>
      <c r="V354" s="329"/>
      <c r="X354" s="329"/>
      <c r="Z354" s="329"/>
      <c r="AB354" s="329"/>
      <c r="AD354" s="329"/>
      <c r="AF354" s="329"/>
      <c r="AH354" s="329"/>
      <c r="AJ354" s="329"/>
      <c r="AL354" s="329"/>
      <c r="AN354" s="329"/>
      <c r="AP354" s="329"/>
      <c r="AR354" s="329"/>
      <c r="AT354" s="329"/>
      <c r="AV354" s="329"/>
      <c r="AX354" s="329"/>
      <c r="AZ354" s="329"/>
      <c r="BB354" s="329"/>
      <c r="BD354" s="329"/>
      <c r="BF354" s="329"/>
      <c r="BH354" s="329"/>
      <c r="BJ354" s="329"/>
      <c r="BL354" s="329"/>
      <c r="BN354" s="329"/>
    </row>
    <row r="355" spans="1:66">
      <c r="A355" s="531">
        <v>1</v>
      </c>
      <c r="B355" s="360" t="s">
        <v>1040</v>
      </c>
      <c r="D355" s="537" t="s">
        <v>2238</v>
      </c>
      <c r="F355" s="832" t="s">
        <v>2244</v>
      </c>
      <c r="N355" s="329"/>
      <c r="P355" s="329"/>
      <c r="R355" s="329"/>
      <c r="T355" s="329"/>
      <c r="V355" s="329"/>
      <c r="X355" s="329"/>
      <c r="Z355" s="329"/>
      <c r="AB355" s="329"/>
      <c r="AD355" s="329"/>
      <c r="AF355" s="329"/>
      <c r="AH355" s="329"/>
      <c r="AJ355" s="329"/>
      <c r="AL355" s="329"/>
      <c r="AN355" s="329"/>
      <c r="AP355" s="329"/>
      <c r="AR355" s="329"/>
      <c r="AT355" s="329"/>
      <c r="AV355" s="329"/>
      <c r="AX355" s="329"/>
      <c r="AZ355" s="329"/>
      <c r="BB355" s="329"/>
      <c r="BD355" s="329"/>
      <c r="BF355" s="329"/>
      <c r="BH355" s="329"/>
      <c r="BJ355" s="329"/>
      <c r="BL355" s="329"/>
      <c r="BN355" s="329"/>
    </row>
    <row r="356" spans="1:66">
      <c r="A356" s="531">
        <v>1</v>
      </c>
      <c r="B356" s="360" t="s">
        <v>1040</v>
      </c>
      <c r="D356" s="537" t="s">
        <v>2239</v>
      </c>
      <c r="F356" s="326" t="s">
        <v>2242</v>
      </c>
      <c r="N356" s="329"/>
      <c r="P356" s="329"/>
      <c r="R356" s="329"/>
      <c r="T356" s="329"/>
      <c r="V356" s="329"/>
      <c r="X356" s="329"/>
      <c r="Z356" s="329"/>
      <c r="AB356" s="329"/>
      <c r="AD356" s="329"/>
      <c r="AF356" s="329"/>
      <c r="AH356" s="329"/>
      <c r="AJ356" s="329"/>
      <c r="AL356" s="329"/>
      <c r="AN356" s="329"/>
      <c r="AP356" s="329"/>
      <c r="AR356" s="329"/>
      <c r="AT356" s="329"/>
      <c r="AV356" s="329"/>
      <c r="AX356" s="329"/>
      <c r="AZ356" s="329"/>
      <c r="BB356" s="329"/>
      <c r="BD356" s="329"/>
      <c r="BF356" s="329"/>
      <c r="BH356" s="329"/>
      <c r="BJ356" s="329"/>
      <c r="BL356" s="329"/>
      <c r="BN356" s="329"/>
    </row>
    <row r="357" spans="1:66">
      <c r="N357" s="329"/>
      <c r="P357" s="329"/>
      <c r="R357" s="329"/>
      <c r="T357" s="329"/>
      <c r="V357" s="329"/>
      <c r="X357" s="329"/>
      <c r="Z357" s="329"/>
      <c r="AB357" s="329"/>
      <c r="AD357" s="329"/>
      <c r="AF357" s="329"/>
      <c r="AH357" s="329"/>
      <c r="AJ357" s="329"/>
      <c r="AL357" s="329"/>
      <c r="AN357" s="329"/>
      <c r="AP357" s="329"/>
      <c r="AR357" s="329"/>
      <c r="AT357" s="329"/>
      <c r="AV357" s="329"/>
      <c r="AX357" s="329"/>
      <c r="AZ357" s="329"/>
      <c r="BB357" s="329"/>
      <c r="BD357" s="329"/>
      <c r="BF357" s="329"/>
      <c r="BH357" s="329"/>
      <c r="BJ357" s="329"/>
      <c r="BL357" s="329"/>
      <c r="BN357" s="329"/>
    </row>
    <row r="358" spans="1:66">
      <c r="N358" s="329"/>
      <c r="P358" s="329"/>
      <c r="R358" s="329"/>
      <c r="T358" s="329"/>
      <c r="V358" s="329"/>
      <c r="X358" s="329"/>
      <c r="Z358" s="329"/>
      <c r="AB358" s="329"/>
      <c r="AD358" s="329"/>
      <c r="AF358" s="329"/>
      <c r="AH358" s="329"/>
      <c r="AJ358" s="329"/>
      <c r="AL358" s="329"/>
      <c r="AN358" s="329"/>
      <c r="AP358" s="329"/>
      <c r="AR358" s="329"/>
      <c r="AT358" s="329"/>
      <c r="AV358" s="329"/>
      <c r="AX358" s="329"/>
      <c r="AZ358" s="329"/>
      <c r="BB358" s="329"/>
      <c r="BD358" s="329"/>
      <c r="BF358" s="329"/>
      <c r="BH358" s="329"/>
      <c r="BJ358" s="329"/>
      <c r="BL358" s="329"/>
      <c r="BN358" s="329"/>
    </row>
    <row r="359" spans="1:66">
      <c r="N359" s="329"/>
      <c r="P359" s="329"/>
      <c r="R359" s="329"/>
      <c r="T359" s="329"/>
      <c r="V359" s="329"/>
      <c r="X359" s="329"/>
      <c r="Z359" s="329"/>
      <c r="AB359" s="329"/>
      <c r="AD359" s="329"/>
      <c r="AF359" s="329"/>
      <c r="AH359" s="329"/>
      <c r="AJ359" s="329"/>
      <c r="AL359" s="329"/>
      <c r="AN359" s="329"/>
      <c r="AP359" s="329"/>
      <c r="AR359" s="329"/>
      <c r="AT359" s="329"/>
      <c r="AV359" s="329"/>
      <c r="AX359" s="329"/>
      <c r="AZ359" s="329"/>
      <c r="BB359" s="329"/>
      <c r="BD359" s="329"/>
      <c r="BF359" s="329"/>
      <c r="BH359" s="329"/>
      <c r="BJ359" s="329"/>
      <c r="BL359" s="329"/>
      <c r="BN359" s="329"/>
    </row>
    <row r="360" spans="1:66">
      <c r="N360" s="329"/>
      <c r="P360" s="329"/>
      <c r="R360" s="329"/>
      <c r="T360" s="329"/>
      <c r="V360" s="329"/>
      <c r="X360" s="329"/>
      <c r="Z360" s="329"/>
      <c r="AB360" s="329"/>
      <c r="AD360" s="329"/>
      <c r="AF360" s="329"/>
      <c r="AH360" s="329"/>
      <c r="AJ360" s="329"/>
      <c r="AL360" s="329"/>
      <c r="AN360" s="329"/>
      <c r="AP360" s="329"/>
      <c r="AR360" s="329"/>
      <c r="AT360" s="329"/>
      <c r="AV360" s="329"/>
      <c r="AX360" s="329"/>
      <c r="AZ360" s="329"/>
      <c r="BB360" s="329"/>
      <c r="BD360" s="329"/>
      <c r="BF360" s="329"/>
      <c r="BH360" s="329"/>
      <c r="BJ360" s="329"/>
      <c r="BL360" s="329"/>
      <c r="BN360" s="329"/>
    </row>
    <row r="361" spans="1:66">
      <c r="N361" s="329"/>
      <c r="P361" s="329"/>
      <c r="R361" s="329"/>
      <c r="T361" s="329"/>
      <c r="V361" s="329"/>
      <c r="X361" s="329"/>
      <c r="Z361" s="329"/>
      <c r="AB361" s="329"/>
      <c r="AD361" s="329"/>
      <c r="AF361" s="329"/>
      <c r="AH361" s="329"/>
      <c r="AJ361" s="329"/>
      <c r="AL361" s="329"/>
      <c r="AN361" s="329"/>
      <c r="AP361" s="329"/>
      <c r="AR361" s="329"/>
      <c r="AT361" s="329"/>
      <c r="AV361" s="329"/>
      <c r="AX361" s="329"/>
      <c r="AZ361" s="329"/>
      <c r="BB361" s="329"/>
      <c r="BD361" s="329"/>
      <c r="BF361" s="329"/>
      <c r="BH361" s="329"/>
      <c r="BJ361" s="329"/>
      <c r="BL361" s="329"/>
      <c r="BN361" s="329"/>
    </row>
    <row r="362" spans="1:66">
      <c r="N362" s="329"/>
      <c r="P362" s="329"/>
      <c r="R362" s="329"/>
      <c r="T362" s="329"/>
      <c r="V362" s="329"/>
      <c r="X362" s="329"/>
      <c r="Z362" s="329"/>
      <c r="AB362" s="329"/>
      <c r="AD362" s="329"/>
      <c r="AF362" s="329"/>
      <c r="AH362" s="329"/>
      <c r="AJ362" s="329"/>
      <c r="AL362" s="329"/>
      <c r="AN362" s="329"/>
      <c r="AP362" s="329"/>
      <c r="AR362" s="329"/>
      <c r="AT362" s="329"/>
      <c r="AV362" s="329"/>
      <c r="AX362" s="329"/>
      <c r="AZ362" s="329"/>
      <c r="BB362" s="329"/>
      <c r="BD362" s="329"/>
      <c r="BF362" s="329"/>
      <c r="BH362" s="329"/>
      <c r="BJ362" s="329"/>
      <c r="BL362" s="329"/>
      <c r="BN362" s="329"/>
    </row>
    <row r="363" spans="1:66">
      <c r="N363" s="329"/>
      <c r="P363" s="329"/>
      <c r="R363" s="329"/>
      <c r="T363" s="329"/>
      <c r="V363" s="329"/>
      <c r="X363" s="329"/>
      <c r="Z363" s="329"/>
      <c r="AB363" s="329"/>
      <c r="AD363" s="329"/>
      <c r="AF363" s="329"/>
      <c r="AH363" s="329"/>
      <c r="AJ363" s="329"/>
      <c r="AL363" s="329"/>
      <c r="AN363" s="329"/>
      <c r="AP363" s="329"/>
      <c r="AR363" s="329"/>
      <c r="AT363" s="329"/>
      <c r="AV363" s="329"/>
      <c r="AX363" s="329"/>
      <c r="AZ363" s="329"/>
      <c r="BB363" s="329"/>
      <c r="BD363" s="329"/>
      <c r="BF363" s="329"/>
      <c r="BH363" s="329"/>
      <c r="BJ363" s="329"/>
      <c r="BL363" s="329"/>
      <c r="BN363" s="329"/>
    </row>
    <row r="364" spans="1:66">
      <c r="N364" s="329"/>
      <c r="P364" s="329"/>
      <c r="R364" s="329"/>
      <c r="T364" s="329"/>
      <c r="V364" s="329"/>
      <c r="X364" s="329"/>
      <c r="Z364" s="329"/>
      <c r="AB364" s="329"/>
      <c r="AD364" s="329"/>
      <c r="AF364" s="329"/>
      <c r="AH364" s="329"/>
      <c r="AJ364" s="329"/>
      <c r="AL364" s="329"/>
      <c r="AN364" s="329"/>
      <c r="AP364" s="329"/>
      <c r="AR364" s="329"/>
      <c r="AT364" s="329"/>
      <c r="AV364" s="329"/>
      <c r="AX364" s="329"/>
      <c r="AZ364" s="329"/>
      <c r="BB364" s="329"/>
      <c r="BD364" s="329"/>
      <c r="BF364" s="329"/>
      <c r="BH364" s="329"/>
      <c r="BJ364" s="329"/>
      <c r="BL364" s="329"/>
      <c r="BN364" s="329"/>
    </row>
    <row r="365" spans="1:66">
      <c r="N365" s="329"/>
      <c r="P365" s="329"/>
      <c r="R365" s="329"/>
      <c r="T365" s="329"/>
      <c r="V365" s="329"/>
      <c r="X365" s="329"/>
      <c r="Z365" s="329"/>
      <c r="AB365" s="329"/>
      <c r="AD365" s="329"/>
      <c r="AF365" s="329"/>
      <c r="AH365" s="329"/>
      <c r="AJ365" s="329"/>
      <c r="AL365" s="329"/>
      <c r="AN365" s="329"/>
      <c r="AP365" s="329"/>
      <c r="AR365" s="329"/>
      <c r="AT365" s="329"/>
      <c r="AV365" s="329"/>
      <c r="AX365" s="329"/>
      <c r="AZ365" s="329"/>
      <c r="BB365" s="329"/>
      <c r="BD365" s="329"/>
      <c r="BF365" s="329"/>
      <c r="BH365" s="329"/>
      <c r="BJ365" s="329"/>
      <c r="BL365" s="329"/>
      <c r="BN365" s="329"/>
    </row>
    <row r="366" spans="1:66">
      <c r="N366" s="329"/>
      <c r="P366" s="329"/>
      <c r="R366" s="329"/>
      <c r="T366" s="329"/>
      <c r="V366" s="329"/>
      <c r="X366" s="329"/>
      <c r="Z366" s="329"/>
      <c r="AB366" s="329"/>
      <c r="AD366" s="329"/>
      <c r="AF366" s="329"/>
      <c r="AH366" s="329"/>
      <c r="AJ366" s="329"/>
      <c r="AL366" s="329"/>
      <c r="AN366" s="329"/>
      <c r="AP366" s="329"/>
      <c r="AR366" s="329"/>
      <c r="AT366" s="329"/>
      <c r="AV366" s="329"/>
      <c r="AX366" s="329"/>
      <c r="AZ366" s="329"/>
      <c r="BB366" s="329"/>
      <c r="BD366" s="329"/>
      <c r="BF366" s="329"/>
      <c r="BH366" s="329"/>
      <c r="BJ366" s="329"/>
      <c r="BL366" s="329"/>
      <c r="BN366" s="329"/>
    </row>
    <row r="367" spans="1:66">
      <c r="N367" s="329"/>
      <c r="P367" s="329"/>
      <c r="R367" s="329"/>
      <c r="T367" s="329"/>
      <c r="V367" s="329"/>
      <c r="X367" s="329"/>
      <c r="Z367" s="329"/>
      <c r="AB367" s="329"/>
      <c r="AD367" s="329"/>
      <c r="AF367" s="329"/>
      <c r="AH367" s="329"/>
      <c r="AJ367" s="329"/>
      <c r="AL367" s="329"/>
      <c r="AN367" s="329"/>
      <c r="AP367" s="329"/>
      <c r="AR367" s="329"/>
      <c r="AT367" s="329"/>
      <c r="AV367" s="329"/>
      <c r="AX367" s="329"/>
      <c r="AZ367" s="329"/>
      <c r="BB367" s="329"/>
      <c r="BD367" s="329"/>
      <c r="BF367" s="329"/>
      <c r="BH367" s="329"/>
      <c r="BJ367" s="329"/>
      <c r="BL367" s="329"/>
      <c r="BN367" s="329"/>
    </row>
    <row r="368" spans="1:66">
      <c r="N368" s="329"/>
      <c r="P368" s="329"/>
      <c r="R368" s="329"/>
      <c r="T368" s="329"/>
      <c r="V368" s="329"/>
      <c r="X368" s="329"/>
      <c r="Z368" s="329"/>
      <c r="AB368" s="329"/>
      <c r="AD368" s="329"/>
      <c r="AF368" s="329"/>
      <c r="AH368" s="329"/>
      <c r="AJ368" s="329"/>
      <c r="AL368" s="329"/>
      <c r="AN368" s="329"/>
      <c r="AP368" s="329"/>
      <c r="AR368" s="329"/>
      <c r="AT368" s="329"/>
      <c r="AV368" s="329"/>
      <c r="AX368" s="329"/>
      <c r="AZ368" s="329"/>
      <c r="BB368" s="329"/>
      <c r="BD368" s="329"/>
      <c r="BF368" s="329"/>
      <c r="BH368" s="329"/>
      <c r="BJ368" s="329"/>
      <c r="BL368" s="329"/>
      <c r="BN368" s="329"/>
    </row>
    <row r="369" spans="14:66">
      <c r="N369" s="329"/>
      <c r="P369" s="329"/>
      <c r="R369" s="329"/>
      <c r="T369" s="329"/>
      <c r="V369" s="329"/>
      <c r="X369" s="329"/>
      <c r="Z369" s="329"/>
      <c r="AB369" s="329"/>
      <c r="AD369" s="329"/>
      <c r="AF369" s="329"/>
      <c r="AH369" s="329"/>
      <c r="AJ369" s="329"/>
      <c r="AL369" s="329"/>
      <c r="AN369" s="329"/>
      <c r="AP369" s="329"/>
      <c r="AR369" s="329"/>
      <c r="AT369" s="329"/>
      <c r="AV369" s="329"/>
      <c r="AX369" s="329"/>
      <c r="AZ369" s="329"/>
      <c r="BB369" s="329"/>
      <c r="BD369" s="329"/>
      <c r="BF369" s="329"/>
      <c r="BH369" s="329"/>
      <c r="BJ369" s="329"/>
      <c r="BL369" s="329"/>
      <c r="BN369" s="329"/>
    </row>
    <row r="370" spans="14:66">
      <c r="N370" s="329"/>
      <c r="P370" s="329"/>
      <c r="R370" s="329"/>
      <c r="T370" s="329"/>
      <c r="V370" s="329"/>
      <c r="X370" s="329"/>
      <c r="Z370" s="329"/>
      <c r="AB370" s="329"/>
      <c r="AD370" s="329"/>
      <c r="AF370" s="329"/>
      <c r="AH370" s="329"/>
      <c r="AJ370" s="329"/>
      <c r="AL370" s="329"/>
      <c r="AN370" s="329"/>
      <c r="AP370" s="329"/>
      <c r="AR370" s="329"/>
      <c r="AT370" s="329"/>
      <c r="AV370" s="329"/>
      <c r="AX370" s="329"/>
      <c r="AZ370" s="329"/>
      <c r="BB370" s="329"/>
      <c r="BD370" s="329"/>
      <c r="BF370" s="329"/>
      <c r="BH370" s="329"/>
      <c r="BJ370" s="329"/>
      <c r="BL370" s="329"/>
      <c r="BN370" s="329"/>
    </row>
    <row r="371" spans="14:66">
      <c r="N371" s="329"/>
      <c r="P371" s="329"/>
      <c r="R371" s="329"/>
      <c r="T371" s="329"/>
      <c r="V371" s="329"/>
      <c r="X371" s="329"/>
      <c r="Z371" s="329"/>
      <c r="AB371" s="329"/>
      <c r="AD371" s="329"/>
      <c r="AF371" s="329"/>
      <c r="AH371" s="329"/>
      <c r="AJ371" s="329"/>
      <c r="AL371" s="329"/>
      <c r="AN371" s="329"/>
      <c r="AP371" s="329"/>
      <c r="AR371" s="329"/>
      <c r="AT371" s="329"/>
      <c r="AV371" s="329"/>
      <c r="AX371" s="329"/>
      <c r="AZ371" s="329"/>
      <c r="BB371" s="329"/>
      <c r="BD371" s="329"/>
      <c r="BF371" s="329"/>
      <c r="BH371" s="329"/>
      <c r="BJ371" s="329"/>
      <c r="BL371" s="329"/>
      <c r="BN371" s="329"/>
    </row>
    <row r="372" spans="14:66">
      <c r="N372" s="329"/>
      <c r="P372" s="329"/>
      <c r="R372" s="329"/>
      <c r="T372" s="329"/>
      <c r="V372" s="329"/>
      <c r="X372" s="329"/>
      <c r="Z372" s="329"/>
      <c r="AB372" s="329"/>
      <c r="AD372" s="329"/>
      <c r="AF372" s="329"/>
      <c r="AH372" s="329"/>
      <c r="AJ372" s="329"/>
      <c r="AL372" s="329"/>
      <c r="AN372" s="329"/>
      <c r="AP372" s="329"/>
      <c r="AR372" s="329"/>
      <c r="AT372" s="329"/>
      <c r="AV372" s="329"/>
      <c r="AX372" s="329"/>
      <c r="AZ372" s="329"/>
      <c r="BB372" s="329"/>
      <c r="BD372" s="329"/>
      <c r="BF372" s="329"/>
      <c r="BH372" s="329"/>
      <c r="BJ372" s="329"/>
      <c r="BL372" s="329"/>
      <c r="BN372" s="329"/>
    </row>
    <row r="373" spans="14:66">
      <c r="N373" s="329"/>
      <c r="P373" s="329"/>
      <c r="R373" s="329"/>
      <c r="T373" s="329"/>
      <c r="V373" s="329"/>
      <c r="X373" s="329"/>
      <c r="Z373" s="329"/>
      <c r="AB373" s="329"/>
      <c r="AD373" s="329"/>
      <c r="AF373" s="329"/>
      <c r="AH373" s="329"/>
      <c r="AJ373" s="329"/>
      <c r="AL373" s="329"/>
      <c r="AN373" s="329"/>
      <c r="AP373" s="329"/>
      <c r="AR373" s="329"/>
      <c r="AT373" s="329"/>
      <c r="AV373" s="329"/>
      <c r="AX373" s="329"/>
      <c r="AZ373" s="329"/>
      <c r="BB373" s="329"/>
      <c r="BD373" s="329"/>
      <c r="BF373" s="329"/>
      <c r="BH373" s="329"/>
      <c r="BJ373" s="329"/>
      <c r="BL373" s="329"/>
      <c r="BN373" s="329"/>
    </row>
    <row r="374" spans="14:66">
      <c r="N374" s="329"/>
      <c r="P374" s="329"/>
      <c r="R374" s="329"/>
      <c r="T374" s="329"/>
      <c r="V374" s="329"/>
      <c r="X374" s="329"/>
      <c r="Z374" s="329"/>
      <c r="AB374" s="329"/>
      <c r="AD374" s="329"/>
      <c r="AF374" s="329"/>
      <c r="AH374" s="329"/>
      <c r="AJ374" s="329"/>
      <c r="AL374" s="329"/>
      <c r="AN374" s="329"/>
      <c r="AP374" s="329"/>
      <c r="AR374" s="329"/>
      <c r="AT374" s="329"/>
      <c r="AV374" s="329"/>
      <c r="AX374" s="329"/>
      <c r="AZ374" s="329"/>
      <c r="BB374" s="329"/>
      <c r="BD374" s="329"/>
      <c r="BF374" s="329"/>
      <c r="BH374" s="329"/>
      <c r="BJ374" s="329"/>
      <c r="BL374" s="329"/>
      <c r="BN374" s="329"/>
    </row>
    <row r="375" spans="14:66">
      <c r="N375" s="329"/>
      <c r="P375" s="329"/>
      <c r="R375" s="329"/>
      <c r="T375" s="329"/>
      <c r="V375" s="329"/>
      <c r="X375" s="329"/>
      <c r="Z375" s="329"/>
      <c r="AB375" s="329"/>
      <c r="AD375" s="329"/>
      <c r="AF375" s="329"/>
      <c r="AH375" s="329"/>
      <c r="AJ375" s="329"/>
      <c r="AL375" s="329"/>
      <c r="AN375" s="329"/>
      <c r="AP375" s="329"/>
      <c r="AR375" s="329"/>
      <c r="AT375" s="329"/>
      <c r="AV375" s="329"/>
      <c r="AX375" s="329"/>
      <c r="AZ375" s="329"/>
      <c r="BB375" s="329"/>
      <c r="BD375" s="329"/>
      <c r="BF375" s="329"/>
      <c r="BH375" s="329"/>
      <c r="BJ375" s="329"/>
      <c r="BL375" s="329"/>
      <c r="BN375" s="329"/>
    </row>
    <row r="376" spans="14:66">
      <c r="N376" s="329"/>
      <c r="P376" s="329"/>
      <c r="R376" s="329"/>
      <c r="T376" s="329"/>
      <c r="V376" s="329"/>
      <c r="X376" s="329"/>
      <c r="Z376" s="329"/>
      <c r="AB376" s="329"/>
      <c r="AD376" s="329"/>
      <c r="AF376" s="329"/>
      <c r="AH376" s="329"/>
      <c r="AJ376" s="329"/>
      <c r="AL376" s="329"/>
      <c r="AN376" s="329"/>
      <c r="AP376" s="329"/>
      <c r="AR376" s="329"/>
      <c r="AT376" s="329"/>
      <c r="AV376" s="329"/>
      <c r="AX376" s="329"/>
      <c r="AZ376" s="329"/>
      <c r="BB376" s="329"/>
      <c r="BD376" s="329"/>
      <c r="BF376" s="329"/>
      <c r="BH376" s="329"/>
      <c r="BJ376" s="329"/>
      <c r="BL376" s="329"/>
      <c r="BN376" s="329"/>
    </row>
    <row r="377" spans="14:66">
      <c r="N377" s="329"/>
      <c r="P377" s="329"/>
      <c r="R377" s="329"/>
      <c r="T377" s="329"/>
      <c r="V377" s="329"/>
      <c r="X377" s="329"/>
      <c r="Z377" s="329"/>
      <c r="AB377" s="329"/>
      <c r="AD377" s="329"/>
      <c r="AF377" s="329"/>
      <c r="AH377" s="329"/>
      <c r="AJ377" s="329"/>
      <c r="AL377" s="329"/>
      <c r="AN377" s="329"/>
      <c r="AP377" s="329"/>
      <c r="AR377" s="329"/>
      <c r="AT377" s="329"/>
      <c r="AV377" s="329"/>
      <c r="AX377" s="329"/>
      <c r="AZ377" s="329"/>
      <c r="BB377" s="329"/>
      <c r="BD377" s="329"/>
      <c r="BF377" s="329"/>
      <c r="BH377" s="329"/>
      <c r="BJ377" s="329"/>
      <c r="BL377" s="329"/>
      <c r="BN377" s="329"/>
    </row>
    <row r="378" spans="14:66">
      <c r="N378" s="329"/>
      <c r="P378" s="329"/>
      <c r="R378" s="329"/>
      <c r="T378" s="329"/>
      <c r="V378" s="329"/>
      <c r="X378" s="329"/>
      <c r="Z378" s="329"/>
      <c r="AB378" s="329"/>
      <c r="AD378" s="329"/>
      <c r="AF378" s="329"/>
      <c r="AH378" s="329"/>
      <c r="AJ378" s="329"/>
      <c r="AL378" s="329"/>
      <c r="AN378" s="329"/>
      <c r="AP378" s="329"/>
      <c r="AR378" s="329"/>
      <c r="AT378" s="329"/>
      <c r="AV378" s="329"/>
      <c r="AX378" s="329"/>
      <c r="AZ378" s="329"/>
      <c r="BB378" s="329"/>
      <c r="BD378" s="329"/>
      <c r="BF378" s="329"/>
      <c r="BH378" s="329"/>
      <c r="BJ378" s="329"/>
      <c r="BL378" s="329"/>
      <c r="BN378" s="329"/>
    </row>
    <row r="379" spans="14:66">
      <c r="N379" s="329"/>
      <c r="P379" s="329"/>
      <c r="R379" s="329"/>
      <c r="T379" s="329"/>
      <c r="V379" s="329"/>
      <c r="X379" s="329"/>
      <c r="Z379" s="329"/>
      <c r="AB379" s="329"/>
      <c r="AD379" s="329"/>
      <c r="AF379" s="329"/>
      <c r="AH379" s="329"/>
      <c r="AJ379" s="329"/>
      <c r="AL379" s="329"/>
      <c r="AN379" s="329"/>
      <c r="AP379" s="329"/>
      <c r="AR379" s="329"/>
      <c r="AT379" s="329"/>
      <c r="AV379" s="329"/>
      <c r="AX379" s="329"/>
      <c r="AZ379" s="329"/>
      <c r="BB379" s="329"/>
      <c r="BD379" s="329"/>
      <c r="BF379" s="329"/>
      <c r="BH379" s="329"/>
      <c r="BJ379" s="329"/>
      <c r="BL379" s="329"/>
      <c r="BN379" s="329"/>
    </row>
    <row r="380" spans="14:66">
      <c r="N380" s="329"/>
      <c r="P380" s="329"/>
      <c r="R380" s="329"/>
      <c r="T380" s="329"/>
      <c r="V380" s="329"/>
      <c r="X380" s="329"/>
      <c r="Z380" s="329"/>
      <c r="AB380" s="329"/>
      <c r="AD380" s="329"/>
      <c r="AF380" s="329"/>
      <c r="AH380" s="329"/>
      <c r="AJ380" s="329"/>
      <c r="AL380" s="329"/>
      <c r="AN380" s="329"/>
      <c r="AP380" s="329"/>
      <c r="AR380" s="329"/>
      <c r="AT380" s="329"/>
      <c r="AV380" s="329"/>
      <c r="AX380" s="329"/>
      <c r="AZ380" s="329"/>
      <c r="BB380" s="329"/>
      <c r="BD380" s="329"/>
      <c r="BF380" s="329"/>
      <c r="BH380" s="329"/>
      <c r="BJ380" s="329"/>
      <c r="BL380" s="329"/>
      <c r="BN380" s="329"/>
    </row>
    <row r="381" spans="14:66">
      <c r="N381" s="329"/>
      <c r="P381" s="329"/>
      <c r="R381" s="329"/>
      <c r="T381" s="329"/>
      <c r="V381" s="329"/>
      <c r="X381" s="329"/>
      <c r="Z381" s="329"/>
      <c r="AB381" s="329"/>
      <c r="AD381" s="329"/>
      <c r="AF381" s="329"/>
      <c r="AH381" s="329"/>
      <c r="AJ381" s="329"/>
      <c r="AL381" s="329"/>
      <c r="AN381" s="329"/>
      <c r="AP381" s="329"/>
      <c r="AR381" s="329"/>
      <c r="AT381" s="329"/>
      <c r="AV381" s="329"/>
      <c r="AX381" s="329"/>
      <c r="AZ381" s="329"/>
      <c r="BB381" s="329"/>
      <c r="BD381" s="329"/>
      <c r="BF381" s="329"/>
      <c r="BH381" s="329"/>
      <c r="BJ381" s="329"/>
      <c r="BL381" s="329"/>
      <c r="BN381" s="329"/>
    </row>
    <row r="382" spans="14:66">
      <c r="N382" s="329"/>
      <c r="P382" s="329"/>
      <c r="R382" s="329"/>
      <c r="T382" s="329"/>
      <c r="V382" s="329"/>
      <c r="X382" s="329"/>
      <c r="Z382" s="329"/>
      <c r="AB382" s="329"/>
      <c r="AD382" s="329"/>
      <c r="AF382" s="329"/>
      <c r="AH382" s="329"/>
      <c r="AJ382" s="329"/>
      <c r="AL382" s="329"/>
      <c r="AN382" s="329"/>
      <c r="AP382" s="329"/>
      <c r="AR382" s="329"/>
      <c r="AT382" s="329"/>
      <c r="AV382" s="329"/>
      <c r="AX382" s="329"/>
      <c r="AZ382" s="329"/>
      <c r="BB382" s="329"/>
      <c r="BD382" s="329"/>
      <c r="BF382" s="329"/>
      <c r="BH382" s="329"/>
      <c r="BJ382" s="329"/>
      <c r="BL382" s="329"/>
      <c r="BN382" s="329"/>
    </row>
    <row r="383" spans="14:66">
      <c r="N383" s="329"/>
      <c r="P383" s="329"/>
      <c r="R383" s="329"/>
      <c r="T383" s="329"/>
      <c r="V383" s="329"/>
      <c r="X383" s="329"/>
      <c r="Z383" s="329"/>
      <c r="AB383" s="329"/>
      <c r="AD383" s="329"/>
      <c r="AF383" s="329"/>
      <c r="AH383" s="329"/>
      <c r="AJ383" s="329"/>
      <c r="AL383" s="329"/>
      <c r="AN383" s="329"/>
      <c r="AP383" s="329"/>
      <c r="AR383" s="329"/>
      <c r="AT383" s="329"/>
      <c r="AV383" s="329"/>
      <c r="AX383" s="329"/>
      <c r="AZ383" s="329"/>
      <c r="BB383" s="329"/>
      <c r="BD383" s="329"/>
      <c r="BF383" s="329"/>
      <c r="BH383" s="329"/>
      <c r="BJ383" s="329"/>
      <c r="BL383" s="329"/>
      <c r="BN383" s="329"/>
    </row>
    <row r="384" spans="14:66">
      <c r="N384" s="329"/>
      <c r="P384" s="329"/>
      <c r="R384" s="329"/>
      <c r="T384" s="329"/>
      <c r="V384" s="329"/>
      <c r="X384" s="329"/>
      <c r="Z384" s="329"/>
      <c r="AB384" s="329"/>
      <c r="AD384" s="329"/>
      <c r="AF384" s="329"/>
      <c r="AH384" s="329"/>
      <c r="AJ384" s="329"/>
      <c r="AL384" s="329"/>
      <c r="AN384" s="329"/>
      <c r="AP384" s="329"/>
      <c r="AR384" s="329"/>
      <c r="AT384" s="329"/>
      <c r="AV384" s="329"/>
      <c r="AX384" s="329"/>
      <c r="AZ384" s="329"/>
      <c r="BB384" s="329"/>
      <c r="BD384" s="329"/>
      <c r="BF384" s="329"/>
      <c r="BH384" s="329"/>
      <c r="BJ384" s="329"/>
      <c r="BL384" s="329"/>
      <c r="BN384" s="329"/>
    </row>
    <row r="385" spans="14:66">
      <c r="N385" s="329"/>
      <c r="P385" s="329"/>
      <c r="R385" s="329"/>
      <c r="T385" s="329"/>
      <c r="V385" s="329"/>
      <c r="X385" s="329"/>
      <c r="Z385" s="329"/>
      <c r="AB385" s="329"/>
      <c r="AD385" s="329"/>
      <c r="AF385" s="329"/>
      <c r="AH385" s="329"/>
      <c r="AJ385" s="329"/>
      <c r="AL385" s="329"/>
      <c r="AN385" s="329"/>
      <c r="AP385" s="329"/>
      <c r="AR385" s="329"/>
      <c r="AT385" s="329"/>
      <c r="AV385" s="329"/>
      <c r="AX385" s="329"/>
      <c r="AZ385" s="329"/>
      <c r="BB385" s="329"/>
      <c r="BD385" s="329"/>
      <c r="BF385" s="329"/>
      <c r="BH385" s="329"/>
      <c r="BJ385" s="329"/>
      <c r="BL385" s="329"/>
      <c r="BN385" s="329"/>
    </row>
    <row r="386" spans="14:66">
      <c r="N386" s="329"/>
      <c r="P386" s="329"/>
      <c r="R386" s="329"/>
      <c r="T386" s="329"/>
      <c r="V386" s="329"/>
      <c r="X386" s="329"/>
      <c r="Z386" s="329"/>
      <c r="AB386" s="329"/>
      <c r="AD386" s="329"/>
      <c r="AF386" s="329"/>
      <c r="AH386" s="329"/>
      <c r="AJ386" s="329"/>
      <c r="AL386" s="329"/>
      <c r="AN386" s="329"/>
      <c r="AP386" s="329"/>
      <c r="AR386" s="329"/>
      <c r="AT386" s="329"/>
      <c r="AV386" s="329"/>
      <c r="AX386" s="329"/>
      <c r="AZ386" s="329"/>
      <c r="BB386" s="329"/>
      <c r="BD386" s="329"/>
      <c r="BF386" s="329"/>
      <c r="BH386" s="329"/>
      <c r="BJ386" s="329"/>
      <c r="BL386" s="329"/>
      <c r="BN386" s="329"/>
    </row>
    <row r="387" spans="14:66">
      <c r="N387" s="329"/>
      <c r="P387" s="329"/>
      <c r="R387" s="329"/>
      <c r="T387" s="329"/>
      <c r="V387" s="329"/>
      <c r="X387" s="329"/>
      <c r="Z387" s="329"/>
      <c r="AB387" s="329"/>
      <c r="AD387" s="329"/>
      <c r="AF387" s="329"/>
      <c r="AH387" s="329"/>
      <c r="AJ387" s="329"/>
      <c r="AL387" s="329"/>
      <c r="AN387" s="329"/>
      <c r="AP387" s="329"/>
      <c r="AR387" s="329"/>
      <c r="AT387" s="329"/>
      <c r="AV387" s="329"/>
      <c r="AX387" s="329"/>
      <c r="AZ387" s="329"/>
      <c r="BB387" s="329"/>
      <c r="BD387" s="329"/>
      <c r="BF387" s="329"/>
      <c r="BH387" s="329"/>
      <c r="BJ387" s="329"/>
      <c r="BL387" s="329"/>
      <c r="BN387" s="329"/>
    </row>
    <row r="388" spans="14:66">
      <c r="N388" s="329"/>
      <c r="P388" s="329"/>
      <c r="R388" s="329"/>
      <c r="T388" s="329"/>
      <c r="V388" s="329"/>
      <c r="X388" s="329"/>
      <c r="Z388" s="329"/>
      <c r="AB388" s="329"/>
      <c r="AD388" s="329"/>
      <c r="AF388" s="329"/>
      <c r="AH388" s="329"/>
      <c r="AJ388" s="329"/>
      <c r="AL388" s="329"/>
      <c r="AN388" s="329"/>
      <c r="AP388" s="329"/>
      <c r="AR388" s="329"/>
      <c r="AT388" s="329"/>
      <c r="AV388" s="329"/>
      <c r="AX388" s="329"/>
      <c r="AZ388" s="329"/>
      <c r="BB388" s="329"/>
      <c r="BD388" s="329"/>
      <c r="BF388" s="329"/>
      <c r="BH388" s="329"/>
      <c r="BJ388" s="329"/>
      <c r="BL388" s="329"/>
      <c r="BN388" s="329"/>
    </row>
    <row r="389" spans="14:66">
      <c r="N389" s="329"/>
      <c r="P389" s="329"/>
      <c r="R389" s="329"/>
      <c r="T389" s="329"/>
      <c r="V389" s="329"/>
      <c r="X389" s="329"/>
      <c r="Z389" s="329"/>
      <c r="AB389" s="329"/>
      <c r="AD389" s="329"/>
      <c r="AF389" s="329"/>
      <c r="AH389" s="329"/>
      <c r="AJ389" s="329"/>
      <c r="AL389" s="329"/>
      <c r="AN389" s="329"/>
      <c r="AP389" s="329"/>
      <c r="AR389" s="329"/>
      <c r="AT389" s="329"/>
      <c r="AV389" s="329"/>
      <c r="AX389" s="329"/>
      <c r="AZ389" s="329"/>
      <c r="BB389" s="329"/>
      <c r="BD389" s="329"/>
      <c r="BF389" s="329"/>
      <c r="BH389" s="329"/>
      <c r="BJ389" s="329"/>
      <c r="BL389" s="329"/>
      <c r="BN389" s="329"/>
    </row>
    <row r="390" spans="14:66">
      <c r="N390" s="329"/>
      <c r="P390" s="329"/>
      <c r="R390" s="329"/>
      <c r="T390" s="329"/>
      <c r="V390" s="329"/>
      <c r="X390" s="329"/>
      <c r="Z390" s="329"/>
      <c r="AB390" s="329"/>
      <c r="AD390" s="329"/>
      <c r="AF390" s="329"/>
      <c r="AH390" s="329"/>
      <c r="AJ390" s="329"/>
      <c r="AL390" s="329"/>
      <c r="AN390" s="329"/>
      <c r="AP390" s="329"/>
      <c r="AR390" s="329"/>
      <c r="AT390" s="329"/>
      <c r="AV390" s="329"/>
      <c r="AX390" s="329"/>
      <c r="AZ390" s="329"/>
      <c r="BB390" s="329"/>
      <c r="BD390" s="329"/>
      <c r="BF390" s="329"/>
      <c r="BH390" s="329"/>
      <c r="BJ390" s="329"/>
      <c r="BL390" s="329"/>
      <c r="BN390" s="329"/>
    </row>
    <row r="391" spans="14:66">
      <c r="N391" s="329"/>
      <c r="P391" s="329"/>
      <c r="R391" s="329"/>
      <c r="T391" s="329"/>
      <c r="V391" s="329"/>
      <c r="X391" s="329"/>
      <c r="Z391" s="329"/>
      <c r="AB391" s="329"/>
      <c r="AD391" s="329"/>
      <c r="AF391" s="329"/>
      <c r="AH391" s="329"/>
      <c r="AJ391" s="329"/>
      <c r="AL391" s="329"/>
      <c r="AN391" s="329"/>
      <c r="AP391" s="329"/>
      <c r="AR391" s="329"/>
      <c r="AT391" s="329"/>
      <c r="AV391" s="329"/>
      <c r="AX391" s="329"/>
      <c r="AZ391" s="329"/>
      <c r="BB391" s="329"/>
      <c r="BD391" s="329"/>
      <c r="BF391" s="329"/>
      <c r="BH391" s="329"/>
      <c r="BJ391" s="329"/>
      <c r="BL391" s="329"/>
      <c r="BN391" s="329"/>
    </row>
    <row r="392" spans="14:66">
      <c r="N392" s="329"/>
      <c r="P392" s="329"/>
      <c r="R392" s="329"/>
      <c r="T392" s="329"/>
      <c r="V392" s="329"/>
      <c r="X392" s="329"/>
      <c r="Z392" s="329"/>
      <c r="AB392" s="329"/>
      <c r="AD392" s="329"/>
      <c r="AF392" s="329"/>
      <c r="AH392" s="329"/>
      <c r="AJ392" s="329"/>
      <c r="AL392" s="329"/>
      <c r="AN392" s="329"/>
      <c r="AP392" s="329"/>
      <c r="AR392" s="329"/>
      <c r="AT392" s="329"/>
      <c r="AV392" s="329"/>
      <c r="AX392" s="329"/>
      <c r="AZ392" s="329"/>
      <c r="BB392" s="329"/>
      <c r="BD392" s="329"/>
      <c r="BF392" s="329"/>
      <c r="BH392" s="329"/>
      <c r="BJ392" s="329"/>
      <c r="BL392" s="329"/>
      <c r="BN392" s="329"/>
    </row>
    <row r="393" spans="14:66">
      <c r="N393" s="329"/>
      <c r="P393" s="329"/>
      <c r="R393" s="329"/>
      <c r="T393" s="329"/>
      <c r="V393" s="329"/>
      <c r="X393" s="329"/>
      <c r="Z393" s="329"/>
      <c r="AB393" s="329"/>
      <c r="AD393" s="329"/>
      <c r="AF393" s="329"/>
      <c r="AH393" s="329"/>
      <c r="AJ393" s="329"/>
      <c r="AL393" s="329"/>
      <c r="AN393" s="329"/>
      <c r="AP393" s="329"/>
      <c r="AR393" s="329"/>
      <c r="AT393" s="329"/>
      <c r="AV393" s="329"/>
      <c r="AX393" s="329"/>
      <c r="AZ393" s="329"/>
      <c r="BB393" s="329"/>
      <c r="BD393" s="329"/>
      <c r="BF393" s="329"/>
      <c r="BH393" s="329"/>
      <c r="BJ393" s="329"/>
      <c r="BL393" s="329"/>
      <c r="BN393" s="329"/>
    </row>
    <row r="394" spans="14:66">
      <c r="N394" s="329"/>
      <c r="P394" s="329"/>
      <c r="R394" s="329"/>
      <c r="T394" s="329"/>
      <c r="V394" s="329"/>
      <c r="X394" s="329"/>
      <c r="Z394" s="329"/>
      <c r="AB394" s="329"/>
      <c r="AD394" s="329"/>
      <c r="AF394" s="329"/>
      <c r="AH394" s="329"/>
      <c r="AJ394" s="329"/>
      <c r="AL394" s="329"/>
      <c r="AN394" s="329"/>
      <c r="AP394" s="329"/>
      <c r="AR394" s="329"/>
      <c r="AT394" s="329"/>
      <c r="AV394" s="329"/>
      <c r="AX394" s="329"/>
      <c r="AZ394" s="329"/>
      <c r="BB394" s="329"/>
      <c r="BD394" s="329"/>
      <c r="BF394" s="329"/>
      <c r="BH394" s="329"/>
      <c r="BJ394" s="329"/>
      <c r="BL394" s="329"/>
      <c r="BN394" s="329"/>
    </row>
    <row r="395" spans="14:66">
      <c r="N395" s="329"/>
      <c r="P395" s="329"/>
      <c r="R395" s="329"/>
      <c r="T395" s="329"/>
      <c r="V395" s="329"/>
      <c r="X395" s="329"/>
      <c r="Z395" s="329"/>
      <c r="AB395" s="329"/>
      <c r="AD395" s="329"/>
      <c r="AF395" s="329"/>
      <c r="AH395" s="329"/>
      <c r="AJ395" s="329"/>
      <c r="AL395" s="329"/>
      <c r="AN395" s="329"/>
      <c r="AP395" s="329"/>
      <c r="AR395" s="329"/>
      <c r="AT395" s="329"/>
      <c r="AV395" s="329"/>
      <c r="AX395" s="329"/>
      <c r="AZ395" s="329"/>
      <c r="BB395" s="329"/>
      <c r="BD395" s="329"/>
      <c r="BF395" s="329"/>
      <c r="BH395" s="329"/>
      <c r="BJ395" s="329"/>
      <c r="BL395" s="329"/>
      <c r="BN395" s="329"/>
    </row>
    <row r="396" spans="14:66">
      <c r="N396" s="329"/>
      <c r="P396" s="329"/>
      <c r="R396" s="329"/>
      <c r="T396" s="329"/>
      <c r="V396" s="329"/>
      <c r="X396" s="329"/>
      <c r="Z396" s="329"/>
      <c r="AB396" s="329"/>
      <c r="AD396" s="329"/>
      <c r="AF396" s="329"/>
      <c r="AH396" s="329"/>
      <c r="AJ396" s="329"/>
      <c r="AL396" s="329"/>
      <c r="AN396" s="329"/>
      <c r="AP396" s="329"/>
      <c r="AR396" s="329"/>
      <c r="AT396" s="329"/>
      <c r="AV396" s="329"/>
      <c r="AX396" s="329"/>
      <c r="AZ396" s="329"/>
      <c r="BB396" s="329"/>
      <c r="BD396" s="329"/>
      <c r="BF396" s="329"/>
      <c r="BH396" s="329"/>
      <c r="BJ396" s="329"/>
      <c r="BL396" s="329"/>
      <c r="BN396" s="329"/>
    </row>
    <row r="397" spans="14:66">
      <c r="N397" s="329"/>
      <c r="P397" s="329"/>
      <c r="R397" s="329"/>
      <c r="T397" s="329"/>
      <c r="V397" s="329"/>
      <c r="X397" s="329"/>
      <c r="Z397" s="329"/>
      <c r="AB397" s="329"/>
      <c r="AD397" s="329"/>
      <c r="AF397" s="329"/>
      <c r="AH397" s="329"/>
      <c r="AJ397" s="329"/>
      <c r="AL397" s="329"/>
      <c r="AN397" s="329"/>
      <c r="AP397" s="329"/>
      <c r="AR397" s="329"/>
      <c r="AT397" s="329"/>
      <c r="AV397" s="329"/>
      <c r="AX397" s="329"/>
      <c r="AZ397" s="329"/>
      <c r="BB397" s="329"/>
      <c r="BD397" s="329"/>
      <c r="BF397" s="329"/>
      <c r="BH397" s="329"/>
      <c r="BJ397" s="329"/>
      <c r="BL397" s="329"/>
      <c r="BN397" s="329"/>
    </row>
    <row r="398" spans="14:66">
      <c r="N398" s="329"/>
      <c r="P398" s="329"/>
      <c r="R398" s="329"/>
      <c r="T398" s="329"/>
      <c r="V398" s="329"/>
      <c r="X398" s="329"/>
      <c r="Z398" s="329"/>
      <c r="AB398" s="329"/>
      <c r="AD398" s="329"/>
      <c r="AF398" s="329"/>
      <c r="AH398" s="329"/>
      <c r="AJ398" s="329"/>
      <c r="AL398" s="329"/>
      <c r="AN398" s="329"/>
      <c r="AP398" s="329"/>
      <c r="AR398" s="329"/>
      <c r="AT398" s="329"/>
      <c r="AV398" s="329"/>
      <c r="AX398" s="329"/>
      <c r="AZ398" s="329"/>
      <c r="BB398" s="329"/>
      <c r="BD398" s="329"/>
      <c r="BF398" s="329"/>
      <c r="BH398" s="329"/>
      <c r="BJ398" s="329"/>
      <c r="BL398" s="329"/>
      <c r="BN398" s="329"/>
    </row>
    <row r="399" spans="14:66">
      <c r="N399" s="329"/>
      <c r="P399" s="329"/>
      <c r="R399" s="329"/>
      <c r="T399" s="329"/>
      <c r="V399" s="329"/>
      <c r="X399" s="329"/>
      <c r="Z399" s="329"/>
      <c r="AB399" s="329"/>
      <c r="AD399" s="329"/>
      <c r="AF399" s="329"/>
      <c r="AH399" s="329"/>
      <c r="AJ399" s="329"/>
      <c r="AL399" s="329"/>
      <c r="AN399" s="329"/>
      <c r="AP399" s="329"/>
      <c r="AR399" s="329"/>
      <c r="AT399" s="329"/>
      <c r="AV399" s="329"/>
      <c r="AX399" s="329"/>
      <c r="AZ399" s="329"/>
      <c r="BB399" s="329"/>
      <c r="BD399" s="329"/>
      <c r="BF399" s="329"/>
      <c r="BH399" s="329"/>
      <c r="BJ399" s="329"/>
      <c r="BL399" s="329"/>
      <c r="BN399" s="329"/>
    </row>
    <row r="400" spans="14:66">
      <c r="N400" s="329"/>
      <c r="P400" s="329"/>
      <c r="R400" s="329"/>
      <c r="T400" s="329"/>
      <c r="V400" s="329"/>
      <c r="X400" s="329"/>
      <c r="Z400" s="329"/>
      <c r="AB400" s="329"/>
      <c r="AD400" s="329"/>
      <c r="AF400" s="329"/>
      <c r="AH400" s="329"/>
      <c r="AJ400" s="329"/>
      <c r="AL400" s="329"/>
      <c r="AN400" s="329"/>
      <c r="AP400" s="329"/>
      <c r="AR400" s="329"/>
      <c r="AT400" s="329"/>
      <c r="AV400" s="329"/>
      <c r="AX400" s="329"/>
      <c r="AZ400" s="329"/>
      <c r="BB400" s="329"/>
      <c r="BD400" s="329"/>
      <c r="BF400" s="329"/>
      <c r="BH400" s="329"/>
      <c r="BJ400" s="329"/>
      <c r="BL400" s="329"/>
      <c r="BN400" s="329"/>
    </row>
    <row r="401" spans="14:66">
      <c r="N401" s="329"/>
      <c r="P401" s="329"/>
      <c r="R401" s="329"/>
      <c r="T401" s="329"/>
      <c r="V401" s="329"/>
      <c r="X401" s="329"/>
      <c r="Z401" s="329"/>
      <c r="AB401" s="329"/>
      <c r="AD401" s="329"/>
      <c r="AF401" s="329"/>
      <c r="AH401" s="329"/>
      <c r="AJ401" s="329"/>
      <c r="AL401" s="329"/>
      <c r="AN401" s="329"/>
      <c r="AP401" s="329"/>
      <c r="AR401" s="329"/>
      <c r="AT401" s="329"/>
      <c r="AV401" s="329"/>
      <c r="AX401" s="329"/>
      <c r="AZ401" s="329"/>
      <c r="BB401" s="329"/>
      <c r="BD401" s="329"/>
      <c r="BF401" s="329"/>
      <c r="BH401" s="329"/>
      <c r="BJ401" s="329"/>
      <c r="BL401" s="329"/>
      <c r="BN401" s="329"/>
    </row>
    <row r="402" spans="14:66">
      <c r="N402" s="329"/>
      <c r="P402" s="329"/>
      <c r="R402" s="329"/>
      <c r="T402" s="329"/>
      <c r="V402" s="329"/>
      <c r="X402" s="329"/>
      <c r="Z402" s="329"/>
      <c r="AB402" s="329"/>
      <c r="AD402" s="329"/>
      <c r="AF402" s="329"/>
      <c r="AH402" s="329"/>
      <c r="AJ402" s="329"/>
      <c r="AL402" s="329"/>
      <c r="AN402" s="329"/>
      <c r="AP402" s="329"/>
      <c r="AR402" s="329"/>
      <c r="AT402" s="329"/>
      <c r="AV402" s="329"/>
      <c r="AX402" s="329"/>
      <c r="AZ402" s="329"/>
      <c r="BB402" s="329"/>
      <c r="BD402" s="329"/>
      <c r="BF402" s="329"/>
      <c r="BH402" s="329"/>
      <c r="BJ402" s="329"/>
      <c r="BL402" s="329"/>
      <c r="BN402" s="329"/>
    </row>
    <row r="403" spans="14:66">
      <c r="N403" s="329"/>
      <c r="P403" s="329"/>
      <c r="R403" s="329"/>
      <c r="T403" s="329"/>
      <c r="V403" s="329"/>
      <c r="X403" s="329"/>
      <c r="Z403" s="329"/>
      <c r="AB403" s="329"/>
      <c r="AD403" s="329"/>
      <c r="AF403" s="329"/>
      <c r="AH403" s="329"/>
      <c r="AJ403" s="329"/>
      <c r="AL403" s="329"/>
      <c r="AN403" s="329"/>
      <c r="AP403" s="329"/>
      <c r="AR403" s="329"/>
      <c r="AT403" s="329"/>
      <c r="AV403" s="329"/>
      <c r="AX403" s="329"/>
      <c r="AZ403" s="329"/>
      <c r="BB403" s="329"/>
      <c r="BD403" s="329"/>
      <c r="BF403" s="329"/>
      <c r="BH403" s="329"/>
      <c r="BJ403" s="329"/>
      <c r="BL403" s="329"/>
      <c r="BN403" s="329"/>
    </row>
    <row r="404" spans="14:66">
      <c r="N404" s="329"/>
      <c r="P404" s="329"/>
      <c r="R404" s="329"/>
      <c r="T404" s="329"/>
      <c r="V404" s="329"/>
      <c r="X404" s="329"/>
      <c r="Z404" s="329"/>
      <c r="AB404" s="329"/>
      <c r="AD404" s="329"/>
      <c r="AF404" s="329"/>
      <c r="AH404" s="329"/>
      <c r="AJ404" s="329"/>
      <c r="AL404" s="329"/>
      <c r="AN404" s="329"/>
      <c r="AP404" s="329"/>
      <c r="AR404" s="329"/>
      <c r="AT404" s="329"/>
      <c r="AV404" s="329"/>
      <c r="AX404" s="329"/>
      <c r="AZ404" s="329"/>
      <c r="BB404" s="329"/>
      <c r="BD404" s="329"/>
      <c r="BF404" s="329"/>
      <c r="BH404" s="329"/>
      <c r="BJ404" s="329"/>
      <c r="BL404" s="329"/>
      <c r="BN404" s="329"/>
    </row>
    <row r="405" spans="14:66">
      <c r="N405" s="329"/>
      <c r="P405" s="329"/>
      <c r="R405" s="329"/>
      <c r="T405" s="329"/>
      <c r="V405" s="329"/>
      <c r="X405" s="329"/>
      <c r="Z405" s="329"/>
      <c r="AB405" s="329"/>
      <c r="AD405" s="329"/>
      <c r="AF405" s="329"/>
      <c r="AH405" s="329"/>
      <c r="AJ405" s="329"/>
      <c r="AL405" s="329"/>
      <c r="AN405" s="329"/>
      <c r="AP405" s="329"/>
      <c r="AR405" s="329"/>
      <c r="AT405" s="329"/>
      <c r="AV405" s="329"/>
      <c r="AX405" s="329"/>
      <c r="AZ405" s="329"/>
      <c r="BB405" s="329"/>
      <c r="BD405" s="329"/>
      <c r="BF405" s="329"/>
      <c r="BH405" s="329"/>
      <c r="BJ405" s="329"/>
      <c r="BL405" s="329"/>
      <c r="BN405" s="329"/>
    </row>
    <row r="406" spans="14:66">
      <c r="N406" s="329"/>
      <c r="P406" s="329"/>
      <c r="R406" s="329"/>
      <c r="T406" s="329"/>
      <c r="V406" s="329"/>
      <c r="X406" s="329"/>
      <c r="Z406" s="329"/>
      <c r="AB406" s="329"/>
      <c r="AD406" s="329"/>
      <c r="AF406" s="329"/>
      <c r="AH406" s="329"/>
      <c r="AJ406" s="329"/>
      <c r="AL406" s="329"/>
      <c r="AN406" s="329"/>
      <c r="AP406" s="329"/>
      <c r="AR406" s="329"/>
      <c r="AT406" s="329"/>
      <c r="AV406" s="329"/>
      <c r="AX406" s="329"/>
      <c r="AZ406" s="329"/>
      <c r="BB406" s="329"/>
      <c r="BD406" s="329"/>
      <c r="BF406" s="329"/>
      <c r="BH406" s="329"/>
      <c r="BJ406" s="329"/>
      <c r="BL406" s="329"/>
      <c r="BN406" s="329"/>
    </row>
    <row r="407" spans="14:66">
      <c r="N407" s="329"/>
      <c r="P407" s="329"/>
      <c r="R407" s="329"/>
      <c r="T407" s="329"/>
      <c r="V407" s="329"/>
      <c r="X407" s="329"/>
      <c r="Z407" s="329"/>
      <c r="AB407" s="329"/>
      <c r="AD407" s="329"/>
      <c r="AF407" s="329"/>
      <c r="AH407" s="329"/>
      <c r="AJ407" s="329"/>
      <c r="AL407" s="329"/>
      <c r="AN407" s="329"/>
      <c r="AP407" s="329"/>
      <c r="AR407" s="329"/>
      <c r="AT407" s="329"/>
      <c r="AV407" s="329"/>
      <c r="AX407" s="329"/>
      <c r="AZ407" s="329"/>
      <c r="BB407" s="329"/>
      <c r="BD407" s="329"/>
      <c r="BF407" s="329"/>
      <c r="BH407" s="329"/>
      <c r="BJ407" s="329"/>
      <c r="BL407" s="329"/>
      <c r="BN407" s="329"/>
    </row>
    <row r="408" spans="14:66">
      <c r="N408" s="329"/>
      <c r="P408" s="329"/>
      <c r="R408" s="329"/>
      <c r="T408" s="329"/>
      <c r="V408" s="329"/>
      <c r="X408" s="329"/>
      <c r="Z408" s="329"/>
      <c r="AB408" s="329"/>
      <c r="AD408" s="329"/>
      <c r="AF408" s="329"/>
      <c r="AH408" s="329"/>
      <c r="AJ408" s="329"/>
      <c r="AL408" s="329"/>
      <c r="AN408" s="329"/>
      <c r="AP408" s="329"/>
      <c r="AR408" s="329"/>
      <c r="AT408" s="329"/>
      <c r="AV408" s="329"/>
      <c r="AX408" s="329"/>
      <c r="AZ408" s="329"/>
      <c r="BB408" s="329"/>
      <c r="BD408" s="329"/>
      <c r="BF408" s="329"/>
      <c r="BH408" s="329"/>
      <c r="BJ408" s="329"/>
      <c r="BL408" s="329"/>
      <c r="BN408" s="329"/>
    </row>
    <row r="409" spans="14:66">
      <c r="N409" s="329"/>
      <c r="P409" s="329"/>
      <c r="R409" s="329"/>
      <c r="T409" s="329"/>
      <c r="V409" s="329"/>
      <c r="X409" s="329"/>
      <c r="Z409" s="329"/>
      <c r="AB409" s="329"/>
      <c r="AD409" s="329"/>
      <c r="AF409" s="329"/>
      <c r="AH409" s="329"/>
      <c r="AJ409" s="329"/>
      <c r="AL409" s="329"/>
      <c r="AN409" s="329"/>
      <c r="AP409" s="329"/>
      <c r="AR409" s="329"/>
      <c r="AT409" s="329"/>
      <c r="AV409" s="329"/>
      <c r="AX409" s="329"/>
      <c r="AZ409" s="329"/>
      <c r="BB409" s="329"/>
      <c r="BD409" s="329"/>
      <c r="BF409" s="329"/>
      <c r="BH409" s="329"/>
      <c r="BJ409" s="329"/>
      <c r="BL409" s="329"/>
      <c r="BN409" s="329"/>
    </row>
    <row r="410" spans="14:66">
      <c r="N410" s="329"/>
      <c r="P410" s="329"/>
      <c r="R410" s="329"/>
      <c r="T410" s="329"/>
      <c r="V410" s="329"/>
      <c r="X410" s="329"/>
      <c r="Z410" s="329"/>
      <c r="AB410" s="329"/>
      <c r="AD410" s="329"/>
      <c r="AF410" s="329"/>
      <c r="AH410" s="329"/>
      <c r="AJ410" s="329"/>
      <c r="AL410" s="329"/>
      <c r="AN410" s="329"/>
      <c r="AP410" s="329"/>
      <c r="AR410" s="329"/>
      <c r="AT410" s="329"/>
      <c r="AV410" s="329"/>
      <c r="AX410" s="329"/>
      <c r="AZ410" s="329"/>
      <c r="BB410" s="329"/>
      <c r="BD410" s="329"/>
      <c r="BF410" s="329"/>
      <c r="BH410" s="329"/>
      <c r="BJ410" s="329"/>
      <c r="BL410" s="329"/>
      <c r="BN410" s="329"/>
    </row>
    <row r="411" spans="14:66">
      <c r="N411" s="329"/>
      <c r="P411" s="329"/>
      <c r="R411" s="329"/>
      <c r="T411" s="329"/>
      <c r="V411" s="329"/>
      <c r="X411" s="329"/>
      <c r="Z411" s="329"/>
      <c r="AB411" s="329"/>
      <c r="AD411" s="329"/>
      <c r="AF411" s="329"/>
      <c r="AH411" s="329"/>
      <c r="AJ411" s="329"/>
      <c r="AL411" s="329"/>
      <c r="AN411" s="329"/>
      <c r="AP411" s="329"/>
      <c r="AR411" s="329"/>
      <c r="AT411" s="329"/>
      <c r="AV411" s="329"/>
      <c r="AX411" s="329"/>
      <c r="AZ411" s="329"/>
      <c r="BB411" s="329"/>
      <c r="BD411" s="329"/>
      <c r="BF411" s="329"/>
      <c r="BH411" s="329"/>
      <c r="BJ411" s="329"/>
      <c r="BL411" s="329"/>
      <c r="BN411" s="329"/>
    </row>
    <row r="412" spans="14:66">
      <c r="N412" s="329"/>
      <c r="P412" s="329"/>
      <c r="R412" s="329"/>
      <c r="T412" s="329"/>
      <c r="V412" s="329"/>
      <c r="X412" s="329"/>
      <c r="Z412" s="329"/>
      <c r="AB412" s="329"/>
      <c r="AD412" s="329"/>
      <c r="AF412" s="329"/>
      <c r="AH412" s="329"/>
      <c r="AJ412" s="329"/>
      <c r="AL412" s="329"/>
      <c r="AN412" s="329"/>
      <c r="AP412" s="329"/>
      <c r="AR412" s="329"/>
      <c r="AT412" s="329"/>
      <c r="AV412" s="329"/>
      <c r="AX412" s="329"/>
      <c r="AZ412" s="329"/>
      <c r="BB412" s="329"/>
      <c r="BD412" s="329"/>
      <c r="BF412" s="329"/>
      <c r="BH412" s="329"/>
      <c r="BJ412" s="329"/>
      <c r="BL412" s="329"/>
      <c r="BN412" s="329"/>
    </row>
    <row r="413" spans="14:66">
      <c r="N413" s="329"/>
      <c r="P413" s="329"/>
      <c r="R413" s="329"/>
      <c r="T413" s="329"/>
      <c r="V413" s="329"/>
      <c r="X413" s="329"/>
      <c r="Z413" s="329"/>
      <c r="AB413" s="329"/>
      <c r="AD413" s="329"/>
      <c r="AF413" s="329"/>
      <c r="AH413" s="329"/>
      <c r="AJ413" s="329"/>
      <c r="AL413" s="329"/>
      <c r="AN413" s="329"/>
      <c r="AP413" s="329"/>
      <c r="AR413" s="329"/>
      <c r="AT413" s="329"/>
      <c r="AV413" s="329"/>
      <c r="AX413" s="329"/>
      <c r="AZ413" s="329"/>
      <c r="BB413" s="329"/>
      <c r="BD413" s="329"/>
      <c r="BF413" s="329"/>
      <c r="BH413" s="329"/>
      <c r="BJ413" s="329"/>
      <c r="BL413" s="329"/>
      <c r="BN413" s="329"/>
    </row>
    <row r="414" spans="14:66">
      <c r="N414" s="329"/>
      <c r="P414" s="329"/>
      <c r="R414" s="329"/>
      <c r="T414" s="329"/>
      <c r="V414" s="329"/>
      <c r="X414" s="329"/>
      <c r="Z414" s="329"/>
      <c r="AB414" s="329"/>
      <c r="AD414" s="329"/>
      <c r="AF414" s="329"/>
      <c r="AH414" s="329"/>
      <c r="AJ414" s="329"/>
      <c r="AL414" s="329"/>
      <c r="AN414" s="329"/>
      <c r="AP414" s="329"/>
      <c r="AR414" s="329"/>
      <c r="AT414" s="329"/>
      <c r="AV414" s="329"/>
      <c r="AX414" s="329"/>
      <c r="AZ414" s="329"/>
      <c r="BB414" s="329"/>
      <c r="BD414" s="329"/>
      <c r="BF414" s="329"/>
      <c r="BH414" s="329"/>
      <c r="BJ414" s="329"/>
      <c r="BL414" s="329"/>
      <c r="BN414" s="329"/>
    </row>
    <row r="415" spans="14:66">
      <c r="N415" s="329"/>
      <c r="P415" s="329"/>
      <c r="R415" s="329"/>
      <c r="T415" s="329"/>
      <c r="V415" s="329"/>
      <c r="X415" s="329"/>
      <c r="Z415" s="329"/>
      <c r="AB415" s="329"/>
      <c r="AD415" s="329"/>
      <c r="AF415" s="329"/>
      <c r="AH415" s="329"/>
      <c r="AJ415" s="329"/>
      <c r="AL415" s="329"/>
      <c r="AN415" s="329"/>
      <c r="AP415" s="329"/>
      <c r="AR415" s="329"/>
      <c r="AT415" s="329"/>
      <c r="AV415" s="329"/>
      <c r="AX415" s="329"/>
      <c r="AZ415" s="329"/>
      <c r="BB415" s="329"/>
      <c r="BD415" s="329"/>
      <c r="BF415" s="329"/>
      <c r="BH415" s="329"/>
      <c r="BJ415" s="329"/>
      <c r="BL415" s="329"/>
      <c r="BN415" s="329"/>
    </row>
    <row r="416" spans="14:66">
      <c r="N416" s="329"/>
      <c r="P416" s="329"/>
      <c r="R416" s="329"/>
      <c r="T416" s="329"/>
      <c r="V416" s="329"/>
      <c r="X416" s="329"/>
      <c r="Z416" s="329"/>
      <c r="AB416" s="329"/>
      <c r="AD416" s="329"/>
      <c r="AF416" s="329"/>
      <c r="AH416" s="329"/>
      <c r="AJ416" s="329"/>
      <c r="AL416" s="329"/>
      <c r="AN416" s="329"/>
      <c r="AP416" s="329"/>
      <c r="AR416" s="329"/>
      <c r="AT416" s="329"/>
      <c r="AV416" s="329"/>
      <c r="AX416" s="329"/>
      <c r="AZ416" s="329"/>
      <c r="BB416" s="329"/>
      <c r="BD416" s="329"/>
      <c r="BF416" s="329"/>
      <c r="BH416" s="329"/>
      <c r="BJ416" s="329"/>
      <c r="BL416" s="329"/>
      <c r="BN416" s="329"/>
    </row>
    <row r="417" spans="14:66">
      <c r="N417" s="329"/>
      <c r="P417" s="329"/>
      <c r="R417" s="329"/>
      <c r="T417" s="329"/>
      <c r="V417" s="329"/>
      <c r="X417" s="329"/>
      <c r="Z417" s="329"/>
      <c r="AB417" s="329"/>
      <c r="AD417" s="329"/>
      <c r="AF417" s="329"/>
      <c r="AH417" s="329"/>
      <c r="AJ417" s="329"/>
      <c r="AL417" s="329"/>
      <c r="AN417" s="329"/>
      <c r="AP417" s="329"/>
      <c r="AR417" s="329"/>
      <c r="AT417" s="329"/>
      <c r="AV417" s="329"/>
      <c r="AX417" s="329"/>
      <c r="AZ417" s="329"/>
      <c r="BB417" s="329"/>
      <c r="BD417" s="329"/>
      <c r="BF417" s="329"/>
      <c r="BH417" s="329"/>
      <c r="BJ417" s="329"/>
      <c r="BL417" s="329"/>
      <c r="BN417" s="329"/>
    </row>
    <row r="418" spans="14:66">
      <c r="N418" s="329"/>
      <c r="P418" s="329"/>
      <c r="R418" s="329"/>
      <c r="T418" s="329"/>
      <c r="V418" s="329"/>
      <c r="X418" s="329"/>
      <c r="Z418" s="329"/>
      <c r="AB418" s="329"/>
      <c r="AD418" s="329"/>
      <c r="AF418" s="329"/>
      <c r="AH418" s="329"/>
      <c r="AJ418" s="329"/>
      <c r="AL418" s="329"/>
      <c r="AN418" s="329"/>
      <c r="AP418" s="329"/>
      <c r="AR418" s="329"/>
      <c r="AT418" s="329"/>
      <c r="AV418" s="329"/>
      <c r="AX418" s="329"/>
      <c r="AZ418" s="329"/>
      <c r="BB418" s="329"/>
      <c r="BD418" s="329"/>
      <c r="BF418" s="329"/>
      <c r="BH418" s="329"/>
      <c r="BJ418" s="329"/>
      <c r="BL418" s="329"/>
      <c r="BN418" s="329"/>
    </row>
    <row r="419" spans="14:66">
      <c r="N419" s="329"/>
      <c r="P419" s="329"/>
      <c r="R419" s="329"/>
      <c r="T419" s="329"/>
      <c r="V419" s="329"/>
      <c r="X419" s="329"/>
      <c r="Z419" s="329"/>
      <c r="AB419" s="329"/>
      <c r="AD419" s="329"/>
      <c r="AF419" s="329"/>
      <c r="AH419" s="329"/>
      <c r="AJ419" s="329"/>
      <c r="AL419" s="329"/>
      <c r="AN419" s="329"/>
      <c r="AP419" s="329"/>
      <c r="AR419" s="329"/>
      <c r="AT419" s="329"/>
      <c r="AV419" s="329"/>
      <c r="AX419" s="329"/>
      <c r="AZ419" s="329"/>
      <c r="BB419" s="329"/>
      <c r="BD419" s="329"/>
      <c r="BF419" s="329"/>
      <c r="BH419" s="329"/>
      <c r="BJ419" s="329"/>
      <c r="BL419" s="329"/>
      <c r="BN419" s="329"/>
    </row>
    <row r="420" spans="14:66">
      <c r="N420" s="329"/>
      <c r="P420" s="329"/>
      <c r="R420" s="329"/>
      <c r="T420" s="329"/>
      <c r="V420" s="329"/>
      <c r="X420" s="329"/>
      <c r="Z420" s="329"/>
      <c r="AB420" s="329"/>
      <c r="AD420" s="329"/>
      <c r="AF420" s="329"/>
      <c r="AH420" s="329"/>
      <c r="AJ420" s="329"/>
      <c r="AL420" s="329"/>
      <c r="AN420" s="329"/>
      <c r="AP420" s="329"/>
      <c r="AR420" s="329"/>
      <c r="AT420" s="329"/>
      <c r="AV420" s="329"/>
      <c r="AX420" s="329"/>
      <c r="AZ420" s="329"/>
      <c r="BB420" s="329"/>
      <c r="BD420" s="329"/>
      <c r="BF420" s="329"/>
      <c r="BH420" s="329"/>
      <c r="BJ420" s="329"/>
      <c r="BL420" s="329"/>
      <c r="BN420" s="329"/>
    </row>
    <row r="421" spans="14:66">
      <c r="N421" s="329"/>
      <c r="P421" s="329"/>
      <c r="R421" s="329"/>
      <c r="T421" s="329"/>
      <c r="V421" s="329"/>
      <c r="X421" s="329"/>
      <c r="Z421" s="329"/>
      <c r="AB421" s="329"/>
      <c r="AD421" s="329"/>
      <c r="AF421" s="329"/>
      <c r="AH421" s="329"/>
      <c r="AJ421" s="329"/>
      <c r="AL421" s="329"/>
      <c r="AN421" s="329"/>
      <c r="AP421" s="329"/>
      <c r="AR421" s="329"/>
      <c r="AT421" s="329"/>
      <c r="AV421" s="329"/>
      <c r="AX421" s="329"/>
      <c r="AZ421" s="329"/>
      <c r="BB421" s="329"/>
      <c r="BD421" s="329"/>
      <c r="BF421" s="329"/>
      <c r="BH421" s="329"/>
      <c r="BJ421" s="329"/>
      <c r="BL421" s="329"/>
      <c r="BN421" s="329"/>
    </row>
    <row r="422" spans="14:66">
      <c r="N422" s="329"/>
      <c r="P422" s="329"/>
      <c r="R422" s="329"/>
      <c r="T422" s="329"/>
      <c r="V422" s="329"/>
      <c r="X422" s="329"/>
      <c r="Z422" s="329"/>
      <c r="AB422" s="329"/>
      <c r="AD422" s="329"/>
      <c r="AF422" s="329"/>
      <c r="AH422" s="329"/>
      <c r="AJ422" s="329"/>
      <c r="AL422" s="329"/>
      <c r="AN422" s="329"/>
      <c r="AP422" s="329"/>
      <c r="AR422" s="329"/>
      <c r="AT422" s="329"/>
      <c r="AV422" s="329"/>
      <c r="AX422" s="329"/>
      <c r="AZ422" s="329"/>
      <c r="BB422" s="329"/>
      <c r="BD422" s="329"/>
      <c r="BF422" s="329"/>
      <c r="BH422" s="329"/>
      <c r="BJ422" s="329"/>
      <c r="BL422" s="329"/>
      <c r="BN422" s="329"/>
    </row>
    <row r="423" spans="14:66">
      <c r="N423" s="329"/>
      <c r="P423" s="329"/>
      <c r="R423" s="329"/>
      <c r="T423" s="329"/>
      <c r="V423" s="329"/>
      <c r="X423" s="329"/>
      <c r="Z423" s="329"/>
      <c r="AB423" s="329"/>
      <c r="AD423" s="329"/>
      <c r="AF423" s="329"/>
      <c r="AH423" s="329"/>
      <c r="AJ423" s="329"/>
      <c r="AL423" s="329"/>
      <c r="AN423" s="329"/>
      <c r="AP423" s="329"/>
      <c r="AR423" s="329"/>
      <c r="AT423" s="329"/>
      <c r="AV423" s="329"/>
      <c r="AX423" s="329"/>
      <c r="AZ423" s="329"/>
      <c r="BB423" s="329"/>
      <c r="BD423" s="329"/>
      <c r="BF423" s="329"/>
      <c r="BH423" s="329"/>
      <c r="BJ423" s="329"/>
      <c r="BL423" s="329"/>
      <c r="BN423" s="329"/>
    </row>
    <row r="424" spans="14:66">
      <c r="N424" s="329"/>
      <c r="P424" s="329"/>
      <c r="R424" s="329"/>
      <c r="T424" s="329"/>
      <c r="V424" s="329"/>
      <c r="X424" s="329"/>
      <c r="Z424" s="329"/>
      <c r="AB424" s="329"/>
      <c r="AD424" s="329"/>
      <c r="AF424" s="329"/>
      <c r="AH424" s="329"/>
      <c r="AJ424" s="329"/>
      <c r="AL424" s="329"/>
      <c r="AN424" s="329"/>
      <c r="AP424" s="329"/>
      <c r="AR424" s="329"/>
      <c r="AT424" s="329"/>
      <c r="AV424" s="329"/>
      <c r="AX424" s="329"/>
      <c r="AZ424" s="329"/>
      <c r="BB424" s="329"/>
      <c r="BD424" s="329"/>
      <c r="BF424" s="329"/>
      <c r="BH424" s="329"/>
      <c r="BJ424" s="329"/>
      <c r="BL424" s="329"/>
      <c r="BN424" s="329"/>
    </row>
    <row r="425" spans="14:66">
      <c r="N425" s="329"/>
      <c r="P425" s="329"/>
      <c r="R425" s="329"/>
      <c r="T425" s="329"/>
      <c r="V425" s="329"/>
      <c r="X425" s="329"/>
      <c r="Z425" s="329"/>
      <c r="AB425" s="329"/>
      <c r="AD425" s="329"/>
      <c r="AF425" s="329"/>
      <c r="AH425" s="329"/>
      <c r="AJ425" s="329"/>
      <c r="AL425" s="329"/>
      <c r="AN425" s="329"/>
      <c r="AP425" s="329"/>
      <c r="AR425" s="329"/>
      <c r="AT425" s="329"/>
      <c r="AV425" s="329"/>
      <c r="AX425" s="329"/>
      <c r="AZ425" s="329"/>
      <c r="BB425" s="329"/>
      <c r="BD425" s="329"/>
      <c r="BF425" s="329"/>
      <c r="BH425" s="329"/>
      <c r="BJ425" s="329"/>
      <c r="BL425" s="329"/>
      <c r="BN425" s="329"/>
    </row>
    <row r="426" spans="14:66">
      <c r="N426" s="329"/>
      <c r="P426" s="329"/>
      <c r="R426" s="329"/>
      <c r="T426" s="329"/>
      <c r="V426" s="329"/>
      <c r="X426" s="329"/>
      <c r="Z426" s="329"/>
      <c r="AB426" s="329"/>
      <c r="AD426" s="329"/>
      <c r="AF426" s="329"/>
      <c r="AH426" s="329"/>
      <c r="AJ426" s="329"/>
      <c r="AL426" s="329"/>
      <c r="AN426" s="329"/>
      <c r="AP426" s="329"/>
      <c r="AR426" s="329"/>
      <c r="AT426" s="329"/>
      <c r="AV426" s="329"/>
      <c r="AX426" s="329"/>
      <c r="AZ426" s="329"/>
      <c r="BB426" s="329"/>
      <c r="BD426" s="329"/>
      <c r="BF426" s="329"/>
      <c r="BH426" s="329"/>
      <c r="BJ426" s="329"/>
      <c r="BL426" s="329"/>
      <c r="BN426" s="329"/>
    </row>
    <row r="427" spans="14:66">
      <c r="N427" s="329"/>
      <c r="P427" s="329"/>
      <c r="R427" s="329"/>
      <c r="T427" s="329"/>
      <c r="V427" s="329"/>
      <c r="X427" s="329"/>
      <c r="Z427" s="329"/>
      <c r="AB427" s="329"/>
      <c r="AD427" s="329"/>
      <c r="AF427" s="329"/>
      <c r="AH427" s="329"/>
      <c r="AJ427" s="329"/>
      <c r="AL427" s="329"/>
      <c r="AN427" s="329"/>
      <c r="AP427" s="329"/>
      <c r="AR427" s="329"/>
      <c r="AT427" s="329"/>
      <c r="AV427" s="329"/>
      <c r="AX427" s="329"/>
      <c r="AZ427" s="329"/>
      <c r="BB427" s="329"/>
      <c r="BD427" s="329"/>
      <c r="BF427" s="329"/>
      <c r="BH427" s="329"/>
      <c r="BJ427" s="329"/>
      <c r="BL427" s="329"/>
      <c r="BN427" s="329"/>
    </row>
    <row r="428" spans="14:66">
      <c r="N428" s="329"/>
      <c r="P428" s="329"/>
      <c r="R428" s="329"/>
      <c r="T428" s="329"/>
      <c r="V428" s="329"/>
      <c r="X428" s="329"/>
      <c r="Z428" s="329"/>
      <c r="AB428" s="329"/>
      <c r="AD428" s="329"/>
      <c r="AF428" s="329"/>
      <c r="AH428" s="329"/>
      <c r="AJ428" s="329"/>
      <c r="AL428" s="329"/>
      <c r="AN428" s="329"/>
      <c r="AP428" s="329"/>
      <c r="AR428" s="329"/>
      <c r="AT428" s="329"/>
      <c r="AV428" s="329"/>
      <c r="AX428" s="329"/>
      <c r="AZ428" s="329"/>
      <c r="BB428" s="329"/>
      <c r="BD428" s="329"/>
      <c r="BF428" s="329"/>
      <c r="BH428" s="329"/>
      <c r="BJ428" s="329"/>
      <c r="BL428" s="329"/>
      <c r="BN428" s="329"/>
    </row>
    <row r="429" spans="14:66">
      <c r="N429" s="329"/>
      <c r="P429" s="329"/>
      <c r="R429" s="329"/>
      <c r="T429" s="329"/>
      <c r="V429" s="329"/>
      <c r="X429" s="329"/>
      <c r="Z429" s="329"/>
      <c r="AB429" s="329"/>
      <c r="AD429" s="329"/>
      <c r="AF429" s="329"/>
      <c r="AH429" s="329"/>
      <c r="AJ429" s="329"/>
      <c r="AL429" s="329"/>
      <c r="AN429" s="329"/>
      <c r="AP429" s="329"/>
      <c r="AR429" s="329"/>
      <c r="AT429" s="329"/>
      <c r="AV429" s="329"/>
      <c r="AX429" s="329"/>
      <c r="AZ429" s="329"/>
      <c r="BB429" s="329"/>
      <c r="BD429" s="329"/>
      <c r="BF429" s="329"/>
      <c r="BH429" s="329"/>
      <c r="BJ429" s="329"/>
      <c r="BL429" s="329"/>
      <c r="BN429" s="329"/>
    </row>
    <row r="430" spans="14:66">
      <c r="N430" s="329"/>
      <c r="P430" s="329"/>
      <c r="R430" s="329"/>
      <c r="T430" s="329"/>
      <c r="V430" s="329"/>
      <c r="X430" s="329"/>
      <c r="Z430" s="329"/>
      <c r="AB430" s="329"/>
      <c r="AD430" s="329"/>
      <c r="AF430" s="329"/>
      <c r="AH430" s="329"/>
      <c r="AJ430" s="329"/>
      <c r="AL430" s="329"/>
      <c r="AN430" s="329"/>
      <c r="AP430" s="329"/>
      <c r="AR430" s="329"/>
      <c r="AT430" s="329"/>
      <c r="AV430" s="329"/>
      <c r="AX430" s="329"/>
      <c r="AZ430" s="329"/>
      <c r="BB430" s="329"/>
      <c r="BD430" s="329"/>
      <c r="BF430" s="329"/>
      <c r="BH430" s="329"/>
      <c r="BJ430" s="329"/>
      <c r="BL430" s="329"/>
      <c r="BN430" s="329"/>
    </row>
    <row r="431" spans="14:66">
      <c r="N431" s="329"/>
      <c r="P431" s="329"/>
      <c r="R431" s="329"/>
      <c r="T431" s="329"/>
      <c r="V431" s="329"/>
      <c r="X431" s="329"/>
      <c r="Z431" s="329"/>
      <c r="AB431" s="329"/>
      <c r="AD431" s="329"/>
      <c r="AF431" s="329"/>
      <c r="AH431" s="329"/>
      <c r="AJ431" s="329"/>
      <c r="AL431" s="329"/>
      <c r="AN431" s="329"/>
      <c r="AP431" s="329"/>
      <c r="AR431" s="329"/>
      <c r="AT431" s="329"/>
      <c r="AV431" s="329"/>
      <c r="AX431" s="329"/>
      <c r="AZ431" s="329"/>
      <c r="BB431" s="329"/>
      <c r="BD431" s="329"/>
      <c r="BF431" s="329"/>
      <c r="BH431" s="329"/>
      <c r="BJ431" s="329"/>
      <c r="BL431" s="329"/>
      <c r="BN431" s="329"/>
    </row>
    <row r="432" spans="14:66">
      <c r="N432" s="329"/>
      <c r="P432" s="329"/>
      <c r="R432" s="329"/>
      <c r="T432" s="329"/>
      <c r="V432" s="329"/>
      <c r="X432" s="329"/>
      <c r="Z432" s="329"/>
      <c r="AB432" s="329"/>
      <c r="AD432" s="329"/>
      <c r="AF432" s="329"/>
      <c r="AH432" s="329"/>
      <c r="AJ432" s="329"/>
      <c r="AL432" s="329"/>
      <c r="AN432" s="329"/>
      <c r="AP432" s="329"/>
      <c r="AR432" s="329"/>
      <c r="AT432" s="329"/>
      <c r="AV432" s="329"/>
      <c r="AX432" s="329"/>
      <c r="AZ432" s="329"/>
      <c r="BB432" s="329"/>
      <c r="BD432" s="329"/>
      <c r="BF432" s="329"/>
      <c r="BH432" s="329"/>
      <c r="BJ432" s="329"/>
      <c r="BL432" s="329"/>
      <c r="BN432" s="329"/>
    </row>
    <row r="433" spans="14:66">
      <c r="N433" s="329"/>
      <c r="P433" s="329"/>
      <c r="R433" s="329"/>
      <c r="T433" s="329"/>
      <c r="V433" s="329"/>
      <c r="X433" s="329"/>
      <c r="Z433" s="329"/>
      <c r="AB433" s="329"/>
      <c r="AD433" s="329"/>
      <c r="AF433" s="329"/>
      <c r="AH433" s="329"/>
      <c r="AJ433" s="329"/>
      <c r="AL433" s="329"/>
      <c r="AN433" s="329"/>
      <c r="AP433" s="329"/>
      <c r="AR433" s="329"/>
      <c r="AT433" s="329"/>
      <c r="AV433" s="329"/>
      <c r="AX433" s="329"/>
      <c r="AZ433" s="329"/>
      <c r="BB433" s="329"/>
      <c r="BD433" s="329"/>
      <c r="BF433" s="329"/>
      <c r="BH433" s="329"/>
      <c r="BJ433" s="329"/>
      <c r="BL433" s="329"/>
      <c r="BN433" s="329"/>
    </row>
    <row r="434" spans="14:66">
      <c r="N434" s="329"/>
      <c r="P434" s="329"/>
      <c r="R434" s="329"/>
      <c r="T434" s="329"/>
      <c r="V434" s="329"/>
      <c r="X434" s="329"/>
      <c r="Z434" s="329"/>
      <c r="AB434" s="329"/>
      <c r="AD434" s="329"/>
      <c r="AF434" s="329"/>
      <c r="AH434" s="329"/>
      <c r="AJ434" s="329"/>
      <c r="AL434" s="329"/>
      <c r="AN434" s="329"/>
      <c r="AP434" s="329"/>
      <c r="AR434" s="329"/>
      <c r="AT434" s="329"/>
      <c r="AV434" s="329"/>
      <c r="AX434" s="329"/>
      <c r="AZ434" s="329"/>
      <c r="BB434" s="329"/>
      <c r="BD434" s="329"/>
      <c r="BF434" s="329"/>
      <c r="BH434" s="329"/>
      <c r="BJ434" s="329"/>
      <c r="BL434" s="329"/>
      <c r="BN434" s="329"/>
    </row>
    <row r="435" spans="14:66">
      <c r="N435" s="329"/>
      <c r="P435" s="329"/>
      <c r="R435" s="329"/>
      <c r="T435" s="329"/>
      <c r="V435" s="329"/>
      <c r="X435" s="329"/>
      <c r="Z435" s="329"/>
      <c r="AB435" s="329"/>
      <c r="AD435" s="329"/>
      <c r="AF435" s="329"/>
      <c r="AH435" s="329"/>
      <c r="AJ435" s="329"/>
      <c r="AL435" s="329"/>
      <c r="AN435" s="329"/>
      <c r="AP435" s="329"/>
      <c r="AR435" s="329"/>
      <c r="AT435" s="329"/>
      <c r="AV435" s="329"/>
      <c r="AX435" s="329"/>
      <c r="AZ435" s="329"/>
      <c r="BB435" s="329"/>
      <c r="BD435" s="329"/>
      <c r="BF435" s="329"/>
      <c r="BH435" s="329"/>
      <c r="BJ435" s="329"/>
      <c r="BL435" s="329"/>
      <c r="BN435" s="329"/>
    </row>
    <row r="436" spans="14:66">
      <c r="N436" s="329"/>
      <c r="P436" s="329"/>
      <c r="R436" s="329"/>
      <c r="T436" s="329"/>
      <c r="V436" s="329"/>
      <c r="X436" s="329"/>
      <c r="Z436" s="329"/>
      <c r="AB436" s="329"/>
      <c r="AD436" s="329"/>
      <c r="AF436" s="329"/>
      <c r="AH436" s="329"/>
      <c r="AJ436" s="329"/>
      <c r="AL436" s="329"/>
      <c r="AN436" s="329"/>
      <c r="AP436" s="329"/>
      <c r="AR436" s="329"/>
      <c r="AT436" s="329"/>
      <c r="AV436" s="329"/>
      <c r="AX436" s="329"/>
      <c r="AZ436" s="329"/>
      <c r="BB436" s="329"/>
      <c r="BD436" s="329"/>
      <c r="BF436" s="329"/>
      <c r="BH436" s="329"/>
      <c r="BJ436" s="329"/>
      <c r="BL436" s="329"/>
      <c r="BN436" s="329"/>
    </row>
    <row r="437" spans="14:66">
      <c r="N437" s="329"/>
      <c r="P437" s="329"/>
      <c r="R437" s="329"/>
      <c r="T437" s="329"/>
      <c r="V437" s="329"/>
      <c r="X437" s="329"/>
      <c r="Z437" s="329"/>
      <c r="AB437" s="329"/>
      <c r="AD437" s="329"/>
      <c r="AF437" s="329"/>
      <c r="AH437" s="329"/>
      <c r="AJ437" s="329"/>
      <c r="AL437" s="329"/>
      <c r="AN437" s="329"/>
      <c r="AP437" s="329"/>
      <c r="AR437" s="329"/>
      <c r="AT437" s="329"/>
      <c r="AV437" s="329"/>
      <c r="AX437" s="329"/>
      <c r="AZ437" s="329"/>
      <c r="BB437" s="329"/>
      <c r="BD437" s="329"/>
      <c r="BF437" s="329"/>
      <c r="BH437" s="329"/>
      <c r="BJ437" s="329"/>
      <c r="BL437" s="329"/>
      <c r="BN437" s="329"/>
    </row>
    <row r="438" spans="14:66">
      <c r="N438" s="329"/>
      <c r="P438" s="329"/>
      <c r="R438" s="329"/>
      <c r="T438" s="329"/>
      <c r="V438" s="329"/>
      <c r="X438" s="329"/>
      <c r="Z438" s="329"/>
      <c r="AB438" s="329"/>
      <c r="AD438" s="329"/>
      <c r="AF438" s="329"/>
      <c r="AH438" s="329"/>
      <c r="AJ438" s="329"/>
      <c r="AL438" s="329"/>
      <c r="AN438" s="329"/>
      <c r="AP438" s="329"/>
      <c r="AR438" s="329"/>
      <c r="AT438" s="329"/>
      <c r="AV438" s="329"/>
      <c r="AX438" s="329"/>
      <c r="AZ438" s="329"/>
      <c r="BB438" s="329"/>
      <c r="BD438" s="329"/>
      <c r="BF438" s="329"/>
      <c r="BH438" s="329"/>
      <c r="BJ438" s="329"/>
      <c r="BL438" s="329"/>
      <c r="BN438" s="329"/>
    </row>
    <row r="439" spans="14:66">
      <c r="N439" s="329"/>
      <c r="P439" s="329"/>
      <c r="R439" s="329"/>
      <c r="T439" s="329"/>
      <c r="V439" s="329"/>
      <c r="X439" s="329"/>
      <c r="Z439" s="329"/>
      <c r="AB439" s="329"/>
      <c r="AD439" s="329"/>
      <c r="AF439" s="329"/>
      <c r="AH439" s="329"/>
      <c r="AJ439" s="329"/>
      <c r="AL439" s="329"/>
      <c r="AN439" s="329"/>
      <c r="AP439" s="329"/>
      <c r="AR439" s="329"/>
      <c r="AT439" s="329"/>
      <c r="AV439" s="329"/>
      <c r="AX439" s="329"/>
      <c r="AZ439" s="329"/>
      <c r="BB439" s="329"/>
      <c r="BD439" s="329"/>
      <c r="BF439" s="329"/>
      <c r="BH439" s="329"/>
      <c r="BJ439" s="329"/>
      <c r="BL439" s="329"/>
      <c r="BN439" s="329"/>
    </row>
    <row r="440" spans="14:66">
      <c r="N440" s="329"/>
      <c r="P440" s="329"/>
      <c r="R440" s="329"/>
      <c r="T440" s="329"/>
      <c r="V440" s="329"/>
      <c r="X440" s="329"/>
      <c r="Z440" s="329"/>
      <c r="AB440" s="329"/>
      <c r="AD440" s="329"/>
      <c r="AF440" s="329"/>
      <c r="AH440" s="329"/>
      <c r="AJ440" s="329"/>
      <c r="AL440" s="329"/>
      <c r="AN440" s="329"/>
      <c r="AP440" s="329"/>
      <c r="AR440" s="329"/>
      <c r="AT440" s="329"/>
      <c r="AV440" s="329"/>
      <c r="AX440" s="329"/>
      <c r="AZ440" s="329"/>
      <c r="BB440" s="329"/>
      <c r="BD440" s="329"/>
      <c r="BF440" s="329"/>
      <c r="BH440" s="329"/>
      <c r="BJ440" s="329"/>
      <c r="BL440" s="329"/>
      <c r="BN440" s="329"/>
    </row>
    <row r="441" spans="14:66">
      <c r="N441" s="329"/>
      <c r="P441" s="329"/>
      <c r="R441" s="329"/>
      <c r="T441" s="329"/>
      <c r="V441" s="329"/>
      <c r="X441" s="329"/>
      <c r="Z441" s="329"/>
      <c r="AB441" s="329"/>
      <c r="AD441" s="329"/>
      <c r="AF441" s="329"/>
      <c r="AH441" s="329"/>
      <c r="AJ441" s="329"/>
      <c r="AL441" s="329"/>
      <c r="AN441" s="329"/>
      <c r="AP441" s="329"/>
      <c r="AR441" s="329"/>
      <c r="AT441" s="329"/>
      <c r="AV441" s="329"/>
      <c r="AX441" s="329"/>
      <c r="AZ441" s="329"/>
      <c r="BB441" s="329"/>
      <c r="BD441" s="329"/>
      <c r="BF441" s="329"/>
      <c r="BH441" s="329"/>
      <c r="BJ441" s="329"/>
      <c r="BL441" s="329"/>
      <c r="BN441" s="329"/>
    </row>
    <row r="442" spans="14:66">
      <c r="N442" s="329"/>
      <c r="P442" s="329"/>
      <c r="R442" s="329"/>
      <c r="T442" s="329"/>
      <c r="V442" s="329"/>
      <c r="X442" s="329"/>
      <c r="Z442" s="329"/>
      <c r="AB442" s="329"/>
      <c r="AD442" s="329"/>
      <c r="AF442" s="329"/>
      <c r="AH442" s="329"/>
      <c r="AJ442" s="329"/>
      <c r="AL442" s="329"/>
      <c r="AN442" s="329"/>
      <c r="AP442" s="329"/>
      <c r="AR442" s="329"/>
      <c r="AT442" s="329"/>
      <c r="AV442" s="329"/>
      <c r="AX442" s="329"/>
      <c r="AZ442" s="329"/>
      <c r="BB442" s="329"/>
      <c r="BD442" s="329"/>
      <c r="BF442" s="329"/>
      <c r="BH442" s="329"/>
      <c r="BJ442" s="329"/>
      <c r="BL442" s="329"/>
      <c r="BN442" s="329"/>
    </row>
    <row r="443" spans="14:66">
      <c r="N443" s="329"/>
      <c r="P443" s="329"/>
      <c r="R443" s="329"/>
      <c r="T443" s="329"/>
      <c r="V443" s="329"/>
      <c r="X443" s="329"/>
      <c r="Z443" s="329"/>
      <c r="AB443" s="329"/>
      <c r="AD443" s="329"/>
      <c r="AF443" s="329"/>
      <c r="AH443" s="329"/>
      <c r="AJ443" s="329"/>
      <c r="AL443" s="329"/>
      <c r="AN443" s="329"/>
      <c r="AP443" s="329"/>
      <c r="AR443" s="329"/>
      <c r="AT443" s="329"/>
      <c r="AV443" s="329"/>
      <c r="AX443" s="329"/>
      <c r="AZ443" s="329"/>
      <c r="BB443" s="329"/>
      <c r="BD443" s="329"/>
      <c r="BF443" s="329"/>
      <c r="BH443" s="329"/>
      <c r="BJ443" s="329"/>
      <c r="BL443" s="329"/>
      <c r="BN443" s="329"/>
    </row>
    <row r="444" spans="14:66">
      <c r="N444" s="329"/>
      <c r="P444" s="329"/>
      <c r="R444" s="329"/>
      <c r="T444" s="329"/>
      <c r="V444" s="329"/>
      <c r="X444" s="329"/>
      <c r="Z444" s="329"/>
      <c r="AB444" s="329"/>
      <c r="AD444" s="329"/>
      <c r="AF444" s="329"/>
      <c r="AH444" s="329"/>
      <c r="AJ444" s="329"/>
      <c r="AL444" s="329"/>
      <c r="AN444" s="329"/>
      <c r="AP444" s="329"/>
      <c r="AR444" s="329"/>
      <c r="AT444" s="329"/>
      <c r="AV444" s="329"/>
      <c r="AX444" s="329"/>
      <c r="AZ444" s="329"/>
      <c r="BB444" s="329"/>
      <c r="BD444" s="329"/>
      <c r="BF444" s="329"/>
      <c r="BH444" s="329"/>
      <c r="BJ444" s="329"/>
      <c r="BL444" s="329"/>
      <c r="BN444" s="329"/>
    </row>
    <row r="445" spans="14:66">
      <c r="N445" s="329"/>
      <c r="P445" s="329"/>
      <c r="R445" s="329"/>
      <c r="T445" s="329"/>
      <c r="V445" s="329"/>
      <c r="X445" s="329"/>
      <c r="Z445" s="329"/>
      <c r="AB445" s="329"/>
      <c r="AD445" s="329"/>
      <c r="AF445" s="329"/>
      <c r="AH445" s="329"/>
      <c r="AJ445" s="329"/>
      <c r="AL445" s="329"/>
      <c r="AN445" s="329"/>
      <c r="AP445" s="329"/>
      <c r="AR445" s="329"/>
      <c r="AT445" s="329"/>
      <c r="AV445" s="329"/>
      <c r="AX445" s="329"/>
      <c r="AZ445" s="329"/>
      <c r="BB445" s="329"/>
      <c r="BD445" s="329"/>
      <c r="BF445" s="329"/>
      <c r="BH445" s="329"/>
      <c r="BJ445" s="329"/>
      <c r="BL445" s="329"/>
      <c r="BN445" s="329"/>
    </row>
    <row r="446" spans="14:66">
      <c r="N446" s="329"/>
      <c r="P446" s="329"/>
      <c r="R446" s="329"/>
      <c r="T446" s="329"/>
      <c r="V446" s="329"/>
      <c r="X446" s="329"/>
      <c r="Z446" s="329"/>
      <c r="AB446" s="329"/>
      <c r="AD446" s="329"/>
      <c r="AF446" s="329"/>
      <c r="AH446" s="329"/>
      <c r="AJ446" s="329"/>
      <c r="AL446" s="329"/>
      <c r="AN446" s="329"/>
      <c r="AP446" s="329"/>
      <c r="AR446" s="329"/>
      <c r="AT446" s="329"/>
      <c r="AV446" s="329"/>
      <c r="AX446" s="329"/>
      <c r="AZ446" s="329"/>
      <c r="BB446" s="329"/>
      <c r="BD446" s="329"/>
      <c r="BF446" s="329"/>
      <c r="BH446" s="329"/>
      <c r="BJ446" s="329"/>
      <c r="BL446" s="329"/>
      <c r="BN446" s="329"/>
    </row>
    <row r="447" spans="14:66">
      <c r="N447" s="329"/>
      <c r="P447" s="329"/>
      <c r="R447" s="329"/>
      <c r="T447" s="329"/>
      <c r="V447" s="329"/>
      <c r="X447" s="329"/>
      <c r="Z447" s="329"/>
      <c r="AB447" s="329"/>
      <c r="AD447" s="329"/>
      <c r="AF447" s="329"/>
      <c r="AH447" s="329"/>
      <c r="AJ447" s="329"/>
      <c r="AL447" s="329"/>
      <c r="AN447" s="329"/>
      <c r="AP447" s="329"/>
      <c r="AR447" s="329"/>
      <c r="AT447" s="329"/>
      <c r="AV447" s="329"/>
      <c r="AX447" s="329"/>
      <c r="AZ447" s="329"/>
      <c r="BB447" s="329"/>
      <c r="BD447" s="329"/>
      <c r="BF447" s="329"/>
      <c r="BH447" s="329"/>
      <c r="BJ447" s="329"/>
      <c r="BL447" s="329"/>
      <c r="BN447" s="329"/>
    </row>
    <row r="448" spans="14:66">
      <c r="N448" s="329"/>
      <c r="P448" s="329"/>
      <c r="R448" s="329"/>
      <c r="T448" s="329"/>
      <c r="V448" s="329"/>
      <c r="X448" s="329"/>
      <c r="Z448" s="329"/>
      <c r="AB448" s="329"/>
      <c r="AD448" s="329"/>
      <c r="AF448" s="329"/>
      <c r="AH448" s="329"/>
      <c r="AJ448" s="329"/>
      <c r="AL448" s="329"/>
      <c r="AN448" s="329"/>
      <c r="AP448" s="329"/>
      <c r="AR448" s="329"/>
      <c r="AT448" s="329"/>
      <c r="AV448" s="329"/>
      <c r="AX448" s="329"/>
      <c r="AZ448" s="329"/>
      <c r="BB448" s="329"/>
      <c r="BD448" s="329"/>
      <c r="BF448" s="329"/>
      <c r="BH448" s="329"/>
      <c r="BJ448" s="329"/>
      <c r="BL448" s="329"/>
      <c r="BN448" s="329"/>
    </row>
    <row r="449" spans="14:66">
      <c r="N449" s="329"/>
      <c r="P449" s="329"/>
      <c r="R449" s="329"/>
      <c r="T449" s="329"/>
      <c r="V449" s="329"/>
      <c r="X449" s="329"/>
      <c r="Z449" s="329"/>
      <c r="AB449" s="329"/>
      <c r="AD449" s="329"/>
      <c r="AF449" s="329"/>
      <c r="AH449" s="329"/>
      <c r="AJ449" s="329"/>
      <c r="AL449" s="329"/>
      <c r="AN449" s="329"/>
      <c r="AP449" s="329"/>
      <c r="AR449" s="329"/>
      <c r="AT449" s="329"/>
      <c r="AV449" s="329"/>
      <c r="AX449" s="329"/>
      <c r="AZ449" s="329"/>
      <c r="BB449" s="329"/>
      <c r="BD449" s="329"/>
      <c r="BF449" s="329"/>
      <c r="BH449" s="329"/>
      <c r="BJ449" s="329"/>
      <c r="BL449" s="329"/>
      <c r="BN449" s="329"/>
    </row>
    <row r="450" spans="14:66">
      <c r="N450" s="329"/>
      <c r="P450" s="329"/>
      <c r="R450" s="329"/>
      <c r="T450" s="329"/>
      <c r="V450" s="329"/>
      <c r="X450" s="329"/>
      <c r="Z450" s="329"/>
      <c r="AB450" s="329"/>
      <c r="AD450" s="329"/>
      <c r="AF450" s="329"/>
      <c r="AH450" s="329"/>
      <c r="AJ450" s="329"/>
      <c r="AL450" s="329"/>
      <c r="AN450" s="329"/>
      <c r="AP450" s="329"/>
      <c r="AR450" s="329"/>
      <c r="AT450" s="329"/>
      <c r="AV450" s="329"/>
      <c r="AX450" s="329"/>
      <c r="AZ450" s="329"/>
      <c r="BB450" s="329"/>
      <c r="BD450" s="329"/>
      <c r="BF450" s="329"/>
      <c r="BH450" s="329"/>
      <c r="BJ450" s="329"/>
      <c r="BL450" s="329"/>
      <c r="BN450" s="329"/>
    </row>
    <row r="451" spans="14:66">
      <c r="N451" s="329"/>
      <c r="P451" s="329"/>
      <c r="R451" s="329"/>
      <c r="T451" s="329"/>
      <c r="V451" s="329"/>
      <c r="X451" s="329"/>
      <c r="Z451" s="329"/>
      <c r="AB451" s="329"/>
      <c r="AD451" s="329"/>
      <c r="AF451" s="329"/>
      <c r="AH451" s="329"/>
      <c r="AJ451" s="329"/>
      <c r="AL451" s="329"/>
      <c r="AN451" s="329"/>
      <c r="AP451" s="329"/>
      <c r="AR451" s="329"/>
      <c r="AT451" s="329"/>
      <c r="AV451" s="329"/>
      <c r="AX451" s="329"/>
      <c r="AZ451" s="329"/>
      <c r="BB451" s="329"/>
      <c r="BD451" s="329"/>
      <c r="BF451" s="329"/>
      <c r="BH451" s="329"/>
      <c r="BJ451" s="329"/>
      <c r="BL451" s="329"/>
      <c r="BN451" s="329"/>
    </row>
    <row r="452" spans="14:66">
      <c r="N452" s="329"/>
      <c r="P452" s="329"/>
      <c r="R452" s="329"/>
      <c r="T452" s="329"/>
      <c r="V452" s="329"/>
      <c r="X452" s="329"/>
      <c r="Z452" s="329"/>
      <c r="AB452" s="329"/>
      <c r="AD452" s="329"/>
      <c r="AF452" s="329"/>
      <c r="AH452" s="329"/>
      <c r="AJ452" s="329"/>
      <c r="AL452" s="329"/>
      <c r="AN452" s="329"/>
      <c r="AP452" s="329"/>
      <c r="AR452" s="329"/>
      <c r="AT452" s="329"/>
      <c r="AV452" s="329"/>
      <c r="AX452" s="329"/>
      <c r="AZ452" s="329"/>
      <c r="BB452" s="329"/>
      <c r="BD452" s="329"/>
      <c r="BF452" s="329"/>
      <c r="BH452" s="329"/>
      <c r="BJ452" s="329"/>
      <c r="BL452" s="329"/>
      <c r="BN452" s="329"/>
    </row>
    <row r="453" spans="14:66">
      <c r="N453" s="329"/>
      <c r="P453" s="329"/>
      <c r="R453" s="329"/>
      <c r="T453" s="329"/>
      <c r="V453" s="329"/>
      <c r="X453" s="329"/>
      <c r="Z453" s="329"/>
      <c r="AB453" s="329"/>
      <c r="AD453" s="329"/>
      <c r="AF453" s="329"/>
      <c r="AH453" s="329"/>
      <c r="AJ453" s="329"/>
      <c r="AL453" s="329"/>
      <c r="AN453" s="329"/>
      <c r="AP453" s="329"/>
      <c r="AR453" s="329"/>
      <c r="AT453" s="329"/>
      <c r="AV453" s="329"/>
      <c r="AX453" s="329"/>
      <c r="AZ453" s="329"/>
      <c r="BB453" s="329"/>
      <c r="BD453" s="329"/>
      <c r="BF453" s="329"/>
      <c r="BH453" s="329"/>
      <c r="BJ453" s="329"/>
      <c r="BL453" s="329"/>
      <c r="BN453" s="329"/>
    </row>
    <row r="454" spans="14:66">
      <c r="N454" s="329"/>
      <c r="P454" s="329"/>
      <c r="R454" s="329"/>
      <c r="T454" s="329"/>
      <c r="V454" s="329"/>
      <c r="X454" s="329"/>
      <c r="Z454" s="329"/>
      <c r="AB454" s="329"/>
      <c r="AD454" s="329"/>
      <c r="AF454" s="329"/>
      <c r="AH454" s="329"/>
      <c r="AJ454" s="329"/>
      <c r="AL454" s="329"/>
      <c r="AN454" s="329"/>
      <c r="AP454" s="329"/>
      <c r="AR454" s="329"/>
      <c r="AT454" s="329"/>
      <c r="AV454" s="329"/>
      <c r="AX454" s="329"/>
      <c r="AZ454" s="329"/>
      <c r="BB454" s="329"/>
      <c r="BD454" s="329"/>
      <c r="BF454" s="329"/>
      <c r="BH454" s="329"/>
      <c r="BJ454" s="329"/>
      <c r="BL454" s="329"/>
      <c r="BN454" s="329"/>
    </row>
    <row r="455" spans="14:66">
      <c r="N455" s="329"/>
      <c r="P455" s="329"/>
      <c r="R455" s="329"/>
      <c r="T455" s="329"/>
      <c r="V455" s="329"/>
      <c r="X455" s="329"/>
      <c r="Z455" s="329"/>
      <c r="AB455" s="329"/>
      <c r="AD455" s="329"/>
      <c r="AF455" s="329"/>
      <c r="AH455" s="329"/>
      <c r="AJ455" s="329"/>
      <c r="AL455" s="329"/>
      <c r="AN455" s="329"/>
      <c r="AP455" s="329"/>
      <c r="AR455" s="329"/>
      <c r="AT455" s="329"/>
      <c r="AV455" s="329"/>
      <c r="AX455" s="329"/>
      <c r="AZ455" s="329"/>
      <c r="BB455" s="329"/>
      <c r="BD455" s="329"/>
      <c r="BF455" s="329"/>
      <c r="BH455" s="329"/>
      <c r="BJ455" s="329"/>
      <c r="BL455" s="329"/>
      <c r="BN455" s="329"/>
    </row>
    <row r="456" spans="14:66">
      <c r="N456" s="329"/>
      <c r="P456" s="329"/>
      <c r="R456" s="329"/>
      <c r="T456" s="329"/>
      <c r="V456" s="329"/>
      <c r="X456" s="329"/>
      <c r="Z456" s="329"/>
      <c r="AB456" s="329"/>
      <c r="AD456" s="329"/>
      <c r="AF456" s="329"/>
      <c r="AH456" s="329"/>
      <c r="AJ456" s="329"/>
      <c r="AL456" s="329"/>
      <c r="AN456" s="329"/>
      <c r="AP456" s="329"/>
      <c r="AR456" s="329"/>
      <c r="AT456" s="329"/>
      <c r="AV456" s="329"/>
      <c r="AX456" s="329"/>
      <c r="AZ456" s="329"/>
      <c r="BB456" s="329"/>
      <c r="BD456" s="329"/>
      <c r="BF456" s="329"/>
      <c r="BH456" s="329"/>
      <c r="BJ456" s="329"/>
      <c r="BL456" s="329"/>
      <c r="BN456" s="329"/>
    </row>
    <row r="457" spans="14:66">
      <c r="N457" s="329"/>
      <c r="P457" s="329"/>
      <c r="R457" s="329"/>
      <c r="T457" s="329"/>
      <c r="V457" s="329"/>
      <c r="X457" s="329"/>
      <c r="Z457" s="329"/>
      <c r="AB457" s="329"/>
      <c r="AD457" s="329"/>
      <c r="AF457" s="329"/>
      <c r="AH457" s="329"/>
      <c r="AJ457" s="329"/>
      <c r="AL457" s="329"/>
      <c r="AN457" s="329"/>
      <c r="AP457" s="329"/>
      <c r="AR457" s="329"/>
      <c r="AT457" s="329"/>
      <c r="AV457" s="329"/>
      <c r="AX457" s="329"/>
      <c r="AZ457" s="329"/>
      <c r="BB457" s="329"/>
      <c r="BD457" s="329"/>
      <c r="BF457" s="329"/>
      <c r="BH457" s="329"/>
      <c r="BJ457" s="329"/>
      <c r="BL457" s="329"/>
      <c r="BN457" s="329"/>
    </row>
    <row r="458" spans="14:66">
      <c r="N458" s="329"/>
      <c r="P458" s="329"/>
      <c r="R458" s="329"/>
      <c r="T458" s="329"/>
      <c r="V458" s="329"/>
      <c r="X458" s="329"/>
      <c r="Z458" s="329"/>
      <c r="AB458" s="329"/>
      <c r="AD458" s="329"/>
      <c r="AF458" s="329"/>
      <c r="AH458" s="329"/>
      <c r="AJ458" s="329"/>
      <c r="AL458" s="329"/>
      <c r="AN458" s="329"/>
      <c r="AP458" s="329"/>
      <c r="AR458" s="329"/>
      <c r="AT458" s="329"/>
      <c r="AV458" s="329"/>
      <c r="AX458" s="329"/>
      <c r="AZ458" s="329"/>
      <c r="BB458" s="329"/>
      <c r="BD458" s="329"/>
      <c r="BF458" s="329"/>
      <c r="BH458" s="329"/>
      <c r="BJ458" s="329"/>
      <c r="BL458" s="329"/>
      <c r="BN458" s="329"/>
    </row>
    <row r="459" spans="14:66">
      <c r="N459" s="329"/>
      <c r="P459" s="329"/>
      <c r="R459" s="329"/>
      <c r="T459" s="329"/>
      <c r="V459" s="329"/>
      <c r="X459" s="329"/>
      <c r="Z459" s="329"/>
      <c r="AB459" s="329"/>
      <c r="AD459" s="329"/>
      <c r="AF459" s="329"/>
      <c r="AH459" s="329"/>
      <c r="AJ459" s="329"/>
      <c r="AL459" s="329"/>
      <c r="AN459" s="329"/>
      <c r="AP459" s="329"/>
      <c r="AR459" s="329"/>
      <c r="AT459" s="329"/>
      <c r="AV459" s="329"/>
      <c r="AX459" s="329"/>
      <c r="AZ459" s="329"/>
      <c r="BB459" s="329"/>
      <c r="BD459" s="329"/>
      <c r="BF459" s="329"/>
      <c r="BH459" s="329"/>
      <c r="BJ459" s="329"/>
      <c r="BL459" s="329"/>
      <c r="BN459" s="329"/>
    </row>
    <row r="460" spans="14:66">
      <c r="N460" s="329"/>
      <c r="P460" s="329"/>
      <c r="R460" s="329"/>
      <c r="T460" s="329"/>
      <c r="V460" s="329"/>
      <c r="X460" s="329"/>
      <c r="Z460" s="329"/>
      <c r="AB460" s="329"/>
      <c r="AD460" s="329"/>
      <c r="AF460" s="329"/>
      <c r="AH460" s="329"/>
      <c r="AJ460" s="329"/>
      <c r="AL460" s="329"/>
      <c r="AN460" s="329"/>
      <c r="AP460" s="329"/>
      <c r="AR460" s="329"/>
      <c r="AT460" s="329"/>
      <c r="AV460" s="329"/>
      <c r="AX460" s="329"/>
      <c r="AZ460" s="329"/>
      <c r="BB460" s="329"/>
      <c r="BD460" s="329"/>
      <c r="BF460" s="329"/>
      <c r="BH460" s="329"/>
      <c r="BJ460" s="329"/>
      <c r="BL460" s="329"/>
      <c r="BN460" s="329"/>
    </row>
    <row r="461" spans="14:66">
      <c r="N461" s="329"/>
      <c r="P461" s="329"/>
      <c r="R461" s="329"/>
      <c r="T461" s="329"/>
      <c r="V461" s="329"/>
      <c r="X461" s="329"/>
      <c r="Z461" s="329"/>
      <c r="AB461" s="329"/>
      <c r="AD461" s="329"/>
      <c r="AF461" s="329"/>
      <c r="AH461" s="329"/>
      <c r="AJ461" s="329"/>
      <c r="AL461" s="329"/>
      <c r="AN461" s="329"/>
      <c r="AP461" s="329"/>
      <c r="AR461" s="329"/>
      <c r="AT461" s="329"/>
      <c r="AV461" s="329"/>
      <c r="AX461" s="329"/>
      <c r="AZ461" s="329"/>
      <c r="BB461" s="329"/>
      <c r="BD461" s="329"/>
      <c r="BF461" s="329"/>
      <c r="BH461" s="329"/>
      <c r="BJ461" s="329"/>
      <c r="BL461" s="329"/>
      <c r="BN461" s="329"/>
    </row>
    <row r="462" spans="14:66">
      <c r="N462" s="329"/>
      <c r="P462" s="329"/>
      <c r="R462" s="329"/>
      <c r="T462" s="329"/>
      <c r="V462" s="329"/>
      <c r="X462" s="329"/>
      <c r="Z462" s="329"/>
      <c r="AB462" s="329"/>
      <c r="AD462" s="329"/>
      <c r="AF462" s="329"/>
      <c r="AH462" s="329"/>
      <c r="AJ462" s="329"/>
      <c r="AL462" s="329"/>
      <c r="AN462" s="329"/>
      <c r="AP462" s="329"/>
      <c r="AR462" s="329"/>
      <c r="AT462" s="329"/>
      <c r="AV462" s="329"/>
      <c r="AX462" s="329"/>
      <c r="AZ462" s="329"/>
      <c r="BB462" s="329"/>
      <c r="BD462" s="329"/>
      <c r="BF462" s="329"/>
      <c r="BH462" s="329"/>
      <c r="BJ462" s="329"/>
      <c r="BL462" s="329"/>
      <c r="BN462" s="329"/>
    </row>
    <row r="463" spans="14:66">
      <c r="N463" s="329"/>
      <c r="P463" s="329"/>
      <c r="R463" s="329"/>
      <c r="T463" s="329"/>
      <c r="V463" s="329"/>
      <c r="X463" s="329"/>
      <c r="Z463" s="329"/>
      <c r="AB463" s="329"/>
      <c r="AD463" s="329"/>
      <c r="AF463" s="329"/>
      <c r="AH463" s="329"/>
      <c r="AJ463" s="329"/>
      <c r="AL463" s="329"/>
      <c r="AN463" s="329"/>
      <c r="AP463" s="329"/>
      <c r="AR463" s="329"/>
      <c r="AT463" s="329"/>
      <c r="AV463" s="329"/>
      <c r="AX463" s="329"/>
      <c r="AZ463" s="329"/>
      <c r="BB463" s="329"/>
      <c r="BD463" s="329"/>
      <c r="BF463" s="329"/>
      <c r="BH463" s="329"/>
      <c r="BJ463" s="329"/>
      <c r="BL463" s="329"/>
      <c r="BN463" s="329"/>
    </row>
    <row r="464" spans="14:66">
      <c r="N464" s="329"/>
      <c r="P464" s="329"/>
      <c r="R464" s="329"/>
      <c r="T464" s="329"/>
      <c r="V464" s="329"/>
      <c r="X464" s="329"/>
      <c r="Z464" s="329"/>
      <c r="AB464" s="329"/>
      <c r="AD464" s="329"/>
      <c r="AF464" s="329"/>
      <c r="AH464" s="329"/>
      <c r="AJ464" s="329"/>
      <c r="AL464" s="329"/>
      <c r="AN464" s="329"/>
      <c r="AP464" s="329"/>
      <c r="AR464" s="329"/>
      <c r="AT464" s="329"/>
      <c r="AV464" s="329"/>
      <c r="AX464" s="329"/>
      <c r="AZ464" s="329"/>
      <c r="BB464" s="329"/>
      <c r="BD464" s="329"/>
      <c r="BF464" s="329"/>
      <c r="BH464" s="329"/>
      <c r="BJ464" s="329"/>
      <c r="BL464" s="329"/>
      <c r="BN464" s="329"/>
    </row>
    <row r="465" spans="14:66">
      <c r="N465" s="329"/>
      <c r="P465" s="329"/>
      <c r="R465" s="329"/>
      <c r="T465" s="329"/>
      <c r="V465" s="329"/>
      <c r="X465" s="329"/>
      <c r="Z465" s="329"/>
      <c r="AB465" s="329"/>
      <c r="AD465" s="329"/>
      <c r="AF465" s="329"/>
      <c r="AH465" s="329"/>
      <c r="AJ465" s="329"/>
      <c r="AL465" s="329"/>
      <c r="AN465" s="329"/>
      <c r="AP465" s="329"/>
      <c r="AR465" s="329"/>
      <c r="AT465" s="329"/>
      <c r="AV465" s="329"/>
      <c r="AX465" s="329"/>
      <c r="AZ465" s="329"/>
      <c r="BB465" s="329"/>
      <c r="BD465" s="329"/>
      <c r="BF465" s="329"/>
      <c r="BH465" s="329"/>
      <c r="BJ465" s="329"/>
      <c r="BL465" s="329"/>
      <c r="BN465" s="329"/>
    </row>
    <row r="466" spans="14:66">
      <c r="N466" s="329"/>
      <c r="P466" s="329"/>
      <c r="R466" s="329"/>
      <c r="T466" s="329"/>
      <c r="V466" s="329"/>
      <c r="X466" s="329"/>
      <c r="Z466" s="329"/>
      <c r="AB466" s="329"/>
      <c r="AD466" s="329"/>
      <c r="AF466" s="329"/>
      <c r="AH466" s="329"/>
      <c r="AJ466" s="329"/>
      <c r="AL466" s="329"/>
      <c r="AN466" s="329"/>
      <c r="AP466" s="329"/>
      <c r="AR466" s="329"/>
      <c r="AT466" s="329"/>
      <c r="AV466" s="329"/>
      <c r="AX466" s="329"/>
      <c r="AZ466" s="329"/>
      <c r="BB466" s="329"/>
      <c r="BD466" s="329"/>
      <c r="BF466" s="329"/>
      <c r="BH466" s="329"/>
      <c r="BJ466" s="329"/>
      <c r="BL466" s="329"/>
      <c r="BN466" s="329"/>
    </row>
    <row r="467" spans="14:66">
      <c r="N467" s="329"/>
      <c r="P467" s="329"/>
      <c r="R467" s="329"/>
      <c r="T467" s="329"/>
      <c r="V467" s="329"/>
      <c r="X467" s="329"/>
      <c r="Z467" s="329"/>
      <c r="AB467" s="329"/>
      <c r="AD467" s="329"/>
      <c r="AF467" s="329"/>
      <c r="AH467" s="329"/>
      <c r="AJ467" s="329"/>
      <c r="AL467" s="329"/>
      <c r="AN467" s="329"/>
      <c r="AP467" s="329"/>
      <c r="AR467" s="329"/>
      <c r="AT467" s="329"/>
      <c r="AV467" s="329"/>
      <c r="AX467" s="329"/>
      <c r="AZ467" s="329"/>
      <c r="BB467" s="329"/>
      <c r="BD467" s="329"/>
      <c r="BF467" s="329"/>
      <c r="BH467" s="329"/>
      <c r="BJ467" s="329"/>
      <c r="BL467" s="329"/>
      <c r="BN467" s="329"/>
    </row>
    <row r="468" spans="14:66">
      <c r="N468" s="329"/>
      <c r="P468" s="329"/>
      <c r="R468" s="329"/>
      <c r="T468" s="329"/>
      <c r="V468" s="329"/>
      <c r="X468" s="329"/>
      <c r="Z468" s="329"/>
      <c r="AB468" s="329"/>
      <c r="AD468" s="329"/>
      <c r="AF468" s="329"/>
      <c r="AH468" s="329"/>
      <c r="AJ468" s="329"/>
      <c r="AL468" s="329"/>
      <c r="AN468" s="329"/>
      <c r="AP468" s="329"/>
      <c r="AR468" s="329"/>
      <c r="AT468" s="329"/>
      <c r="AV468" s="329"/>
      <c r="AX468" s="329"/>
      <c r="AZ468" s="329"/>
      <c r="BB468" s="329"/>
      <c r="BD468" s="329"/>
      <c r="BF468" s="329"/>
      <c r="BH468" s="329"/>
      <c r="BJ468" s="329"/>
      <c r="BL468" s="329"/>
      <c r="BN468" s="329"/>
    </row>
    <row r="469" spans="14:66">
      <c r="N469" s="329"/>
      <c r="P469" s="329"/>
      <c r="R469" s="329"/>
      <c r="T469" s="329"/>
      <c r="V469" s="329"/>
      <c r="X469" s="329"/>
      <c r="Z469" s="329"/>
      <c r="AB469" s="329"/>
      <c r="AD469" s="329"/>
      <c r="AF469" s="329"/>
      <c r="AH469" s="329"/>
      <c r="AJ469" s="329"/>
      <c r="AL469" s="329"/>
      <c r="AN469" s="329"/>
      <c r="AP469" s="329"/>
      <c r="AR469" s="329"/>
      <c r="AT469" s="329"/>
      <c r="AV469" s="329"/>
      <c r="AX469" s="329"/>
      <c r="AZ469" s="329"/>
      <c r="BB469" s="329"/>
      <c r="BD469" s="329"/>
      <c r="BF469" s="329"/>
      <c r="BH469" s="329"/>
      <c r="BJ469" s="329"/>
      <c r="BL469" s="329"/>
      <c r="BN469" s="329"/>
    </row>
    <row r="470" spans="14:66">
      <c r="N470" s="329"/>
      <c r="P470" s="329"/>
      <c r="R470" s="329"/>
      <c r="T470" s="329"/>
      <c r="V470" s="329"/>
      <c r="X470" s="329"/>
      <c r="Z470" s="329"/>
      <c r="AB470" s="329"/>
      <c r="AD470" s="329"/>
      <c r="AF470" s="329"/>
      <c r="AH470" s="329"/>
      <c r="AJ470" s="329"/>
      <c r="AL470" s="329"/>
      <c r="AN470" s="329"/>
      <c r="AP470" s="329"/>
      <c r="AR470" s="329"/>
      <c r="AT470" s="329"/>
      <c r="AV470" s="329"/>
      <c r="AX470" s="329"/>
      <c r="AZ470" s="329"/>
      <c r="BB470" s="329"/>
      <c r="BD470" s="329"/>
      <c r="BF470" s="329"/>
      <c r="BH470" s="329"/>
      <c r="BJ470" s="329"/>
      <c r="BL470" s="329"/>
      <c r="BN470" s="329"/>
    </row>
    <row r="471" spans="14:66">
      <c r="N471" s="329"/>
      <c r="P471" s="329"/>
      <c r="R471" s="329"/>
      <c r="T471" s="329"/>
      <c r="V471" s="329"/>
      <c r="X471" s="329"/>
      <c r="Z471" s="329"/>
      <c r="AB471" s="329"/>
      <c r="AD471" s="329"/>
      <c r="AF471" s="329"/>
      <c r="AH471" s="329"/>
      <c r="AJ471" s="329"/>
      <c r="AL471" s="329"/>
      <c r="AN471" s="329"/>
      <c r="AP471" s="329"/>
      <c r="AR471" s="329"/>
      <c r="AT471" s="329"/>
      <c r="AV471" s="329"/>
      <c r="AX471" s="329"/>
      <c r="AZ471" s="329"/>
      <c r="BB471" s="329"/>
      <c r="BD471" s="329"/>
      <c r="BF471" s="329"/>
      <c r="BH471" s="329"/>
      <c r="BJ471" s="329"/>
      <c r="BL471" s="329"/>
      <c r="BN471" s="329"/>
    </row>
    <row r="472" spans="14:66">
      <c r="N472" s="329"/>
      <c r="P472" s="329"/>
      <c r="R472" s="329"/>
      <c r="T472" s="329"/>
      <c r="V472" s="329"/>
      <c r="X472" s="329"/>
      <c r="Z472" s="329"/>
      <c r="AB472" s="329"/>
      <c r="AD472" s="329"/>
      <c r="AF472" s="329"/>
      <c r="AH472" s="329"/>
      <c r="AJ472" s="329"/>
      <c r="AL472" s="329"/>
      <c r="AN472" s="329"/>
      <c r="AP472" s="329"/>
      <c r="AR472" s="329"/>
      <c r="AT472" s="329"/>
      <c r="AV472" s="329"/>
      <c r="AX472" s="329"/>
      <c r="AZ472" s="329"/>
      <c r="BB472" s="329"/>
      <c r="BD472" s="329"/>
      <c r="BF472" s="329"/>
      <c r="BH472" s="329"/>
      <c r="BJ472" s="329"/>
      <c r="BL472" s="329"/>
      <c r="BN472" s="329"/>
    </row>
    <row r="473" spans="14:66">
      <c r="N473" s="329"/>
      <c r="P473" s="329"/>
      <c r="R473" s="329"/>
      <c r="T473" s="329"/>
      <c r="V473" s="329"/>
      <c r="X473" s="329"/>
      <c r="Z473" s="329"/>
      <c r="AB473" s="329"/>
      <c r="AD473" s="329"/>
      <c r="AF473" s="329"/>
      <c r="AH473" s="329"/>
      <c r="AJ473" s="329"/>
      <c r="AL473" s="329"/>
      <c r="AN473" s="329"/>
      <c r="AP473" s="329"/>
      <c r="AR473" s="329"/>
      <c r="AT473" s="329"/>
      <c r="AV473" s="329"/>
      <c r="AX473" s="329"/>
      <c r="AZ473" s="329"/>
      <c r="BB473" s="329"/>
      <c r="BD473" s="329"/>
      <c r="BF473" s="329"/>
      <c r="BH473" s="329"/>
      <c r="BJ473" s="329"/>
      <c r="BL473" s="329"/>
      <c r="BN473" s="329"/>
    </row>
    <row r="474" spans="14:66">
      <c r="N474" s="329"/>
      <c r="P474" s="329"/>
      <c r="R474" s="329"/>
      <c r="T474" s="329"/>
      <c r="V474" s="329"/>
      <c r="X474" s="329"/>
      <c r="Z474" s="329"/>
      <c r="AB474" s="329"/>
      <c r="AD474" s="329"/>
      <c r="AF474" s="329"/>
      <c r="AH474" s="329"/>
      <c r="AJ474" s="329"/>
      <c r="AL474" s="329"/>
      <c r="AN474" s="329"/>
      <c r="AP474" s="329"/>
      <c r="AR474" s="329"/>
      <c r="AT474" s="329"/>
      <c r="AV474" s="329"/>
      <c r="AX474" s="329"/>
      <c r="AZ474" s="329"/>
      <c r="BB474" s="329"/>
      <c r="BD474" s="329"/>
      <c r="BF474" s="329"/>
      <c r="BH474" s="329"/>
      <c r="BJ474" s="329"/>
      <c r="BL474" s="329"/>
      <c r="BN474" s="329"/>
    </row>
    <row r="475" spans="14:66">
      <c r="N475" s="329"/>
      <c r="P475" s="329"/>
      <c r="R475" s="329"/>
      <c r="T475" s="329"/>
      <c r="V475" s="329"/>
      <c r="X475" s="329"/>
      <c r="Z475" s="329"/>
      <c r="AB475" s="329"/>
      <c r="AD475" s="329"/>
      <c r="AF475" s="329"/>
      <c r="AH475" s="329"/>
      <c r="AJ475" s="329"/>
      <c r="AL475" s="329"/>
      <c r="AN475" s="329"/>
      <c r="AP475" s="329"/>
      <c r="AR475" s="329"/>
      <c r="AT475" s="329"/>
      <c r="AV475" s="329"/>
      <c r="AX475" s="329"/>
      <c r="AZ475" s="329"/>
      <c r="BB475" s="329"/>
      <c r="BD475" s="329"/>
      <c r="BF475" s="329"/>
      <c r="BH475" s="329"/>
      <c r="BJ475" s="329"/>
      <c r="BL475" s="329"/>
      <c r="BN475" s="329"/>
    </row>
    <row r="476" spans="14:66">
      <c r="N476" s="329"/>
      <c r="P476" s="329"/>
      <c r="R476" s="329"/>
      <c r="T476" s="329"/>
      <c r="V476" s="329"/>
      <c r="X476" s="329"/>
      <c r="Z476" s="329"/>
      <c r="AB476" s="329"/>
      <c r="AD476" s="329"/>
      <c r="AF476" s="329"/>
      <c r="AH476" s="329"/>
      <c r="AJ476" s="329"/>
      <c r="AL476" s="329"/>
      <c r="AN476" s="329"/>
      <c r="AP476" s="329"/>
      <c r="AR476" s="329"/>
      <c r="AT476" s="329"/>
      <c r="AV476" s="329"/>
      <c r="AX476" s="329"/>
      <c r="AZ476" s="329"/>
      <c r="BB476" s="329"/>
      <c r="BD476" s="329"/>
      <c r="BF476" s="329"/>
      <c r="BH476" s="329"/>
      <c r="BJ476" s="329"/>
      <c r="BL476" s="329"/>
      <c r="BN476" s="329"/>
    </row>
    <row r="477" spans="14:66">
      <c r="N477" s="329"/>
      <c r="P477" s="329"/>
      <c r="R477" s="329"/>
      <c r="T477" s="329"/>
      <c r="V477" s="329"/>
      <c r="X477" s="329"/>
      <c r="Z477" s="329"/>
      <c r="AB477" s="329"/>
      <c r="AD477" s="329"/>
      <c r="AF477" s="329"/>
      <c r="AH477" s="329"/>
      <c r="AJ477" s="329"/>
      <c r="AL477" s="329"/>
      <c r="AN477" s="329"/>
      <c r="AP477" s="329"/>
      <c r="AR477" s="329"/>
      <c r="AT477" s="329"/>
      <c r="AV477" s="329"/>
      <c r="AX477" s="329"/>
      <c r="AZ477" s="329"/>
      <c r="BB477" s="329"/>
      <c r="BD477" s="329"/>
      <c r="BF477" s="329"/>
      <c r="BH477" s="329"/>
      <c r="BJ477" s="329"/>
      <c r="BL477" s="329"/>
      <c r="BN477" s="329"/>
    </row>
    <row r="478" spans="14:66">
      <c r="N478" s="329"/>
      <c r="P478" s="329"/>
      <c r="R478" s="329"/>
      <c r="T478" s="329"/>
      <c r="V478" s="329"/>
      <c r="X478" s="329"/>
      <c r="Z478" s="329"/>
      <c r="AB478" s="329"/>
      <c r="AD478" s="329"/>
      <c r="AF478" s="329"/>
      <c r="AH478" s="329"/>
      <c r="AJ478" s="329"/>
      <c r="AL478" s="329"/>
      <c r="AN478" s="329"/>
      <c r="AP478" s="329"/>
      <c r="AR478" s="329"/>
      <c r="AT478" s="329"/>
      <c r="AV478" s="329"/>
      <c r="AX478" s="329"/>
      <c r="AZ478" s="329"/>
      <c r="BB478" s="329"/>
      <c r="BD478" s="329"/>
      <c r="BF478" s="329"/>
      <c r="BH478" s="329"/>
      <c r="BJ478" s="329"/>
      <c r="BL478" s="329"/>
      <c r="BN478" s="329"/>
    </row>
    <row r="479" spans="14:66">
      <c r="N479" s="329"/>
      <c r="P479" s="329"/>
      <c r="R479" s="329"/>
      <c r="T479" s="329"/>
      <c r="V479" s="329"/>
      <c r="X479" s="329"/>
      <c r="Z479" s="329"/>
      <c r="AB479" s="329"/>
      <c r="AD479" s="329"/>
      <c r="AF479" s="329"/>
      <c r="AH479" s="329"/>
      <c r="AJ479" s="329"/>
      <c r="AL479" s="329"/>
      <c r="AN479" s="329"/>
      <c r="AP479" s="329"/>
      <c r="AR479" s="329"/>
      <c r="AT479" s="329"/>
      <c r="AV479" s="329"/>
      <c r="AX479" s="329"/>
      <c r="AZ479" s="329"/>
      <c r="BB479" s="329"/>
      <c r="BD479" s="329"/>
      <c r="BF479" s="329"/>
      <c r="BH479" s="329"/>
      <c r="BJ479" s="329"/>
      <c r="BL479" s="329"/>
      <c r="BN479" s="329"/>
    </row>
    <row r="480" spans="14:66">
      <c r="N480" s="329"/>
      <c r="P480" s="329"/>
      <c r="R480" s="329"/>
      <c r="T480" s="329"/>
      <c r="V480" s="329"/>
      <c r="X480" s="329"/>
      <c r="Z480" s="329"/>
      <c r="AB480" s="329"/>
      <c r="AD480" s="329"/>
      <c r="AF480" s="329"/>
      <c r="AH480" s="329"/>
      <c r="AJ480" s="329"/>
      <c r="AL480" s="329"/>
      <c r="AN480" s="329"/>
      <c r="AP480" s="329"/>
      <c r="AR480" s="329"/>
      <c r="AT480" s="329"/>
      <c r="AV480" s="329"/>
      <c r="AX480" s="329"/>
      <c r="AZ480" s="329"/>
      <c r="BB480" s="329"/>
      <c r="BD480" s="329"/>
      <c r="BF480" s="329"/>
      <c r="BH480" s="329"/>
      <c r="BJ480" s="329"/>
      <c r="BL480" s="329"/>
      <c r="BN480" s="329"/>
    </row>
    <row r="481" spans="14:66">
      <c r="N481" s="329"/>
      <c r="P481" s="329"/>
      <c r="R481" s="329"/>
      <c r="T481" s="329"/>
      <c r="V481" s="329"/>
      <c r="X481" s="329"/>
      <c r="Z481" s="329"/>
      <c r="AB481" s="329"/>
      <c r="AD481" s="329"/>
      <c r="AF481" s="329"/>
      <c r="AH481" s="329"/>
      <c r="AJ481" s="329"/>
      <c r="AL481" s="329"/>
      <c r="AN481" s="329"/>
      <c r="AP481" s="329"/>
      <c r="AR481" s="329"/>
      <c r="AT481" s="329"/>
      <c r="AV481" s="329"/>
      <c r="AX481" s="329"/>
      <c r="AZ481" s="329"/>
      <c r="BB481" s="329"/>
      <c r="BD481" s="329"/>
      <c r="BF481" s="329"/>
      <c r="BH481" s="329"/>
      <c r="BJ481" s="329"/>
      <c r="BL481" s="329"/>
      <c r="BN481" s="329"/>
    </row>
    <row r="482" spans="14:66">
      <c r="N482" s="329"/>
      <c r="P482" s="329"/>
      <c r="R482" s="329"/>
      <c r="T482" s="329"/>
      <c r="V482" s="329"/>
      <c r="X482" s="329"/>
      <c r="Z482" s="329"/>
      <c r="AB482" s="329"/>
      <c r="AD482" s="329"/>
      <c r="AF482" s="329"/>
      <c r="AH482" s="329"/>
      <c r="AJ482" s="329"/>
      <c r="AL482" s="329"/>
      <c r="AN482" s="329"/>
      <c r="AP482" s="329"/>
      <c r="AR482" s="329"/>
      <c r="AT482" s="329"/>
      <c r="AV482" s="329"/>
      <c r="AX482" s="329"/>
      <c r="AZ482" s="329"/>
      <c r="BB482" s="329"/>
      <c r="BD482" s="329"/>
      <c r="BF482" s="329"/>
      <c r="BH482" s="329"/>
      <c r="BJ482" s="329"/>
      <c r="BL482" s="329"/>
      <c r="BN482" s="329"/>
    </row>
    <row r="483" spans="14:66">
      <c r="N483" s="329"/>
      <c r="P483" s="329"/>
      <c r="R483" s="329"/>
      <c r="T483" s="329"/>
      <c r="V483" s="329"/>
      <c r="X483" s="329"/>
      <c r="Z483" s="329"/>
      <c r="AB483" s="329"/>
      <c r="AD483" s="329"/>
      <c r="AF483" s="329"/>
      <c r="AH483" s="329"/>
      <c r="AJ483" s="329"/>
      <c r="AL483" s="329"/>
      <c r="AN483" s="329"/>
      <c r="AP483" s="329"/>
      <c r="AR483" s="329"/>
      <c r="AT483" s="329"/>
      <c r="AV483" s="329"/>
      <c r="AX483" s="329"/>
      <c r="AZ483" s="329"/>
      <c r="BB483" s="329"/>
      <c r="BD483" s="329"/>
      <c r="BF483" s="329"/>
      <c r="BH483" s="329"/>
      <c r="BJ483" s="329"/>
      <c r="BL483" s="329"/>
      <c r="BN483" s="329"/>
    </row>
    <row r="484" spans="14:66">
      <c r="N484" s="329"/>
      <c r="P484" s="329"/>
      <c r="R484" s="329"/>
      <c r="T484" s="329"/>
      <c r="V484" s="329"/>
      <c r="X484" s="329"/>
      <c r="Z484" s="329"/>
      <c r="AB484" s="329"/>
      <c r="AD484" s="329"/>
      <c r="AF484" s="329"/>
      <c r="AH484" s="329"/>
      <c r="AJ484" s="329"/>
      <c r="AL484" s="329"/>
      <c r="AN484" s="329"/>
      <c r="AP484" s="329"/>
      <c r="AR484" s="329"/>
      <c r="AT484" s="329"/>
      <c r="AV484" s="329"/>
      <c r="AX484" s="329"/>
      <c r="AZ484" s="329"/>
      <c r="BB484" s="329"/>
      <c r="BD484" s="329"/>
      <c r="BF484" s="329"/>
      <c r="BH484" s="329"/>
      <c r="BJ484" s="329"/>
      <c r="BL484" s="329"/>
      <c r="BN484" s="329"/>
    </row>
    <row r="485" spans="14:66">
      <c r="N485" s="329"/>
      <c r="P485" s="329"/>
      <c r="R485" s="329"/>
      <c r="T485" s="329"/>
      <c r="V485" s="329"/>
      <c r="X485" s="329"/>
      <c r="Z485" s="329"/>
      <c r="AB485" s="329"/>
      <c r="AD485" s="329"/>
      <c r="AF485" s="329"/>
      <c r="AH485" s="329"/>
      <c r="AJ485" s="329"/>
      <c r="AL485" s="329"/>
      <c r="AN485" s="329"/>
      <c r="AP485" s="329"/>
      <c r="AR485" s="329"/>
      <c r="AT485" s="329"/>
      <c r="AV485" s="329"/>
      <c r="AX485" s="329"/>
      <c r="AZ485" s="329"/>
      <c r="BB485" s="329"/>
      <c r="BD485" s="329"/>
      <c r="BF485" s="329"/>
      <c r="BH485" s="329"/>
      <c r="BJ485" s="329"/>
      <c r="BL485" s="329"/>
      <c r="BN485" s="329"/>
    </row>
    <row r="486" spans="14:66">
      <c r="N486" s="329"/>
      <c r="P486" s="329"/>
      <c r="R486" s="329"/>
      <c r="T486" s="329"/>
      <c r="V486" s="329"/>
      <c r="X486" s="329"/>
      <c r="Z486" s="329"/>
      <c r="AB486" s="329"/>
      <c r="AD486" s="329"/>
      <c r="AF486" s="329"/>
      <c r="AH486" s="329"/>
      <c r="AJ486" s="329"/>
      <c r="AL486" s="329"/>
      <c r="AN486" s="329"/>
      <c r="AP486" s="329"/>
      <c r="AR486" s="329"/>
      <c r="AT486" s="329"/>
      <c r="AV486" s="329"/>
      <c r="AX486" s="329"/>
      <c r="AZ486" s="329"/>
      <c r="BB486" s="329"/>
      <c r="BD486" s="329"/>
      <c r="BF486" s="329"/>
      <c r="BH486" s="329"/>
      <c r="BJ486" s="329"/>
      <c r="BL486" s="329"/>
      <c r="BN486" s="329"/>
    </row>
    <row r="487" spans="14:66">
      <c r="N487" s="329"/>
      <c r="P487" s="329"/>
      <c r="R487" s="329"/>
      <c r="T487" s="329"/>
      <c r="V487" s="329"/>
      <c r="X487" s="329"/>
      <c r="Z487" s="329"/>
      <c r="AB487" s="329"/>
      <c r="AD487" s="329"/>
      <c r="AF487" s="329"/>
      <c r="AH487" s="329"/>
      <c r="AJ487" s="329"/>
      <c r="AL487" s="329"/>
      <c r="AN487" s="329"/>
      <c r="AP487" s="329"/>
      <c r="AR487" s="329"/>
      <c r="AT487" s="329"/>
      <c r="AV487" s="329"/>
      <c r="AX487" s="329"/>
      <c r="AZ487" s="329"/>
      <c r="BB487" s="329"/>
      <c r="BD487" s="329"/>
      <c r="BF487" s="329"/>
      <c r="BH487" s="329"/>
      <c r="BJ487" s="329"/>
      <c r="BL487" s="329"/>
      <c r="BN487" s="329"/>
    </row>
    <row r="488" spans="14:66">
      <c r="N488" s="329"/>
      <c r="P488" s="329"/>
      <c r="R488" s="329"/>
      <c r="T488" s="329"/>
      <c r="V488" s="329"/>
      <c r="X488" s="329"/>
      <c r="Z488" s="329"/>
      <c r="AB488" s="329"/>
      <c r="AD488" s="329"/>
      <c r="AF488" s="329"/>
      <c r="AH488" s="329"/>
      <c r="AJ488" s="329"/>
      <c r="AL488" s="329"/>
      <c r="AN488" s="329"/>
      <c r="AP488" s="329"/>
      <c r="AR488" s="329"/>
      <c r="AT488" s="329"/>
      <c r="AV488" s="329"/>
      <c r="AX488" s="329"/>
      <c r="AZ488" s="329"/>
      <c r="BB488" s="329"/>
      <c r="BD488" s="329"/>
      <c r="BF488" s="329"/>
      <c r="BH488" s="329"/>
      <c r="BJ488" s="329"/>
      <c r="BL488" s="329"/>
      <c r="BN488" s="329"/>
    </row>
    <row r="489" spans="14:66">
      <c r="N489" s="329"/>
      <c r="P489" s="329"/>
      <c r="R489" s="329"/>
      <c r="T489" s="329"/>
      <c r="V489" s="329"/>
      <c r="X489" s="329"/>
      <c r="Z489" s="329"/>
      <c r="AB489" s="329"/>
      <c r="AD489" s="329"/>
      <c r="AF489" s="329"/>
      <c r="AH489" s="329"/>
      <c r="AJ489" s="329"/>
      <c r="AL489" s="329"/>
      <c r="AN489" s="329"/>
      <c r="AP489" s="329"/>
      <c r="AR489" s="329"/>
      <c r="AT489" s="329"/>
      <c r="AV489" s="329"/>
      <c r="AX489" s="329"/>
      <c r="AZ489" s="329"/>
      <c r="BB489" s="329"/>
      <c r="BD489" s="329"/>
      <c r="BF489" s="329"/>
      <c r="BH489" s="329"/>
      <c r="BJ489" s="329"/>
      <c r="BL489" s="329"/>
      <c r="BN489" s="329"/>
    </row>
    <row r="490" spans="14:66">
      <c r="N490" s="329"/>
      <c r="P490" s="329"/>
      <c r="R490" s="329"/>
      <c r="T490" s="329"/>
      <c r="V490" s="329"/>
      <c r="X490" s="329"/>
      <c r="Z490" s="329"/>
      <c r="AB490" s="329"/>
      <c r="AD490" s="329"/>
      <c r="AF490" s="329"/>
      <c r="AH490" s="329"/>
      <c r="AJ490" s="329"/>
      <c r="AL490" s="329"/>
      <c r="AN490" s="329"/>
      <c r="AP490" s="329"/>
      <c r="AR490" s="329"/>
      <c r="AT490" s="329"/>
      <c r="AV490" s="329"/>
      <c r="AX490" s="329"/>
      <c r="AZ490" s="329"/>
      <c r="BB490" s="329"/>
      <c r="BD490" s="329"/>
      <c r="BF490" s="329"/>
      <c r="BH490" s="329"/>
      <c r="BJ490" s="329"/>
      <c r="BL490" s="329"/>
      <c r="BN490" s="329"/>
    </row>
    <row r="491" spans="14:66">
      <c r="N491" s="329"/>
      <c r="P491" s="329"/>
      <c r="R491" s="329"/>
      <c r="T491" s="329"/>
      <c r="V491" s="329"/>
      <c r="X491" s="329"/>
      <c r="Z491" s="329"/>
      <c r="AB491" s="329"/>
      <c r="AD491" s="329"/>
      <c r="AF491" s="329"/>
      <c r="AH491" s="329"/>
      <c r="AJ491" s="329"/>
      <c r="AL491" s="329"/>
      <c r="AN491" s="329"/>
      <c r="AP491" s="329"/>
      <c r="AR491" s="329"/>
      <c r="AT491" s="329"/>
      <c r="AV491" s="329"/>
      <c r="AX491" s="329"/>
      <c r="AZ491" s="329"/>
      <c r="BB491" s="329"/>
      <c r="BD491" s="329"/>
      <c r="BF491" s="329"/>
      <c r="BH491" s="329"/>
      <c r="BJ491" s="329"/>
      <c r="BL491" s="329"/>
      <c r="BN491" s="329"/>
    </row>
    <row r="492" spans="14:66">
      <c r="N492" s="329"/>
      <c r="P492" s="329"/>
      <c r="R492" s="329"/>
      <c r="T492" s="329"/>
      <c r="V492" s="329"/>
      <c r="X492" s="329"/>
      <c r="Z492" s="329"/>
      <c r="AB492" s="329"/>
      <c r="AD492" s="329"/>
      <c r="AF492" s="329"/>
      <c r="AH492" s="329"/>
      <c r="AJ492" s="329"/>
      <c r="AL492" s="329"/>
      <c r="AN492" s="329"/>
      <c r="AP492" s="329"/>
      <c r="AR492" s="329"/>
      <c r="AT492" s="329"/>
      <c r="AV492" s="329"/>
      <c r="AX492" s="329"/>
      <c r="AZ492" s="329"/>
      <c r="BB492" s="329"/>
      <c r="BD492" s="329"/>
      <c r="BF492" s="329"/>
      <c r="BH492" s="329"/>
      <c r="BJ492" s="329"/>
      <c r="BL492" s="329"/>
      <c r="BN492" s="329"/>
    </row>
    <row r="493" spans="14:66">
      <c r="N493" s="329"/>
      <c r="P493" s="329"/>
      <c r="R493" s="329"/>
      <c r="T493" s="329"/>
      <c r="V493" s="329"/>
      <c r="X493" s="329"/>
      <c r="Z493" s="329"/>
      <c r="AB493" s="329"/>
      <c r="AD493" s="329"/>
      <c r="AF493" s="329"/>
      <c r="AH493" s="329"/>
      <c r="AJ493" s="329"/>
      <c r="AL493" s="329"/>
      <c r="AN493" s="329"/>
      <c r="AP493" s="329"/>
      <c r="AR493" s="329"/>
      <c r="AT493" s="329"/>
      <c r="AV493" s="329"/>
      <c r="AX493" s="329"/>
      <c r="AZ493" s="329"/>
      <c r="BB493" s="329"/>
      <c r="BD493" s="329"/>
      <c r="BF493" s="329"/>
      <c r="BH493" s="329"/>
      <c r="BJ493" s="329"/>
      <c r="BL493" s="329"/>
      <c r="BN493" s="329"/>
    </row>
    <row r="494" spans="14:66">
      <c r="N494" s="329"/>
      <c r="P494" s="329"/>
      <c r="R494" s="329"/>
      <c r="T494" s="329"/>
      <c r="V494" s="329"/>
      <c r="X494" s="329"/>
      <c r="Z494" s="329"/>
      <c r="AB494" s="329"/>
      <c r="AD494" s="329"/>
      <c r="AF494" s="329"/>
      <c r="AH494" s="329"/>
      <c r="AJ494" s="329"/>
      <c r="AL494" s="329"/>
      <c r="AN494" s="329"/>
      <c r="AP494" s="329"/>
      <c r="AR494" s="329"/>
      <c r="AT494" s="329"/>
      <c r="AV494" s="329"/>
      <c r="AX494" s="329"/>
      <c r="AZ494" s="329"/>
      <c r="BB494" s="329"/>
      <c r="BD494" s="329"/>
      <c r="BF494" s="329"/>
      <c r="BH494" s="329"/>
      <c r="BJ494" s="329"/>
      <c r="BL494" s="329"/>
      <c r="BN494" s="329"/>
    </row>
    <row r="495" spans="14:66">
      <c r="N495" s="329"/>
      <c r="P495" s="329"/>
      <c r="R495" s="329"/>
      <c r="T495" s="329"/>
      <c r="V495" s="329"/>
      <c r="X495" s="329"/>
      <c r="Z495" s="329"/>
      <c r="AB495" s="329"/>
      <c r="AD495" s="329"/>
      <c r="AF495" s="329"/>
      <c r="AH495" s="329"/>
      <c r="AJ495" s="329"/>
      <c r="AL495" s="329"/>
      <c r="AN495" s="329"/>
      <c r="AP495" s="329"/>
      <c r="AR495" s="329"/>
      <c r="AT495" s="329"/>
      <c r="AV495" s="329"/>
      <c r="AX495" s="329"/>
      <c r="AZ495" s="329"/>
      <c r="BB495" s="329"/>
      <c r="BD495" s="329"/>
      <c r="BF495" s="329"/>
      <c r="BH495" s="329"/>
      <c r="BJ495" s="329"/>
      <c r="BL495" s="329"/>
      <c r="BN495" s="329"/>
    </row>
    <row r="496" spans="14:66">
      <c r="N496" s="329"/>
      <c r="P496" s="329"/>
      <c r="R496" s="329"/>
      <c r="T496" s="329"/>
      <c r="V496" s="329"/>
      <c r="X496" s="329"/>
      <c r="Z496" s="329"/>
      <c r="AB496" s="329"/>
      <c r="AD496" s="329"/>
      <c r="AF496" s="329"/>
      <c r="AH496" s="329"/>
      <c r="AJ496" s="329"/>
      <c r="AL496" s="329"/>
      <c r="AN496" s="329"/>
      <c r="AP496" s="329"/>
      <c r="AR496" s="329"/>
      <c r="AT496" s="329"/>
      <c r="AV496" s="329"/>
      <c r="AX496" s="329"/>
      <c r="AZ496" s="329"/>
      <c r="BB496" s="329"/>
      <c r="BD496" s="329"/>
      <c r="BF496" s="329"/>
      <c r="BH496" s="329"/>
      <c r="BJ496" s="329"/>
      <c r="BL496" s="329"/>
      <c r="BN496" s="329"/>
    </row>
    <row r="497" spans="14:66">
      <c r="N497" s="329"/>
      <c r="P497" s="329"/>
      <c r="R497" s="329"/>
      <c r="T497" s="329"/>
      <c r="V497" s="329"/>
      <c r="X497" s="329"/>
      <c r="Z497" s="329"/>
      <c r="AB497" s="329"/>
      <c r="AD497" s="329"/>
      <c r="AF497" s="329"/>
      <c r="AH497" s="329"/>
      <c r="AJ497" s="329"/>
      <c r="AL497" s="329"/>
      <c r="AN497" s="329"/>
      <c r="AP497" s="329"/>
      <c r="AR497" s="329"/>
      <c r="AT497" s="329"/>
      <c r="AV497" s="329"/>
      <c r="AX497" s="329"/>
      <c r="AZ497" s="329"/>
      <c r="BB497" s="329"/>
      <c r="BD497" s="329"/>
      <c r="BF497" s="329"/>
      <c r="BH497" s="329"/>
      <c r="BJ497" s="329"/>
      <c r="BL497" s="329"/>
      <c r="BN497" s="329"/>
    </row>
    <row r="498" spans="14:66">
      <c r="N498" s="329"/>
      <c r="P498" s="329"/>
      <c r="R498" s="329"/>
      <c r="T498" s="329"/>
      <c r="V498" s="329"/>
      <c r="X498" s="329"/>
      <c r="Z498" s="329"/>
      <c r="AB498" s="329"/>
      <c r="AD498" s="329"/>
      <c r="AF498" s="329"/>
      <c r="AH498" s="329"/>
      <c r="AJ498" s="329"/>
      <c r="AL498" s="329"/>
      <c r="AN498" s="329"/>
      <c r="AP498" s="329"/>
      <c r="AR498" s="329"/>
      <c r="AT498" s="329"/>
      <c r="AV498" s="329"/>
      <c r="AX498" s="329"/>
      <c r="AZ498" s="329"/>
      <c r="BB498" s="329"/>
      <c r="BD498" s="329"/>
      <c r="BF498" s="329"/>
      <c r="BH498" s="329"/>
      <c r="BJ498" s="329"/>
      <c r="BL498" s="329"/>
      <c r="BN498" s="329"/>
    </row>
    <row r="499" spans="14:66">
      <c r="N499" s="329"/>
      <c r="P499" s="329"/>
      <c r="R499" s="329"/>
      <c r="T499" s="329"/>
      <c r="V499" s="329"/>
      <c r="X499" s="329"/>
      <c r="Z499" s="329"/>
      <c r="AB499" s="329"/>
      <c r="AD499" s="329"/>
      <c r="AF499" s="329"/>
      <c r="AH499" s="329"/>
      <c r="AJ499" s="329"/>
      <c r="AL499" s="329"/>
      <c r="AN499" s="329"/>
      <c r="AP499" s="329"/>
      <c r="AR499" s="329"/>
      <c r="AT499" s="329"/>
      <c r="AV499" s="329"/>
      <c r="AX499" s="329"/>
      <c r="AZ499" s="329"/>
      <c r="BB499" s="329"/>
      <c r="BD499" s="329"/>
      <c r="BF499" s="329"/>
      <c r="BH499" s="329"/>
      <c r="BJ499" s="329"/>
      <c r="BL499" s="329"/>
      <c r="BN499" s="329"/>
    </row>
    <row r="500" spans="14:66">
      <c r="N500" s="329"/>
      <c r="P500" s="329"/>
      <c r="R500" s="329"/>
      <c r="T500" s="329"/>
      <c r="V500" s="329"/>
      <c r="X500" s="329"/>
      <c r="Z500" s="329"/>
      <c r="AB500" s="329"/>
      <c r="AD500" s="329"/>
      <c r="AF500" s="329"/>
      <c r="AH500" s="329"/>
      <c r="AJ500" s="329"/>
      <c r="AL500" s="329"/>
      <c r="AN500" s="329"/>
      <c r="AP500" s="329"/>
      <c r="AR500" s="329"/>
      <c r="AT500" s="329"/>
      <c r="AV500" s="329"/>
      <c r="AX500" s="329"/>
      <c r="AZ500" s="329"/>
      <c r="BB500" s="329"/>
      <c r="BD500" s="329"/>
      <c r="BF500" s="329"/>
      <c r="BH500" s="329"/>
      <c r="BJ500" s="329"/>
      <c r="BL500" s="329"/>
      <c r="BN500" s="329"/>
    </row>
    <row r="501" spans="14:66">
      <c r="N501" s="329"/>
      <c r="P501" s="329"/>
      <c r="R501" s="329"/>
      <c r="T501" s="329"/>
      <c r="V501" s="329"/>
      <c r="X501" s="329"/>
      <c r="Z501" s="329"/>
      <c r="AB501" s="329"/>
      <c r="AD501" s="329"/>
      <c r="AF501" s="329"/>
      <c r="AH501" s="329"/>
      <c r="AJ501" s="329"/>
      <c r="AL501" s="329"/>
      <c r="AN501" s="329"/>
      <c r="AP501" s="329"/>
      <c r="AR501" s="329"/>
      <c r="AT501" s="329"/>
      <c r="AV501" s="329"/>
      <c r="AX501" s="329"/>
      <c r="AZ501" s="329"/>
      <c r="BB501" s="329"/>
      <c r="BD501" s="329"/>
      <c r="BF501" s="329"/>
      <c r="BH501" s="329"/>
      <c r="BJ501" s="329"/>
      <c r="BL501" s="329"/>
      <c r="BN501" s="329"/>
    </row>
    <row r="502" spans="14:66">
      <c r="N502" s="329"/>
      <c r="P502" s="329"/>
      <c r="R502" s="329"/>
      <c r="T502" s="329"/>
      <c r="V502" s="329"/>
      <c r="X502" s="329"/>
      <c r="Z502" s="329"/>
      <c r="AB502" s="329"/>
      <c r="AD502" s="329"/>
      <c r="AF502" s="329"/>
      <c r="AH502" s="329"/>
      <c r="AJ502" s="329"/>
      <c r="AL502" s="329"/>
      <c r="AN502" s="329"/>
      <c r="AP502" s="329"/>
      <c r="AR502" s="329"/>
      <c r="AT502" s="329"/>
      <c r="AV502" s="329"/>
      <c r="AX502" s="329"/>
      <c r="AZ502" s="329"/>
      <c r="BB502" s="329"/>
      <c r="BD502" s="329"/>
      <c r="BF502" s="329"/>
      <c r="BH502" s="329"/>
      <c r="BJ502" s="329"/>
      <c r="BL502" s="329"/>
      <c r="BN502" s="329"/>
    </row>
    <row r="503" spans="14:66">
      <c r="N503" s="329"/>
      <c r="P503" s="329"/>
      <c r="R503" s="329"/>
      <c r="T503" s="329"/>
      <c r="V503" s="329"/>
      <c r="X503" s="329"/>
      <c r="Z503" s="329"/>
      <c r="AB503" s="329"/>
      <c r="AD503" s="329"/>
      <c r="AF503" s="329"/>
      <c r="AH503" s="329"/>
      <c r="AJ503" s="329"/>
      <c r="AL503" s="329"/>
      <c r="AN503" s="329"/>
      <c r="AP503" s="329"/>
      <c r="AR503" s="329"/>
      <c r="AT503" s="329"/>
      <c r="AV503" s="329"/>
      <c r="AX503" s="329"/>
      <c r="AZ503" s="329"/>
      <c r="BB503" s="329"/>
      <c r="BD503" s="329"/>
      <c r="BF503" s="329"/>
      <c r="BH503" s="329"/>
      <c r="BJ503" s="329"/>
      <c r="BL503" s="329"/>
      <c r="BN503" s="329"/>
    </row>
    <row r="504" spans="14:66">
      <c r="N504" s="329"/>
      <c r="P504" s="329"/>
      <c r="R504" s="329"/>
      <c r="T504" s="329"/>
      <c r="V504" s="329"/>
      <c r="X504" s="329"/>
      <c r="Z504" s="329"/>
      <c r="AB504" s="329"/>
      <c r="AD504" s="329"/>
      <c r="AF504" s="329"/>
      <c r="AH504" s="329"/>
      <c r="AJ504" s="329"/>
      <c r="AL504" s="329"/>
      <c r="AN504" s="329"/>
      <c r="AP504" s="329"/>
      <c r="AR504" s="329"/>
      <c r="AT504" s="329"/>
      <c r="AV504" s="329"/>
      <c r="AX504" s="329"/>
      <c r="AZ504" s="329"/>
      <c r="BB504" s="329"/>
      <c r="BD504" s="329"/>
      <c r="BF504" s="329"/>
      <c r="BH504" s="329"/>
      <c r="BJ504" s="329"/>
      <c r="BL504" s="329"/>
      <c r="BN504" s="329"/>
    </row>
    <row r="505" spans="14:66">
      <c r="N505" s="329"/>
      <c r="P505" s="329"/>
      <c r="R505" s="329"/>
      <c r="T505" s="329"/>
      <c r="V505" s="329"/>
      <c r="X505" s="329"/>
      <c r="Z505" s="329"/>
      <c r="AB505" s="329"/>
      <c r="AD505" s="329"/>
      <c r="AF505" s="329"/>
      <c r="AH505" s="329"/>
      <c r="AJ505" s="329"/>
      <c r="AL505" s="329"/>
      <c r="AN505" s="329"/>
      <c r="AP505" s="329"/>
      <c r="AR505" s="329"/>
      <c r="AT505" s="329"/>
      <c r="AV505" s="329"/>
      <c r="AX505" s="329"/>
      <c r="AZ505" s="329"/>
      <c r="BB505" s="329"/>
      <c r="BD505" s="329"/>
      <c r="BF505" s="329"/>
      <c r="BH505" s="329"/>
      <c r="BJ505" s="329"/>
      <c r="BL505" s="329"/>
      <c r="BN505" s="329"/>
    </row>
    <row r="506" spans="14:66">
      <c r="N506" s="329"/>
      <c r="P506" s="329"/>
      <c r="R506" s="329"/>
      <c r="T506" s="329"/>
      <c r="V506" s="329"/>
      <c r="X506" s="329"/>
      <c r="Z506" s="329"/>
      <c r="AB506" s="329"/>
      <c r="AD506" s="329"/>
      <c r="AF506" s="329"/>
      <c r="AH506" s="329"/>
      <c r="AJ506" s="329"/>
      <c r="AL506" s="329"/>
      <c r="AN506" s="329"/>
      <c r="AP506" s="329"/>
      <c r="AR506" s="329"/>
      <c r="AT506" s="329"/>
      <c r="AV506" s="329"/>
      <c r="AX506" s="329"/>
      <c r="AZ506" s="329"/>
      <c r="BB506" s="329"/>
      <c r="BD506" s="329"/>
      <c r="BF506" s="329"/>
      <c r="BH506" s="329"/>
      <c r="BJ506" s="329"/>
      <c r="BL506" s="329"/>
      <c r="BN506" s="329"/>
    </row>
    <row r="507" spans="14:66">
      <c r="N507" s="329"/>
      <c r="P507" s="329"/>
      <c r="R507" s="329"/>
      <c r="T507" s="329"/>
      <c r="V507" s="329"/>
      <c r="X507" s="329"/>
      <c r="Z507" s="329"/>
      <c r="AB507" s="329"/>
      <c r="AD507" s="329"/>
      <c r="AF507" s="329"/>
      <c r="AH507" s="329"/>
      <c r="AJ507" s="329"/>
      <c r="AL507" s="329"/>
      <c r="AN507" s="329"/>
      <c r="AP507" s="329"/>
      <c r="AR507" s="329"/>
      <c r="AT507" s="329"/>
      <c r="AV507" s="329"/>
      <c r="AX507" s="329"/>
      <c r="AZ507" s="329"/>
      <c r="BB507" s="329"/>
      <c r="BD507" s="329"/>
      <c r="BF507" s="329"/>
      <c r="BH507" s="329"/>
      <c r="BJ507" s="329"/>
      <c r="BL507" s="329"/>
      <c r="BN507" s="329"/>
    </row>
    <row r="508" spans="14:66">
      <c r="N508" s="329"/>
      <c r="P508" s="329"/>
      <c r="R508" s="329"/>
      <c r="T508" s="329"/>
      <c r="V508" s="329"/>
      <c r="X508" s="329"/>
      <c r="Z508" s="329"/>
      <c r="AB508" s="329"/>
      <c r="AD508" s="329"/>
      <c r="AF508" s="329"/>
      <c r="AH508" s="329"/>
      <c r="AJ508" s="329"/>
      <c r="AL508" s="329"/>
      <c r="AN508" s="329"/>
      <c r="AP508" s="329"/>
      <c r="AR508" s="329"/>
      <c r="AT508" s="329"/>
      <c r="AV508" s="329"/>
      <c r="AX508" s="329"/>
      <c r="AZ508" s="329"/>
      <c r="BB508" s="329"/>
      <c r="BD508" s="329"/>
      <c r="BF508" s="329"/>
      <c r="BH508" s="329"/>
      <c r="BJ508" s="329"/>
      <c r="BL508" s="329"/>
      <c r="BN508" s="329"/>
    </row>
    <row r="509" spans="14:66">
      <c r="N509" s="329"/>
      <c r="P509" s="329"/>
      <c r="R509" s="329"/>
      <c r="T509" s="329"/>
      <c r="V509" s="329"/>
      <c r="X509" s="329"/>
      <c r="Z509" s="329"/>
      <c r="AB509" s="329"/>
      <c r="AD509" s="329"/>
      <c r="AF509" s="329"/>
      <c r="AH509" s="329"/>
      <c r="AJ509" s="329"/>
      <c r="AL509" s="329"/>
      <c r="AN509" s="329"/>
      <c r="AP509" s="329"/>
      <c r="AR509" s="329"/>
      <c r="AT509" s="329"/>
      <c r="AV509" s="329"/>
      <c r="AX509" s="329"/>
      <c r="AZ509" s="329"/>
      <c r="BB509" s="329"/>
      <c r="BD509" s="329"/>
      <c r="BF509" s="329"/>
      <c r="BH509" s="329"/>
      <c r="BJ509" s="329"/>
      <c r="BL509" s="329"/>
      <c r="BN509" s="329"/>
    </row>
    <row r="510" spans="14:66">
      <c r="N510" s="329"/>
      <c r="P510" s="329"/>
      <c r="R510" s="329"/>
      <c r="T510" s="329"/>
      <c r="V510" s="329"/>
      <c r="X510" s="329"/>
      <c r="Z510" s="329"/>
      <c r="AB510" s="329"/>
      <c r="AD510" s="329"/>
      <c r="AF510" s="329"/>
      <c r="AH510" s="329"/>
      <c r="AJ510" s="329"/>
      <c r="AL510" s="329"/>
      <c r="AN510" s="329"/>
      <c r="AP510" s="329"/>
      <c r="AR510" s="329"/>
      <c r="AT510" s="329"/>
      <c r="AV510" s="329"/>
      <c r="AX510" s="329"/>
      <c r="AZ510" s="329"/>
      <c r="BB510" s="329"/>
      <c r="BD510" s="329"/>
      <c r="BF510" s="329"/>
      <c r="BH510" s="329"/>
      <c r="BJ510" s="329"/>
      <c r="BL510" s="329"/>
      <c r="BN510" s="329"/>
    </row>
    <row r="511" spans="14:66">
      <c r="N511" s="329"/>
      <c r="P511" s="329"/>
      <c r="R511" s="329"/>
      <c r="T511" s="329"/>
      <c r="V511" s="329"/>
      <c r="X511" s="329"/>
      <c r="Z511" s="329"/>
      <c r="AB511" s="329"/>
      <c r="AD511" s="329"/>
      <c r="AF511" s="329"/>
      <c r="AH511" s="329"/>
      <c r="AJ511" s="329"/>
      <c r="AL511" s="329"/>
      <c r="AN511" s="329"/>
      <c r="AP511" s="329"/>
      <c r="AR511" s="329"/>
      <c r="AT511" s="329"/>
      <c r="AV511" s="329"/>
      <c r="AX511" s="329"/>
      <c r="AZ511" s="329"/>
      <c r="BB511" s="329"/>
      <c r="BD511" s="329"/>
      <c r="BF511" s="329"/>
      <c r="BH511" s="329"/>
      <c r="BJ511" s="329"/>
      <c r="BL511" s="329"/>
      <c r="BN511" s="329"/>
    </row>
    <row r="512" spans="14:66">
      <c r="N512" s="329"/>
      <c r="P512" s="329"/>
      <c r="R512" s="329"/>
      <c r="T512" s="329"/>
      <c r="V512" s="329"/>
      <c r="X512" s="329"/>
      <c r="Z512" s="329"/>
      <c r="AB512" s="329"/>
      <c r="AD512" s="329"/>
      <c r="AF512" s="329"/>
      <c r="AH512" s="329"/>
      <c r="AJ512" s="329"/>
      <c r="AL512" s="329"/>
      <c r="AN512" s="329"/>
      <c r="AP512" s="329"/>
      <c r="AR512" s="329"/>
      <c r="AT512" s="329"/>
      <c r="AV512" s="329"/>
      <c r="AX512" s="329"/>
      <c r="AZ512" s="329"/>
      <c r="BB512" s="329"/>
      <c r="BD512" s="329"/>
      <c r="BF512" s="329"/>
      <c r="BH512" s="329"/>
      <c r="BJ512" s="329"/>
      <c r="BL512" s="329"/>
      <c r="BN512" s="329"/>
    </row>
    <row r="513" spans="14:66">
      <c r="N513" s="329"/>
      <c r="P513" s="329"/>
      <c r="R513" s="329"/>
      <c r="T513" s="329"/>
      <c r="V513" s="329"/>
      <c r="X513" s="329"/>
      <c r="Z513" s="329"/>
      <c r="AB513" s="329"/>
      <c r="AD513" s="329"/>
      <c r="AF513" s="329"/>
      <c r="AH513" s="329"/>
      <c r="AJ513" s="329"/>
      <c r="AL513" s="329"/>
      <c r="AN513" s="329"/>
      <c r="AP513" s="329"/>
      <c r="AR513" s="329"/>
      <c r="AT513" s="329"/>
      <c r="AV513" s="329"/>
      <c r="AX513" s="329"/>
      <c r="AZ513" s="329"/>
      <c r="BB513" s="329"/>
      <c r="BD513" s="329"/>
      <c r="BF513" s="329"/>
      <c r="BH513" s="329"/>
      <c r="BJ513" s="329"/>
      <c r="BL513" s="329"/>
      <c r="BN513" s="329"/>
    </row>
    <row r="514" spans="14:66">
      <c r="N514" s="329"/>
      <c r="P514" s="329"/>
      <c r="R514" s="329"/>
      <c r="T514" s="329"/>
      <c r="V514" s="329"/>
      <c r="X514" s="329"/>
      <c r="Z514" s="329"/>
      <c r="AB514" s="329"/>
      <c r="AD514" s="329"/>
      <c r="AF514" s="329"/>
      <c r="AH514" s="329"/>
      <c r="AJ514" s="329"/>
      <c r="AL514" s="329"/>
      <c r="AN514" s="329"/>
      <c r="AP514" s="329"/>
      <c r="AR514" s="329"/>
      <c r="AT514" s="329"/>
      <c r="AV514" s="329"/>
      <c r="AX514" s="329"/>
      <c r="AZ514" s="329"/>
      <c r="BB514" s="329"/>
      <c r="BD514" s="329"/>
      <c r="BF514" s="329"/>
      <c r="BH514" s="329"/>
      <c r="BJ514" s="329"/>
      <c r="BL514" s="329"/>
      <c r="BN514" s="329"/>
    </row>
    <row r="515" spans="14:66">
      <c r="N515" s="329"/>
      <c r="P515" s="329"/>
      <c r="R515" s="329"/>
      <c r="T515" s="329"/>
      <c r="V515" s="329"/>
      <c r="X515" s="329"/>
      <c r="Z515" s="329"/>
      <c r="AB515" s="329"/>
      <c r="AD515" s="329"/>
      <c r="AF515" s="329"/>
      <c r="AH515" s="329"/>
      <c r="AJ515" s="329"/>
      <c r="AL515" s="329"/>
      <c r="AN515" s="329"/>
      <c r="AP515" s="329"/>
      <c r="AR515" s="329"/>
      <c r="AT515" s="329"/>
      <c r="AV515" s="329"/>
      <c r="AX515" s="329"/>
      <c r="AZ515" s="329"/>
      <c r="BB515" s="329"/>
      <c r="BD515" s="329"/>
      <c r="BF515" s="329"/>
      <c r="BH515" s="329"/>
      <c r="BJ515" s="329"/>
      <c r="BL515" s="329"/>
      <c r="BN515" s="329"/>
    </row>
    <row r="516" spans="14:66">
      <c r="N516" s="329"/>
      <c r="P516" s="329"/>
      <c r="R516" s="329"/>
      <c r="T516" s="329"/>
      <c r="V516" s="329"/>
      <c r="X516" s="329"/>
      <c r="Z516" s="329"/>
      <c r="AB516" s="329"/>
      <c r="AD516" s="329"/>
      <c r="AF516" s="329"/>
      <c r="AH516" s="329"/>
      <c r="AJ516" s="329"/>
      <c r="AL516" s="329"/>
      <c r="AN516" s="329"/>
      <c r="AP516" s="329"/>
      <c r="AR516" s="329"/>
      <c r="AT516" s="329"/>
      <c r="AV516" s="329"/>
      <c r="AX516" s="329"/>
      <c r="AZ516" s="329"/>
      <c r="BB516" s="329"/>
      <c r="BD516" s="329"/>
      <c r="BF516" s="329"/>
      <c r="BH516" s="329"/>
      <c r="BJ516" s="329"/>
      <c r="BL516" s="329"/>
      <c r="BN516" s="329"/>
    </row>
    <row r="517" spans="14:66">
      <c r="N517" s="329"/>
      <c r="P517" s="329"/>
      <c r="R517" s="329"/>
      <c r="T517" s="329"/>
      <c r="V517" s="329"/>
      <c r="X517" s="329"/>
      <c r="Z517" s="329"/>
      <c r="AB517" s="329"/>
      <c r="AD517" s="329"/>
      <c r="AF517" s="329"/>
      <c r="AH517" s="329"/>
      <c r="AJ517" s="329"/>
      <c r="AL517" s="329"/>
      <c r="AN517" s="329"/>
      <c r="AP517" s="329"/>
      <c r="AR517" s="329"/>
      <c r="AT517" s="329"/>
      <c r="AV517" s="329"/>
      <c r="AX517" s="329"/>
      <c r="AZ517" s="329"/>
      <c r="BB517" s="329"/>
      <c r="BD517" s="329"/>
      <c r="BF517" s="329"/>
      <c r="BH517" s="329"/>
      <c r="BJ517" s="329"/>
      <c r="BL517" s="329"/>
      <c r="BN517" s="329"/>
    </row>
    <row r="518" spans="14:66">
      <c r="N518" s="329"/>
      <c r="P518" s="329"/>
      <c r="R518" s="329"/>
      <c r="T518" s="329"/>
      <c r="V518" s="329"/>
      <c r="X518" s="329"/>
      <c r="Z518" s="329"/>
      <c r="AB518" s="329"/>
      <c r="AD518" s="329"/>
      <c r="AF518" s="329"/>
      <c r="AH518" s="329"/>
      <c r="AJ518" s="329"/>
      <c r="AL518" s="329"/>
      <c r="AN518" s="329"/>
      <c r="AP518" s="329"/>
      <c r="AR518" s="329"/>
      <c r="AT518" s="329"/>
      <c r="AV518" s="329"/>
      <c r="AX518" s="329"/>
      <c r="AZ518" s="329"/>
      <c r="BB518" s="329"/>
      <c r="BD518" s="329"/>
      <c r="BF518" s="329"/>
      <c r="BH518" s="329"/>
      <c r="BJ518" s="329"/>
      <c r="BL518" s="329"/>
      <c r="BN518" s="329"/>
    </row>
    <row r="519" spans="14:66">
      <c r="N519" s="329"/>
      <c r="P519" s="329"/>
      <c r="R519" s="329"/>
      <c r="T519" s="329"/>
      <c r="V519" s="329"/>
      <c r="X519" s="329"/>
      <c r="Z519" s="329"/>
      <c r="AB519" s="329"/>
      <c r="AD519" s="329"/>
      <c r="AF519" s="329"/>
      <c r="AH519" s="329"/>
      <c r="AJ519" s="329"/>
      <c r="AL519" s="329"/>
      <c r="AN519" s="329"/>
      <c r="AP519" s="329"/>
      <c r="AR519" s="329"/>
      <c r="AT519" s="329"/>
      <c r="AV519" s="329"/>
      <c r="AX519" s="329"/>
      <c r="AZ519" s="329"/>
      <c r="BB519" s="329"/>
      <c r="BD519" s="329"/>
      <c r="BF519" s="329"/>
      <c r="BH519" s="329"/>
      <c r="BJ519" s="329"/>
      <c r="BL519" s="329"/>
      <c r="BN519" s="329"/>
    </row>
    <row r="520" spans="14:66">
      <c r="N520" s="329"/>
      <c r="P520" s="329"/>
      <c r="R520" s="329"/>
      <c r="T520" s="329"/>
      <c r="V520" s="329"/>
      <c r="X520" s="329"/>
      <c r="Z520" s="329"/>
      <c r="AB520" s="329"/>
      <c r="AD520" s="329"/>
      <c r="AF520" s="329"/>
      <c r="AH520" s="329"/>
      <c r="AJ520" s="329"/>
      <c r="AL520" s="329"/>
      <c r="AN520" s="329"/>
      <c r="AP520" s="329"/>
      <c r="AR520" s="329"/>
      <c r="AT520" s="329"/>
      <c r="AV520" s="329"/>
      <c r="AX520" s="329"/>
      <c r="AZ520" s="329"/>
      <c r="BB520" s="329"/>
      <c r="BD520" s="329"/>
      <c r="BF520" s="329"/>
      <c r="BH520" s="329"/>
      <c r="BJ520" s="329"/>
      <c r="BL520" s="329"/>
      <c r="BN520" s="329"/>
    </row>
    <row r="521" spans="14:66">
      <c r="N521" s="329"/>
      <c r="P521" s="329"/>
      <c r="R521" s="329"/>
      <c r="T521" s="329"/>
      <c r="V521" s="329"/>
      <c r="X521" s="329"/>
      <c r="Z521" s="329"/>
      <c r="AB521" s="329"/>
      <c r="AD521" s="329"/>
      <c r="AF521" s="329"/>
      <c r="AH521" s="329"/>
      <c r="AJ521" s="329"/>
      <c r="AL521" s="329"/>
      <c r="AN521" s="329"/>
      <c r="AP521" s="329"/>
      <c r="AR521" s="329"/>
      <c r="AT521" s="329"/>
      <c r="AV521" s="329"/>
      <c r="AX521" s="329"/>
      <c r="AZ521" s="329"/>
      <c r="BB521" s="329"/>
      <c r="BD521" s="329"/>
      <c r="BF521" s="329"/>
      <c r="BH521" s="329"/>
      <c r="BJ521" s="329"/>
      <c r="BL521" s="329"/>
      <c r="BN521" s="329"/>
    </row>
    <row r="522" spans="14:66">
      <c r="N522" s="329"/>
      <c r="P522" s="329"/>
      <c r="R522" s="329"/>
      <c r="T522" s="329"/>
      <c r="V522" s="329"/>
      <c r="X522" s="329"/>
      <c r="Z522" s="329"/>
      <c r="AB522" s="329"/>
      <c r="AD522" s="329"/>
      <c r="AF522" s="329"/>
      <c r="AH522" s="329"/>
      <c r="AJ522" s="329"/>
      <c r="AL522" s="329"/>
      <c r="AN522" s="329"/>
      <c r="AP522" s="329"/>
      <c r="AR522" s="329"/>
      <c r="AT522" s="329"/>
      <c r="AV522" s="329"/>
      <c r="AX522" s="329"/>
      <c r="AZ522" s="329"/>
      <c r="BB522" s="329"/>
      <c r="BD522" s="329"/>
      <c r="BF522" s="329"/>
      <c r="BH522" s="329"/>
      <c r="BJ522" s="329"/>
      <c r="BL522" s="329"/>
      <c r="BN522" s="329"/>
    </row>
    <row r="523" spans="14:66">
      <c r="N523" s="329"/>
      <c r="P523" s="329"/>
      <c r="R523" s="329"/>
      <c r="T523" s="329"/>
      <c r="V523" s="329"/>
      <c r="X523" s="329"/>
      <c r="Z523" s="329"/>
      <c r="AB523" s="329"/>
      <c r="AD523" s="329"/>
      <c r="AF523" s="329"/>
      <c r="AH523" s="329"/>
      <c r="AJ523" s="329"/>
      <c r="AL523" s="329"/>
      <c r="AN523" s="329"/>
      <c r="AP523" s="329"/>
      <c r="AR523" s="329"/>
      <c r="AT523" s="329"/>
      <c r="AV523" s="329"/>
      <c r="AX523" s="329"/>
      <c r="AZ523" s="329"/>
      <c r="BB523" s="329"/>
      <c r="BD523" s="329"/>
      <c r="BF523" s="329"/>
      <c r="BH523" s="329"/>
      <c r="BJ523" s="329"/>
      <c r="BL523" s="329"/>
      <c r="BN523" s="329"/>
    </row>
    <row r="524" spans="14:66">
      <c r="N524" s="329"/>
      <c r="P524" s="329"/>
      <c r="R524" s="329"/>
      <c r="T524" s="329"/>
      <c r="V524" s="329"/>
      <c r="X524" s="329"/>
      <c r="Z524" s="329"/>
      <c r="AB524" s="329"/>
      <c r="AD524" s="329"/>
      <c r="AF524" s="329"/>
      <c r="AH524" s="329"/>
      <c r="AJ524" s="329"/>
      <c r="AL524" s="329"/>
      <c r="AN524" s="329"/>
      <c r="AP524" s="329"/>
      <c r="AR524" s="329"/>
      <c r="AT524" s="329"/>
      <c r="AV524" s="329"/>
      <c r="AX524" s="329"/>
      <c r="AZ524" s="329"/>
      <c r="BB524" s="329"/>
      <c r="BD524" s="329"/>
      <c r="BF524" s="329"/>
      <c r="BH524" s="329"/>
      <c r="BJ524" s="329"/>
      <c r="BL524" s="329"/>
      <c r="BN524" s="329"/>
    </row>
    <row r="525" spans="14:66">
      <c r="N525" s="329"/>
      <c r="P525" s="329"/>
      <c r="R525" s="329"/>
      <c r="T525" s="329"/>
      <c r="V525" s="329"/>
      <c r="X525" s="329"/>
      <c r="Z525" s="329"/>
      <c r="AB525" s="329"/>
      <c r="AD525" s="329"/>
      <c r="AF525" s="329"/>
      <c r="AH525" s="329"/>
      <c r="AJ525" s="329"/>
      <c r="AL525" s="329"/>
      <c r="AN525" s="329"/>
      <c r="AP525" s="329"/>
      <c r="AR525" s="329"/>
      <c r="AT525" s="329"/>
      <c r="AV525" s="329"/>
      <c r="AX525" s="329"/>
      <c r="AZ525" s="329"/>
      <c r="BB525" s="329"/>
      <c r="BD525" s="329"/>
      <c r="BF525" s="329"/>
      <c r="BH525" s="329"/>
      <c r="BJ525" s="329"/>
      <c r="BL525" s="329"/>
      <c r="BN525" s="329"/>
    </row>
    <row r="526" spans="14:66">
      <c r="N526" s="329"/>
      <c r="P526" s="329"/>
      <c r="R526" s="329"/>
      <c r="T526" s="329"/>
      <c r="V526" s="329"/>
      <c r="X526" s="329"/>
      <c r="Z526" s="329"/>
      <c r="AB526" s="329"/>
      <c r="AD526" s="329"/>
      <c r="AF526" s="329"/>
      <c r="AH526" s="329"/>
      <c r="AJ526" s="329"/>
      <c r="AL526" s="329"/>
      <c r="AN526" s="329"/>
      <c r="AP526" s="329"/>
      <c r="AR526" s="329"/>
      <c r="AT526" s="329"/>
      <c r="AV526" s="329"/>
      <c r="AX526" s="329"/>
      <c r="AZ526" s="329"/>
      <c r="BB526" s="329"/>
      <c r="BD526" s="329"/>
      <c r="BF526" s="329"/>
      <c r="BH526" s="329"/>
      <c r="BJ526" s="329"/>
      <c r="BL526" s="329"/>
      <c r="BN526" s="329"/>
    </row>
    <row r="527" spans="14:66">
      <c r="N527" s="329"/>
      <c r="P527" s="329"/>
      <c r="R527" s="329"/>
      <c r="T527" s="329"/>
      <c r="V527" s="329"/>
      <c r="X527" s="329"/>
      <c r="Z527" s="329"/>
      <c r="AB527" s="329"/>
      <c r="AD527" s="329"/>
      <c r="AF527" s="329"/>
      <c r="AH527" s="329"/>
      <c r="AJ527" s="329"/>
      <c r="AL527" s="329"/>
      <c r="AN527" s="329"/>
      <c r="AP527" s="329"/>
      <c r="AR527" s="329"/>
      <c r="AT527" s="329"/>
      <c r="AV527" s="329"/>
      <c r="AX527" s="329"/>
      <c r="AZ527" s="329"/>
      <c r="BB527" s="329"/>
      <c r="BD527" s="329"/>
      <c r="BF527" s="329"/>
      <c r="BH527" s="329"/>
      <c r="BJ527" s="329"/>
      <c r="BL527" s="329"/>
      <c r="BN527" s="329"/>
    </row>
    <row r="528" spans="14:66">
      <c r="N528" s="329"/>
      <c r="P528" s="329"/>
      <c r="R528" s="329"/>
      <c r="T528" s="329"/>
      <c r="V528" s="329"/>
      <c r="X528" s="329"/>
      <c r="Z528" s="329"/>
      <c r="AB528" s="329"/>
      <c r="AD528" s="329"/>
      <c r="AF528" s="329"/>
      <c r="AH528" s="329"/>
      <c r="AJ528" s="329"/>
      <c r="AL528" s="329"/>
      <c r="AN528" s="329"/>
      <c r="AP528" s="329"/>
      <c r="AR528" s="329"/>
      <c r="AT528" s="329"/>
      <c r="AV528" s="329"/>
      <c r="AX528" s="329"/>
      <c r="AZ528" s="329"/>
      <c r="BB528" s="329"/>
      <c r="BD528" s="329"/>
      <c r="BF528" s="329"/>
      <c r="BH528" s="329"/>
      <c r="BJ528" s="329"/>
      <c r="BL528" s="329"/>
      <c r="BN528" s="329"/>
    </row>
    <row r="529" spans="14:66">
      <c r="N529" s="329"/>
      <c r="P529" s="329"/>
      <c r="R529" s="329"/>
      <c r="T529" s="329"/>
      <c r="V529" s="329"/>
      <c r="X529" s="329"/>
      <c r="Z529" s="329"/>
      <c r="AB529" s="329"/>
      <c r="AD529" s="329"/>
      <c r="AF529" s="329"/>
      <c r="AH529" s="329"/>
      <c r="AJ529" s="329"/>
      <c r="AL529" s="329"/>
      <c r="AN529" s="329"/>
      <c r="AP529" s="329"/>
      <c r="AR529" s="329"/>
      <c r="AT529" s="329"/>
      <c r="AV529" s="329"/>
      <c r="AX529" s="329"/>
      <c r="AZ529" s="329"/>
      <c r="BB529" s="329"/>
      <c r="BD529" s="329"/>
      <c r="BF529" s="329"/>
      <c r="BH529" s="329"/>
      <c r="BJ529" s="329"/>
      <c r="BL529" s="329"/>
      <c r="BN529" s="329"/>
    </row>
    <row r="530" spans="14:66">
      <c r="N530" s="329"/>
      <c r="P530" s="329"/>
      <c r="R530" s="329"/>
      <c r="T530" s="329"/>
      <c r="V530" s="329"/>
      <c r="X530" s="329"/>
      <c r="Z530" s="329"/>
      <c r="AB530" s="329"/>
      <c r="AD530" s="329"/>
      <c r="AF530" s="329"/>
      <c r="AH530" s="329"/>
      <c r="AJ530" s="329"/>
      <c r="AL530" s="329"/>
      <c r="AN530" s="329"/>
      <c r="AP530" s="329"/>
      <c r="AR530" s="329"/>
      <c r="AT530" s="329"/>
      <c r="AV530" s="329"/>
      <c r="AX530" s="329"/>
      <c r="AZ530" s="329"/>
      <c r="BB530" s="329"/>
      <c r="BD530" s="329"/>
      <c r="BF530" s="329"/>
      <c r="BH530" s="329"/>
      <c r="BJ530" s="329"/>
      <c r="BL530" s="329"/>
      <c r="BN530" s="329"/>
    </row>
    <row r="531" spans="14:66">
      <c r="N531" s="329"/>
      <c r="P531" s="329"/>
      <c r="R531" s="329"/>
      <c r="T531" s="329"/>
      <c r="V531" s="329"/>
      <c r="X531" s="329"/>
      <c r="Z531" s="329"/>
      <c r="AB531" s="329"/>
      <c r="AD531" s="329"/>
      <c r="AF531" s="329"/>
      <c r="AH531" s="329"/>
      <c r="AJ531" s="329"/>
      <c r="AL531" s="329"/>
      <c r="AN531" s="329"/>
      <c r="AP531" s="329"/>
      <c r="AR531" s="329"/>
      <c r="AT531" s="329"/>
      <c r="AV531" s="329"/>
      <c r="AX531" s="329"/>
      <c r="AZ531" s="329"/>
      <c r="BB531" s="329"/>
      <c r="BD531" s="329"/>
      <c r="BF531" s="329"/>
      <c r="BH531" s="329"/>
      <c r="BJ531" s="329"/>
      <c r="BL531" s="329"/>
      <c r="BN531" s="329"/>
    </row>
    <row r="532" spans="14:66">
      <c r="N532" s="329"/>
      <c r="P532" s="329"/>
      <c r="R532" s="329"/>
      <c r="T532" s="329"/>
      <c r="V532" s="329"/>
      <c r="X532" s="329"/>
      <c r="Z532" s="329"/>
      <c r="AB532" s="329"/>
      <c r="AD532" s="329"/>
      <c r="AF532" s="329"/>
      <c r="AH532" s="329"/>
      <c r="AJ532" s="329"/>
      <c r="AL532" s="329"/>
      <c r="AN532" s="329"/>
      <c r="AP532" s="329"/>
      <c r="AR532" s="329"/>
      <c r="AT532" s="329"/>
      <c r="AV532" s="329"/>
      <c r="AX532" s="329"/>
      <c r="AZ532" s="329"/>
      <c r="BB532" s="329"/>
      <c r="BD532" s="329"/>
      <c r="BF532" s="329"/>
      <c r="BH532" s="329"/>
      <c r="BJ532" s="329"/>
      <c r="BL532" s="329"/>
      <c r="BN532" s="329"/>
    </row>
    <row r="533" spans="14:66">
      <c r="N533" s="329"/>
      <c r="P533" s="329"/>
      <c r="R533" s="329"/>
      <c r="T533" s="329"/>
      <c r="V533" s="329"/>
      <c r="X533" s="329"/>
      <c r="Z533" s="329"/>
      <c r="AB533" s="329"/>
      <c r="AD533" s="329"/>
      <c r="AF533" s="329"/>
      <c r="AH533" s="329"/>
      <c r="AJ533" s="329"/>
      <c r="AL533" s="329"/>
      <c r="AN533" s="329"/>
      <c r="AP533" s="329"/>
      <c r="AR533" s="329"/>
      <c r="AT533" s="329"/>
      <c r="AV533" s="329"/>
      <c r="AX533" s="329"/>
      <c r="AZ533" s="329"/>
      <c r="BB533" s="329"/>
      <c r="BD533" s="329"/>
      <c r="BF533" s="329"/>
      <c r="BH533" s="329"/>
      <c r="BJ533" s="329"/>
      <c r="BL533" s="329"/>
      <c r="BN533" s="329"/>
    </row>
    <row r="534" spans="14:66">
      <c r="N534" s="329"/>
      <c r="P534" s="329"/>
      <c r="R534" s="329"/>
      <c r="T534" s="329"/>
      <c r="V534" s="329"/>
      <c r="X534" s="329"/>
      <c r="Z534" s="329"/>
      <c r="AB534" s="329"/>
      <c r="AD534" s="329"/>
      <c r="AF534" s="329"/>
      <c r="AH534" s="329"/>
      <c r="AJ534" s="329"/>
      <c r="AL534" s="329"/>
      <c r="AN534" s="329"/>
      <c r="AP534" s="329"/>
      <c r="AR534" s="329"/>
      <c r="AT534" s="329"/>
      <c r="AV534" s="329"/>
      <c r="AX534" s="329"/>
      <c r="AZ534" s="329"/>
      <c r="BB534" s="329"/>
      <c r="BD534" s="329"/>
      <c r="BF534" s="329"/>
      <c r="BH534" s="329"/>
      <c r="BJ534" s="329"/>
      <c r="BL534" s="329"/>
      <c r="BN534" s="329"/>
    </row>
    <row r="535" spans="14:66">
      <c r="N535" s="329"/>
      <c r="P535" s="329"/>
      <c r="R535" s="329"/>
      <c r="T535" s="329"/>
      <c r="V535" s="329"/>
      <c r="X535" s="329"/>
      <c r="Z535" s="329"/>
      <c r="AB535" s="329"/>
      <c r="AD535" s="329"/>
      <c r="AF535" s="329"/>
      <c r="AH535" s="329"/>
      <c r="AJ535" s="329"/>
      <c r="AL535" s="329"/>
      <c r="AN535" s="329"/>
      <c r="AP535" s="329"/>
      <c r="AR535" s="329"/>
      <c r="AT535" s="329"/>
      <c r="AV535" s="329"/>
      <c r="AX535" s="329"/>
      <c r="AZ535" s="329"/>
      <c r="BB535" s="329"/>
      <c r="BD535" s="329"/>
      <c r="BF535" s="329"/>
      <c r="BH535" s="329"/>
      <c r="BJ535" s="329"/>
      <c r="BL535" s="329"/>
      <c r="BN535" s="329"/>
    </row>
    <row r="536" spans="14:66">
      <c r="N536" s="329"/>
      <c r="P536" s="329"/>
      <c r="R536" s="329"/>
      <c r="T536" s="329"/>
      <c r="V536" s="329"/>
      <c r="X536" s="329"/>
      <c r="Z536" s="329"/>
      <c r="AB536" s="329"/>
      <c r="AD536" s="329"/>
      <c r="AF536" s="329"/>
      <c r="AH536" s="329"/>
      <c r="AJ536" s="329"/>
      <c r="AL536" s="329"/>
      <c r="AN536" s="329"/>
      <c r="AP536" s="329"/>
      <c r="AR536" s="329"/>
      <c r="AT536" s="329"/>
      <c r="AV536" s="329"/>
      <c r="AX536" s="329"/>
      <c r="AZ536" s="329"/>
      <c r="BB536" s="329"/>
      <c r="BD536" s="329"/>
      <c r="BF536" s="329"/>
      <c r="BH536" s="329"/>
      <c r="BJ536" s="329"/>
      <c r="BL536" s="329"/>
      <c r="BN536" s="329"/>
    </row>
    <row r="537" spans="14:66">
      <c r="N537" s="329"/>
      <c r="P537" s="329"/>
      <c r="R537" s="329"/>
      <c r="T537" s="329"/>
      <c r="V537" s="329"/>
      <c r="X537" s="329"/>
      <c r="Z537" s="329"/>
      <c r="AB537" s="329"/>
      <c r="AD537" s="329"/>
      <c r="AF537" s="329"/>
      <c r="AH537" s="329"/>
      <c r="AJ537" s="329"/>
      <c r="AL537" s="329"/>
      <c r="AN537" s="329"/>
      <c r="AP537" s="329"/>
      <c r="AR537" s="329"/>
      <c r="AT537" s="329"/>
      <c r="AV537" s="329"/>
      <c r="AX537" s="329"/>
      <c r="AZ537" s="329"/>
      <c r="BB537" s="329"/>
      <c r="BD537" s="329"/>
      <c r="BF537" s="329"/>
      <c r="BH537" s="329"/>
      <c r="BJ537" s="329"/>
      <c r="BL537" s="329"/>
      <c r="BN537" s="329"/>
    </row>
    <row r="538" spans="14:66">
      <c r="N538" s="329"/>
      <c r="P538" s="329"/>
      <c r="R538" s="329"/>
      <c r="T538" s="329"/>
      <c r="V538" s="329"/>
      <c r="X538" s="329"/>
      <c r="Z538" s="329"/>
      <c r="AB538" s="329"/>
      <c r="AD538" s="329"/>
      <c r="AF538" s="329"/>
      <c r="AH538" s="329"/>
      <c r="AJ538" s="329"/>
      <c r="AL538" s="329"/>
      <c r="AN538" s="329"/>
      <c r="AP538" s="329"/>
      <c r="AR538" s="329"/>
      <c r="AT538" s="329"/>
      <c r="AV538" s="329"/>
      <c r="AX538" s="329"/>
      <c r="AZ538" s="329"/>
      <c r="BB538" s="329"/>
      <c r="BD538" s="329"/>
      <c r="BF538" s="329"/>
      <c r="BH538" s="329"/>
      <c r="BJ538" s="329"/>
      <c r="BL538" s="329"/>
      <c r="BN538" s="329"/>
    </row>
    <row r="539" spans="14:66">
      <c r="N539" s="329"/>
      <c r="P539" s="329"/>
      <c r="R539" s="329"/>
      <c r="T539" s="329"/>
      <c r="V539" s="329"/>
      <c r="X539" s="329"/>
      <c r="Z539" s="329"/>
      <c r="AB539" s="329"/>
      <c r="AD539" s="329"/>
      <c r="AF539" s="329"/>
      <c r="AH539" s="329"/>
      <c r="AJ539" s="329"/>
      <c r="AL539" s="329"/>
      <c r="AN539" s="329"/>
      <c r="AP539" s="329"/>
      <c r="AR539" s="329"/>
      <c r="AT539" s="329"/>
      <c r="AV539" s="329"/>
      <c r="AX539" s="329"/>
      <c r="AZ539" s="329"/>
      <c r="BB539" s="329"/>
      <c r="BD539" s="329"/>
      <c r="BF539" s="329"/>
      <c r="BH539" s="329"/>
      <c r="BJ539" s="329"/>
      <c r="BL539" s="329"/>
      <c r="BN539" s="329"/>
    </row>
    <row r="540" spans="14:66">
      <c r="N540" s="329"/>
      <c r="P540" s="329"/>
      <c r="R540" s="329"/>
      <c r="T540" s="329"/>
      <c r="V540" s="329"/>
      <c r="X540" s="329"/>
      <c r="Z540" s="329"/>
      <c r="AB540" s="329"/>
      <c r="AD540" s="329"/>
      <c r="AF540" s="329"/>
      <c r="AH540" s="329"/>
      <c r="AJ540" s="329"/>
      <c r="AL540" s="329"/>
      <c r="AN540" s="329"/>
      <c r="AP540" s="329"/>
      <c r="AR540" s="329"/>
      <c r="AT540" s="329"/>
      <c r="AV540" s="329"/>
      <c r="AX540" s="329"/>
      <c r="AZ540" s="329"/>
      <c r="BB540" s="329"/>
      <c r="BD540" s="329"/>
      <c r="BF540" s="329"/>
      <c r="BH540" s="329"/>
      <c r="BJ540" s="329"/>
      <c r="BL540" s="329"/>
      <c r="BN540" s="329"/>
    </row>
    <row r="541" spans="14:66">
      <c r="N541" s="329"/>
      <c r="P541" s="329"/>
      <c r="R541" s="329"/>
      <c r="T541" s="329"/>
      <c r="V541" s="329"/>
      <c r="X541" s="329"/>
      <c r="Z541" s="329"/>
      <c r="AB541" s="329"/>
      <c r="AD541" s="329"/>
      <c r="AF541" s="329"/>
      <c r="AH541" s="329"/>
      <c r="AJ541" s="329"/>
      <c r="AL541" s="329"/>
      <c r="AN541" s="329"/>
      <c r="AP541" s="329"/>
      <c r="AR541" s="329"/>
      <c r="AT541" s="329"/>
      <c r="AV541" s="329"/>
      <c r="AX541" s="329"/>
      <c r="AZ541" s="329"/>
      <c r="BB541" s="329"/>
      <c r="BD541" s="329"/>
      <c r="BF541" s="329"/>
      <c r="BH541" s="329"/>
      <c r="BJ541" s="329"/>
      <c r="BL541" s="329"/>
      <c r="BN541" s="329"/>
    </row>
    <row r="542" spans="14:66">
      <c r="N542" s="329"/>
      <c r="P542" s="329"/>
      <c r="R542" s="329"/>
      <c r="T542" s="329"/>
      <c r="V542" s="329"/>
      <c r="X542" s="329"/>
      <c r="Z542" s="329"/>
      <c r="AB542" s="329"/>
      <c r="AD542" s="329"/>
      <c r="AF542" s="329"/>
      <c r="AH542" s="329"/>
      <c r="AJ542" s="329"/>
      <c r="AL542" s="329"/>
      <c r="AN542" s="329"/>
      <c r="AP542" s="329"/>
      <c r="AR542" s="329"/>
      <c r="AT542" s="329"/>
      <c r="AV542" s="329"/>
      <c r="AX542" s="329"/>
      <c r="AZ542" s="329"/>
      <c r="BB542" s="329"/>
      <c r="BD542" s="329"/>
      <c r="BF542" s="329"/>
      <c r="BH542" s="329"/>
      <c r="BJ542" s="329"/>
      <c r="BL542" s="329"/>
      <c r="BN542" s="329"/>
    </row>
    <row r="543" spans="14:66">
      <c r="N543" s="329"/>
      <c r="P543" s="329"/>
      <c r="R543" s="329"/>
      <c r="T543" s="329"/>
      <c r="V543" s="329"/>
      <c r="X543" s="329"/>
      <c r="Z543" s="329"/>
      <c r="AB543" s="329"/>
      <c r="AD543" s="329"/>
      <c r="AF543" s="329"/>
      <c r="AH543" s="329"/>
      <c r="AJ543" s="329"/>
      <c r="AL543" s="329"/>
      <c r="AN543" s="329"/>
      <c r="AP543" s="329"/>
      <c r="AR543" s="329"/>
      <c r="AT543" s="329"/>
      <c r="AV543" s="329"/>
      <c r="AX543" s="329"/>
      <c r="AZ543" s="329"/>
      <c r="BB543" s="329"/>
      <c r="BD543" s="329"/>
      <c r="BF543" s="329"/>
      <c r="BH543" s="329"/>
      <c r="BJ543" s="329"/>
      <c r="BL543" s="329"/>
      <c r="BN543" s="329"/>
    </row>
    <row r="544" spans="14:66">
      <c r="N544" s="329"/>
      <c r="P544" s="329"/>
      <c r="R544" s="329"/>
      <c r="T544" s="329"/>
      <c r="V544" s="329"/>
      <c r="X544" s="329"/>
      <c r="Z544" s="329"/>
      <c r="AB544" s="329"/>
      <c r="AD544" s="329"/>
      <c r="AF544" s="329"/>
      <c r="AH544" s="329"/>
      <c r="AJ544" s="329"/>
      <c r="AL544" s="329"/>
      <c r="AN544" s="329"/>
      <c r="AP544" s="329"/>
      <c r="AR544" s="329"/>
      <c r="AT544" s="329"/>
      <c r="AV544" s="329"/>
      <c r="AX544" s="329"/>
      <c r="AZ544" s="329"/>
      <c r="BB544" s="329"/>
      <c r="BD544" s="329"/>
      <c r="BF544" s="329"/>
      <c r="BH544" s="329"/>
      <c r="BJ544" s="329"/>
      <c r="BL544" s="329"/>
      <c r="BN544" s="329"/>
    </row>
    <row r="545" spans="14:66">
      <c r="N545" s="329"/>
      <c r="P545" s="329"/>
      <c r="R545" s="329"/>
      <c r="T545" s="329"/>
      <c r="V545" s="329"/>
      <c r="X545" s="329"/>
      <c r="Z545" s="329"/>
      <c r="AB545" s="329"/>
      <c r="AD545" s="329"/>
      <c r="AF545" s="329"/>
      <c r="AH545" s="329"/>
      <c r="AJ545" s="329"/>
      <c r="AL545" s="329"/>
      <c r="AN545" s="329"/>
      <c r="AP545" s="329"/>
      <c r="AR545" s="329"/>
      <c r="AT545" s="329"/>
      <c r="AV545" s="329"/>
      <c r="AX545" s="329"/>
      <c r="AZ545" s="329"/>
      <c r="BB545" s="329"/>
      <c r="BD545" s="329"/>
      <c r="BF545" s="329"/>
      <c r="BH545" s="329"/>
      <c r="BJ545" s="329"/>
      <c r="BL545" s="329"/>
      <c r="BN545" s="329"/>
    </row>
    <row r="546" spans="14:66">
      <c r="N546" s="329"/>
      <c r="P546" s="329"/>
      <c r="R546" s="329"/>
      <c r="T546" s="329"/>
      <c r="V546" s="329"/>
      <c r="X546" s="329"/>
      <c r="Z546" s="329"/>
      <c r="AB546" s="329"/>
      <c r="AD546" s="329"/>
      <c r="AF546" s="329"/>
      <c r="AH546" s="329"/>
      <c r="AJ546" s="329"/>
      <c r="AL546" s="329"/>
      <c r="AN546" s="329"/>
      <c r="AP546" s="329"/>
      <c r="AR546" s="329"/>
      <c r="AT546" s="329"/>
      <c r="AV546" s="329"/>
      <c r="AX546" s="329"/>
      <c r="AZ546" s="329"/>
      <c r="BB546" s="329"/>
      <c r="BD546" s="329"/>
      <c r="BF546" s="329"/>
      <c r="BH546" s="329"/>
      <c r="BJ546" s="329"/>
      <c r="BL546" s="329"/>
      <c r="BN546" s="329"/>
    </row>
    <row r="547" spans="14:66">
      <c r="N547" s="329"/>
      <c r="P547" s="329"/>
      <c r="R547" s="329"/>
      <c r="T547" s="329"/>
      <c r="V547" s="329"/>
      <c r="X547" s="329"/>
      <c r="Z547" s="329"/>
      <c r="AB547" s="329"/>
      <c r="AD547" s="329"/>
      <c r="AF547" s="329"/>
      <c r="AH547" s="329"/>
      <c r="AJ547" s="329"/>
      <c r="AL547" s="329"/>
      <c r="AN547" s="329"/>
      <c r="AP547" s="329"/>
      <c r="AR547" s="329"/>
      <c r="AT547" s="329"/>
      <c r="AV547" s="329"/>
      <c r="AX547" s="329"/>
      <c r="AZ547" s="329"/>
      <c r="BB547" s="329"/>
      <c r="BD547" s="329"/>
      <c r="BF547" s="329"/>
      <c r="BH547" s="329"/>
      <c r="BJ547" s="329"/>
      <c r="BL547" s="329"/>
      <c r="BN547" s="329"/>
    </row>
    <row r="548" spans="14:66">
      <c r="N548" s="329"/>
      <c r="P548" s="329"/>
      <c r="R548" s="329"/>
      <c r="T548" s="329"/>
      <c r="V548" s="329"/>
      <c r="X548" s="329"/>
      <c r="Z548" s="329"/>
      <c r="AB548" s="329"/>
      <c r="AD548" s="329"/>
      <c r="AF548" s="329"/>
      <c r="AH548" s="329"/>
      <c r="AJ548" s="329"/>
      <c r="AL548" s="329"/>
      <c r="AN548" s="329"/>
      <c r="AP548" s="329"/>
      <c r="AR548" s="329"/>
      <c r="AT548" s="329"/>
      <c r="AV548" s="329"/>
      <c r="AX548" s="329"/>
      <c r="AZ548" s="329"/>
      <c r="BB548" s="329"/>
      <c r="BD548" s="329"/>
      <c r="BF548" s="329"/>
      <c r="BH548" s="329"/>
      <c r="BJ548" s="329"/>
      <c r="BL548" s="329"/>
      <c r="BN548" s="329"/>
    </row>
    <row r="549" spans="14:66">
      <c r="N549" s="329"/>
      <c r="P549" s="329"/>
      <c r="R549" s="329"/>
      <c r="T549" s="329"/>
      <c r="V549" s="329"/>
      <c r="X549" s="329"/>
      <c r="Z549" s="329"/>
      <c r="AB549" s="329"/>
      <c r="AD549" s="329"/>
      <c r="AF549" s="329"/>
      <c r="AH549" s="329"/>
      <c r="AJ549" s="329"/>
      <c r="AL549" s="329"/>
      <c r="AN549" s="329"/>
      <c r="AP549" s="329"/>
      <c r="AR549" s="329"/>
      <c r="AT549" s="329"/>
      <c r="AV549" s="329"/>
      <c r="AX549" s="329"/>
      <c r="AZ549" s="329"/>
      <c r="BB549" s="329"/>
      <c r="BD549" s="329"/>
      <c r="BF549" s="329"/>
      <c r="BH549" s="329"/>
      <c r="BJ549" s="329"/>
      <c r="BL549" s="329"/>
      <c r="BN549" s="329"/>
    </row>
    <row r="550" spans="14:66">
      <c r="N550" s="329"/>
      <c r="P550" s="329"/>
      <c r="R550" s="329"/>
      <c r="T550" s="329"/>
      <c r="V550" s="329"/>
      <c r="X550" s="329"/>
      <c r="Z550" s="329"/>
      <c r="AB550" s="329"/>
      <c r="AD550" s="329"/>
      <c r="AF550" s="329"/>
      <c r="AH550" s="329"/>
      <c r="AJ550" s="329"/>
      <c r="AL550" s="329"/>
      <c r="AN550" s="329"/>
      <c r="AP550" s="329"/>
      <c r="AR550" s="329"/>
      <c r="AT550" s="329"/>
      <c r="AV550" s="329"/>
      <c r="AX550" s="329"/>
      <c r="AZ550" s="329"/>
      <c r="BB550" s="329"/>
      <c r="BD550" s="329"/>
      <c r="BF550" s="329"/>
      <c r="BH550" s="329"/>
      <c r="BJ550" s="329"/>
      <c r="BL550" s="329"/>
      <c r="BN550" s="329"/>
    </row>
    <row r="551" spans="14:66">
      <c r="N551" s="329"/>
      <c r="P551" s="329"/>
      <c r="R551" s="329"/>
      <c r="T551" s="329"/>
      <c r="V551" s="329"/>
      <c r="X551" s="329"/>
      <c r="Z551" s="329"/>
      <c r="AB551" s="329"/>
      <c r="AD551" s="329"/>
      <c r="AF551" s="329"/>
      <c r="AH551" s="329"/>
      <c r="AJ551" s="329"/>
      <c r="AL551" s="329"/>
      <c r="AN551" s="329"/>
      <c r="AP551" s="329"/>
      <c r="AR551" s="329"/>
      <c r="AT551" s="329"/>
      <c r="AV551" s="329"/>
      <c r="AX551" s="329"/>
      <c r="AZ551" s="329"/>
      <c r="BB551" s="329"/>
      <c r="BD551" s="329"/>
      <c r="BF551" s="329"/>
      <c r="BH551" s="329"/>
      <c r="BJ551" s="329"/>
      <c r="BL551" s="329"/>
      <c r="BN551" s="329"/>
    </row>
    <row r="552" spans="14:66">
      <c r="N552" s="329"/>
      <c r="P552" s="329"/>
      <c r="R552" s="329"/>
      <c r="T552" s="329"/>
      <c r="V552" s="329"/>
      <c r="X552" s="329"/>
      <c r="Z552" s="329"/>
      <c r="AB552" s="329"/>
      <c r="AD552" s="329"/>
      <c r="AF552" s="329"/>
      <c r="AH552" s="329"/>
      <c r="AJ552" s="329"/>
      <c r="AL552" s="329"/>
      <c r="AN552" s="329"/>
      <c r="AP552" s="329"/>
      <c r="AR552" s="329"/>
      <c r="AT552" s="329"/>
      <c r="AV552" s="329"/>
      <c r="AX552" s="329"/>
      <c r="AZ552" s="329"/>
      <c r="BB552" s="329"/>
      <c r="BD552" s="329"/>
      <c r="BF552" s="329"/>
      <c r="BH552" s="329"/>
      <c r="BJ552" s="329"/>
      <c r="BL552" s="329"/>
      <c r="BN552" s="329"/>
    </row>
    <row r="553" spans="14:66">
      <c r="N553" s="329"/>
      <c r="P553" s="329"/>
      <c r="R553" s="329"/>
      <c r="T553" s="329"/>
      <c r="V553" s="329"/>
      <c r="X553" s="329"/>
      <c r="Z553" s="329"/>
      <c r="AB553" s="329"/>
      <c r="AD553" s="329"/>
      <c r="AF553" s="329"/>
      <c r="AH553" s="329"/>
      <c r="AJ553" s="329"/>
      <c r="AL553" s="329"/>
      <c r="AN553" s="329"/>
      <c r="AP553" s="329"/>
      <c r="AR553" s="329"/>
      <c r="AT553" s="329"/>
      <c r="AV553" s="329"/>
      <c r="AX553" s="329"/>
      <c r="AZ553" s="329"/>
      <c r="BB553" s="329"/>
      <c r="BD553" s="329"/>
      <c r="BF553" s="329"/>
      <c r="BH553" s="329"/>
      <c r="BJ553" s="329"/>
      <c r="BL553" s="329"/>
      <c r="BN553" s="329"/>
    </row>
    <row r="554" spans="14:66">
      <c r="N554" s="329"/>
      <c r="P554" s="329"/>
      <c r="R554" s="329"/>
      <c r="T554" s="329"/>
      <c r="V554" s="329"/>
      <c r="X554" s="329"/>
      <c r="Z554" s="329"/>
      <c r="AB554" s="329"/>
      <c r="AD554" s="329"/>
      <c r="AF554" s="329"/>
      <c r="AH554" s="329"/>
      <c r="AJ554" s="329"/>
      <c r="AL554" s="329"/>
      <c r="AN554" s="329"/>
      <c r="AP554" s="329"/>
      <c r="AR554" s="329"/>
      <c r="AT554" s="329"/>
      <c r="AV554" s="329"/>
      <c r="AX554" s="329"/>
      <c r="AZ554" s="329"/>
      <c r="BB554" s="329"/>
      <c r="BD554" s="329"/>
      <c r="BF554" s="329"/>
      <c r="BH554" s="329"/>
      <c r="BJ554" s="329"/>
      <c r="BL554" s="329"/>
      <c r="BN554" s="329"/>
    </row>
    <row r="555" spans="14:66">
      <c r="N555" s="329"/>
      <c r="P555" s="329"/>
      <c r="R555" s="329"/>
      <c r="T555" s="329"/>
      <c r="V555" s="329"/>
      <c r="X555" s="329"/>
      <c r="Z555" s="329"/>
      <c r="AB555" s="329"/>
      <c r="AD555" s="329"/>
      <c r="AF555" s="329"/>
      <c r="AH555" s="329"/>
      <c r="AJ555" s="329"/>
      <c r="AL555" s="329"/>
      <c r="AN555" s="329"/>
      <c r="AP555" s="329"/>
      <c r="AR555" s="329"/>
      <c r="AT555" s="329"/>
      <c r="AV555" s="329"/>
      <c r="AX555" s="329"/>
      <c r="AZ555" s="329"/>
      <c r="BB555" s="329"/>
      <c r="BD555" s="329"/>
      <c r="BF555" s="329"/>
      <c r="BH555" s="329"/>
      <c r="BJ555" s="329"/>
      <c r="BL555" s="329"/>
      <c r="BN555" s="329"/>
    </row>
    <row r="556" spans="14:66">
      <c r="N556" s="329"/>
      <c r="P556" s="329"/>
      <c r="R556" s="329"/>
      <c r="T556" s="329"/>
      <c r="V556" s="329"/>
      <c r="X556" s="329"/>
      <c r="Z556" s="329"/>
      <c r="AB556" s="329"/>
      <c r="AD556" s="329"/>
      <c r="AF556" s="329"/>
      <c r="AH556" s="329"/>
      <c r="AJ556" s="329"/>
      <c r="AL556" s="329"/>
      <c r="AN556" s="329"/>
      <c r="AP556" s="329"/>
      <c r="AR556" s="329"/>
      <c r="AT556" s="329"/>
      <c r="AV556" s="329"/>
      <c r="AX556" s="329"/>
      <c r="AZ556" s="329"/>
      <c r="BB556" s="329"/>
      <c r="BD556" s="329"/>
      <c r="BF556" s="329"/>
      <c r="BH556" s="329"/>
      <c r="BJ556" s="329"/>
      <c r="BL556" s="329"/>
      <c r="BN556" s="329"/>
    </row>
    <row r="557" spans="14:66">
      <c r="N557" s="329"/>
      <c r="P557" s="329"/>
      <c r="R557" s="329"/>
      <c r="T557" s="329"/>
      <c r="V557" s="329"/>
      <c r="X557" s="329"/>
      <c r="Z557" s="329"/>
      <c r="AB557" s="329"/>
      <c r="AD557" s="329"/>
      <c r="AF557" s="329"/>
      <c r="AH557" s="329"/>
      <c r="AJ557" s="329"/>
      <c r="AL557" s="329"/>
      <c r="AN557" s="329"/>
      <c r="AP557" s="329"/>
      <c r="AR557" s="329"/>
      <c r="AT557" s="329"/>
      <c r="AV557" s="329"/>
      <c r="AX557" s="329"/>
      <c r="AZ557" s="329"/>
      <c r="BB557" s="329"/>
      <c r="BD557" s="329"/>
      <c r="BF557" s="329"/>
      <c r="BH557" s="329"/>
      <c r="BJ557" s="329"/>
      <c r="BL557" s="329"/>
      <c r="BN557" s="329"/>
    </row>
    <row r="558" spans="14:66">
      <c r="N558" s="329"/>
      <c r="P558" s="329"/>
      <c r="R558" s="329"/>
      <c r="T558" s="329"/>
      <c r="V558" s="329"/>
      <c r="X558" s="329"/>
      <c r="Z558" s="329"/>
      <c r="AB558" s="329"/>
      <c r="AD558" s="329"/>
      <c r="AF558" s="329"/>
      <c r="AH558" s="329"/>
      <c r="AJ558" s="329"/>
      <c r="AL558" s="329"/>
      <c r="AN558" s="329"/>
      <c r="AP558" s="329"/>
      <c r="AR558" s="329"/>
      <c r="AT558" s="329"/>
      <c r="AV558" s="329"/>
      <c r="AX558" s="329"/>
      <c r="AZ558" s="329"/>
      <c r="BB558" s="329"/>
      <c r="BD558" s="329"/>
      <c r="BF558" s="329"/>
      <c r="BH558" s="329"/>
      <c r="BJ558" s="329"/>
      <c r="BL558" s="329"/>
      <c r="BN558" s="329"/>
    </row>
    <row r="559" spans="14:66">
      <c r="N559" s="329"/>
      <c r="P559" s="329"/>
      <c r="R559" s="329"/>
      <c r="T559" s="329"/>
      <c r="V559" s="329"/>
      <c r="X559" s="329"/>
      <c r="Z559" s="329"/>
      <c r="AB559" s="329"/>
      <c r="AD559" s="329"/>
      <c r="AF559" s="329"/>
      <c r="AH559" s="329"/>
      <c r="AJ559" s="329"/>
      <c r="AL559" s="329"/>
      <c r="AN559" s="329"/>
      <c r="AP559" s="329"/>
      <c r="AR559" s="329"/>
      <c r="AT559" s="329"/>
      <c r="AV559" s="329"/>
      <c r="AX559" s="329"/>
      <c r="AZ559" s="329"/>
      <c r="BB559" s="329"/>
      <c r="BD559" s="329"/>
      <c r="BF559" s="329"/>
      <c r="BH559" s="329"/>
      <c r="BJ559" s="329"/>
      <c r="BL559" s="329"/>
      <c r="BN559" s="329"/>
    </row>
    <row r="560" spans="14:66">
      <c r="N560" s="329"/>
      <c r="P560" s="329"/>
      <c r="R560" s="329"/>
      <c r="T560" s="329"/>
      <c r="V560" s="329"/>
      <c r="X560" s="329"/>
      <c r="Z560" s="329"/>
      <c r="AB560" s="329"/>
      <c r="AD560" s="329"/>
      <c r="AF560" s="329"/>
      <c r="AH560" s="329"/>
      <c r="AJ560" s="329"/>
      <c r="AL560" s="329"/>
      <c r="AN560" s="329"/>
      <c r="AP560" s="329"/>
      <c r="AR560" s="329"/>
      <c r="AT560" s="329"/>
      <c r="AV560" s="329"/>
      <c r="AX560" s="329"/>
      <c r="AZ560" s="329"/>
      <c r="BB560" s="329"/>
      <c r="BD560" s="329"/>
      <c r="BF560" s="329"/>
      <c r="BH560" s="329"/>
      <c r="BJ560" s="329"/>
      <c r="BL560" s="329"/>
      <c r="BN560" s="329"/>
    </row>
    <row r="561" spans="14:66">
      <c r="N561" s="329"/>
      <c r="P561" s="329"/>
      <c r="R561" s="329"/>
      <c r="T561" s="329"/>
      <c r="V561" s="329"/>
      <c r="X561" s="329"/>
      <c r="Z561" s="329"/>
      <c r="AB561" s="329"/>
      <c r="AD561" s="329"/>
      <c r="AF561" s="329"/>
      <c r="AH561" s="329"/>
      <c r="AJ561" s="329"/>
      <c r="AL561" s="329"/>
      <c r="AN561" s="329"/>
      <c r="AP561" s="329"/>
      <c r="AR561" s="329"/>
      <c r="AT561" s="329"/>
      <c r="AV561" s="329"/>
      <c r="AX561" s="329"/>
      <c r="AZ561" s="329"/>
      <c r="BB561" s="329"/>
      <c r="BD561" s="329"/>
      <c r="BF561" s="329"/>
      <c r="BH561" s="329"/>
      <c r="BJ561" s="329"/>
      <c r="BL561" s="329"/>
      <c r="BN561" s="329"/>
    </row>
    <row r="562" spans="14:66">
      <c r="N562" s="329"/>
      <c r="P562" s="329"/>
      <c r="R562" s="329"/>
      <c r="T562" s="329"/>
      <c r="V562" s="329"/>
      <c r="X562" s="329"/>
      <c r="Z562" s="329"/>
      <c r="AB562" s="329"/>
      <c r="AD562" s="329"/>
      <c r="AF562" s="329"/>
      <c r="AH562" s="329"/>
      <c r="AJ562" s="329"/>
      <c r="AL562" s="329"/>
      <c r="AN562" s="329"/>
      <c r="AP562" s="329"/>
      <c r="AR562" s="329"/>
      <c r="AT562" s="329"/>
      <c r="AV562" s="329"/>
      <c r="AX562" s="329"/>
      <c r="AZ562" s="329"/>
      <c r="BB562" s="329"/>
      <c r="BD562" s="329"/>
      <c r="BF562" s="329"/>
      <c r="BH562" s="329"/>
      <c r="BJ562" s="329"/>
      <c r="BL562" s="329"/>
      <c r="BN562" s="329"/>
    </row>
    <row r="563" spans="14:66">
      <c r="N563" s="329"/>
      <c r="P563" s="329"/>
      <c r="R563" s="329"/>
      <c r="T563" s="329"/>
      <c r="V563" s="329"/>
      <c r="X563" s="329"/>
      <c r="Z563" s="329"/>
      <c r="AB563" s="329"/>
      <c r="AD563" s="329"/>
      <c r="AF563" s="329"/>
      <c r="AH563" s="329"/>
      <c r="AJ563" s="329"/>
      <c r="AL563" s="329"/>
      <c r="AN563" s="329"/>
      <c r="AP563" s="329"/>
      <c r="AR563" s="329"/>
      <c r="AT563" s="329"/>
      <c r="AV563" s="329"/>
      <c r="AX563" s="329"/>
      <c r="AZ563" s="329"/>
      <c r="BB563" s="329"/>
      <c r="BD563" s="329"/>
      <c r="BF563" s="329"/>
      <c r="BH563" s="329"/>
      <c r="BJ563" s="329"/>
      <c r="BL563" s="329"/>
      <c r="BN563" s="329"/>
    </row>
    <row r="564" spans="14:66">
      <c r="N564" s="329"/>
      <c r="P564" s="329"/>
      <c r="R564" s="329"/>
      <c r="T564" s="329"/>
      <c r="V564" s="329"/>
      <c r="X564" s="329"/>
      <c r="Z564" s="329"/>
      <c r="AB564" s="329"/>
      <c r="AD564" s="329"/>
      <c r="AF564" s="329"/>
      <c r="AH564" s="329"/>
      <c r="AJ564" s="329"/>
      <c r="AL564" s="329"/>
      <c r="AN564" s="329"/>
      <c r="AP564" s="329"/>
      <c r="AR564" s="329"/>
      <c r="AT564" s="329"/>
      <c r="AV564" s="329"/>
      <c r="AX564" s="329"/>
      <c r="AZ564" s="329"/>
      <c r="BB564" s="329"/>
      <c r="BD564" s="329"/>
      <c r="BF564" s="329"/>
      <c r="BH564" s="329"/>
      <c r="BJ564" s="329"/>
      <c r="BL564" s="329"/>
      <c r="BN564" s="329"/>
    </row>
    <row r="565" spans="14:66">
      <c r="N565" s="329"/>
      <c r="P565" s="329"/>
      <c r="R565" s="329"/>
      <c r="T565" s="329"/>
      <c r="V565" s="329"/>
      <c r="X565" s="329"/>
      <c r="Z565" s="329"/>
      <c r="AB565" s="329"/>
      <c r="AD565" s="329"/>
      <c r="AF565" s="329"/>
      <c r="AH565" s="329"/>
      <c r="AJ565" s="329"/>
      <c r="AL565" s="329"/>
      <c r="AN565" s="329"/>
      <c r="AP565" s="329"/>
      <c r="AR565" s="329"/>
      <c r="AT565" s="329"/>
      <c r="AV565" s="329"/>
      <c r="AX565" s="329"/>
      <c r="AZ565" s="329"/>
      <c r="BB565" s="329"/>
      <c r="BD565" s="329"/>
      <c r="BF565" s="329"/>
      <c r="BH565" s="329"/>
      <c r="BJ565" s="329"/>
      <c r="BL565" s="329"/>
      <c r="BN565" s="329"/>
    </row>
    <row r="566" spans="14:66">
      <c r="N566" s="329"/>
      <c r="P566" s="329"/>
      <c r="R566" s="329"/>
      <c r="T566" s="329"/>
      <c r="V566" s="329"/>
      <c r="X566" s="329"/>
      <c r="Z566" s="329"/>
      <c r="AB566" s="329"/>
      <c r="AD566" s="329"/>
      <c r="AF566" s="329"/>
      <c r="AH566" s="329"/>
      <c r="AJ566" s="329"/>
      <c r="AL566" s="329"/>
      <c r="AN566" s="329"/>
      <c r="AP566" s="329"/>
      <c r="AR566" s="329"/>
      <c r="AT566" s="329"/>
      <c r="AV566" s="329"/>
      <c r="AX566" s="329"/>
      <c r="AZ566" s="329"/>
      <c r="BB566" s="329"/>
      <c r="BD566" s="329"/>
      <c r="BF566" s="329"/>
      <c r="BH566" s="329"/>
      <c r="BJ566" s="329"/>
      <c r="BL566" s="329"/>
      <c r="BN566" s="329"/>
    </row>
    <row r="567" spans="14:66">
      <c r="N567" s="329"/>
      <c r="P567" s="329"/>
      <c r="R567" s="329"/>
      <c r="T567" s="329"/>
      <c r="V567" s="329"/>
      <c r="X567" s="329"/>
      <c r="Z567" s="329"/>
      <c r="AB567" s="329"/>
      <c r="AD567" s="329"/>
      <c r="AF567" s="329"/>
      <c r="AH567" s="329"/>
      <c r="AJ567" s="329"/>
      <c r="AL567" s="329"/>
      <c r="AN567" s="329"/>
      <c r="AP567" s="329"/>
      <c r="AR567" s="329"/>
      <c r="AT567" s="329"/>
      <c r="AV567" s="329"/>
      <c r="AX567" s="329"/>
      <c r="AZ567" s="329"/>
      <c r="BB567" s="329"/>
      <c r="BD567" s="329"/>
      <c r="BF567" s="329"/>
      <c r="BH567" s="329"/>
      <c r="BJ567" s="329"/>
      <c r="BL567" s="329"/>
      <c r="BN567" s="329"/>
    </row>
    <row r="568" spans="14:66">
      <c r="N568" s="329"/>
      <c r="P568" s="329"/>
      <c r="R568" s="329"/>
      <c r="T568" s="329"/>
      <c r="V568" s="329"/>
      <c r="X568" s="329"/>
      <c r="Z568" s="329"/>
      <c r="AB568" s="329"/>
      <c r="AD568" s="329"/>
      <c r="AF568" s="329"/>
      <c r="AH568" s="329"/>
      <c r="AJ568" s="329"/>
      <c r="AL568" s="329"/>
      <c r="AN568" s="329"/>
      <c r="AP568" s="329"/>
      <c r="AR568" s="329"/>
      <c r="AT568" s="329"/>
      <c r="AV568" s="329"/>
      <c r="AX568" s="329"/>
      <c r="AZ568" s="329"/>
      <c r="BB568" s="329"/>
      <c r="BD568" s="329"/>
      <c r="BF568" s="329"/>
      <c r="BH568" s="329"/>
      <c r="BJ568" s="329"/>
      <c r="BL568" s="329"/>
      <c r="BN568" s="329"/>
    </row>
    <row r="569" spans="14:66">
      <c r="N569" s="329"/>
      <c r="P569" s="329"/>
      <c r="R569" s="329"/>
      <c r="T569" s="329"/>
      <c r="V569" s="329"/>
      <c r="X569" s="329"/>
      <c r="Z569" s="329"/>
      <c r="AB569" s="329"/>
      <c r="AD569" s="329"/>
      <c r="AF569" s="329"/>
      <c r="AH569" s="329"/>
      <c r="AJ569" s="329"/>
      <c r="AL569" s="329"/>
      <c r="AN569" s="329"/>
      <c r="AP569" s="329"/>
      <c r="AR569" s="329"/>
      <c r="AT569" s="329"/>
      <c r="AV569" s="329"/>
      <c r="AX569" s="329"/>
      <c r="AZ569" s="329"/>
      <c r="BB569" s="329"/>
      <c r="BD569" s="329"/>
      <c r="BF569" s="329"/>
      <c r="BH569" s="329"/>
      <c r="BJ569" s="329"/>
      <c r="BL569" s="329"/>
      <c r="BN569" s="329"/>
    </row>
    <row r="570" spans="14:66">
      <c r="N570" s="329"/>
      <c r="P570" s="329"/>
      <c r="R570" s="329"/>
      <c r="T570" s="329"/>
      <c r="V570" s="329"/>
      <c r="X570" s="329"/>
      <c r="Z570" s="329"/>
      <c r="AB570" s="329"/>
      <c r="AD570" s="329"/>
      <c r="AF570" s="329"/>
      <c r="AH570" s="329"/>
      <c r="AJ570" s="329"/>
      <c r="AL570" s="329"/>
      <c r="AN570" s="329"/>
      <c r="AP570" s="329"/>
      <c r="AR570" s="329"/>
      <c r="AT570" s="329"/>
      <c r="AV570" s="329"/>
      <c r="AX570" s="329"/>
      <c r="AZ570" s="329"/>
      <c r="BB570" s="329"/>
      <c r="BD570" s="329"/>
      <c r="BF570" s="329"/>
      <c r="BH570" s="329"/>
      <c r="BJ570" s="329"/>
      <c r="BL570" s="329"/>
      <c r="BN570" s="329"/>
    </row>
    <row r="571" spans="14:66">
      <c r="N571" s="329"/>
      <c r="P571" s="329"/>
      <c r="R571" s="329"/>
      <c r="T571" s="329"/>
      <c r="V571" s="329"/>
      <c r="X571" s="329"/>
      <c r="Z571" s="329"/>
      <c r="AB571" s="329"/>
      <c r="AD571" s="329"/>
      <c r="AF571" s="329"/>
      <c r="AH571" s="329"/>
      <c r="AJ571" s="329"/>
      <c r="AL571" s="329"/>
      <c r="AN571" s="329"/>
      <c r="AP571" s="329"/>
      <c r="AR571" s="329"/>
      <c r="AT571" s="329"/>
      <c r="AV571" s="329"/>
      <c r="AX571" s="329"/>
      <c r="AZ571" s="329"/>
      <c r="BB571" s="329"/>
      <c r="BD571" s="329"/>
      <c r="BF571" s="329"/>
      <c r="BH571" s="329"/>
      <c r="BJ571" s="329"/>
      <c r="BL571" s="329"/>
      <c r="BN571" s="329"/>
    </row>
    <row r="572" spans="14:66">
      <c r="N572" s="329"/>
      <c r="P572" s="329"/>
      <c r="R572" s="329"/>
      <c r="T572" s="329"/>
      <c r="V572" s="329"/>
      <c r="X572" s="329"/>
      <c r="Z572" s="329"/>
      <c r="AB572" s="329"/>
      <c r="AD572" s="329"/>
      <c r="AF572" s="329"/>
      <c r="AH572" s="329"/>
      <c r="AJ572" s="329"/>
      <c r="AL572" s="329"/>
      <c r="AN572" s="329"/>
      <c r="AP572" s="329"/>
      <c r="AR572" s="329"/>
      <c r="AT572" s="329"/>
      <c r="AV572" s="329"/>
      <c r="AX572" s="329"/>
      <c r="AZ572" s="329"/>
      <c r="BB572" s="329"/>
      <c r="BD572" s="329"/>
      <c r="BF572" s="329"/>
      <c r="BH572" s="329"/>
      <c r="BJ572" s="329"/>
      <c r="BL572" s="329"/>
      <c r="BN572" s="329"/>
    </row>
    <row r="573" spans="14:66">
      <c r="N573" s="329"/>
      <c r="P573" s="329"/>
      <c r="R573" s="329"/>
      <c r="T573" s="329"/>
      <c r="V573" s="329"/>
      <c r="X573" s="329"/>
      <c r="Z573" s="329"/>
      <c r="AB573" s="329"/>
      <c r="AD573" s="329"/>
      <c r="AF573" s="329"/>
      <c r="AH573" s="329"/>
      <c r="AJ573" s="329"/>
      <c r="AL573" s="329"/>
      <c r="AN573" s="329"/>
      <c r="AP573" s="329"/>
      <c r="AR573" s="329"/>
      <c r="AT573" s="329"/>
      <c r="AV573" s="329"/>
      <c r="AX573" s="329"/>
      <c r="AZ573" s="329"/>
      <c r="BB573" s="329"/>
      <c r="BD573" s="329"/>
      <c r="BF573" s="329"/>
      <c r="BH573" s="329"/>
      <c r="BJ573" s="329"/>
      <c r="BL573" s="329"/>
      <c r="BN573" s="329"/>
    </row>
    <row r="574" spans="14:66">
      <c r="N574" s="329"/>
      <c r="P574" s="329"/>
      <c r="R574" s="329"/>
      <c r="T574" s="329"/>
      <c r="V574" s="329"/>
      <c r="X574" s="329"/>
      <c r="Z574" s="329"/>
      <c r="AB574" s="329"/>
      <c r="AD574" s="329"/>
      <c r="AF574" s="329"/>
      <c r="AH574" s="329"/>
      <c r="AJ574" s="329"/>
      <c r="AL574" s="329"/>
      <c r="AN574" s="329"/>
      <c r="AP574" s="329"/>
      <c r="AR574" s="329"/>
      <c r="AT574" s="329"/>
      <c r="AV574" s="329"/>
      <c r="AX574" s="329"/>
      <c r="AZ574" s="329"/>
      <c r="BB574" s="329"/>
      <c r="BD574" s="329"/>
      <c r="BF574" s="329"/>
      <c r="BH574" s="329"/>
      <c r="BJ574" s="329"/>
      <c r="BL574" s="329"/>
      <c r="BN574" s="329"/>
    </row>
    <row r="575" spans="14:66">
      <c r="N575" s="329"/>
      <c r="P575" s="329"/>
      <c r="R575" s="329"/>
      <c r="T575" s="329"/>
      <c r="V575" s="329"/>
      <c r="X575" s="329"/>
      <c r="Z575" s="329"/>
      <c r="AB575" s="329"/>
      <c r="AD575" s="329"/>
      <c r="AF575" s="329"/>
      <c r="AH575" s="329"/>
      <c r="AJ575" s="329"/>
      <c r="AL575" s="329"/>
      <c r="AN575" s="329"/>
      <c r="AP575" s="329"/>
      <c r="AR575" s="329"/>
      <c r="AT575" s="329"/>
      <c r="AV575" s="329"/>
      <c r="AX575" s="329"/>
      <c r="AZ575" s="329"/>
      <c r="BB575" s="329"/>
      <c r="BD575" s="329"/>
      <c r="BF575" s="329"/>
      <c r="BH575" s="329"/>
      <c r="BJ575" s="329"/>
      <c r="BL575" s="329"/>
      <c r="BN575" s="329"/>
    </row>
    <row r="576" spans="14:66">
      <c r="N576" s="329"/>
      <c r="P576" s="329"/>
      <c r="R576" s="329"/>
      <c r="T576" s="329"/>
      <c r="V576" s="329"/>
      <c r="X576" s="329"/>
      <c r="Z576" s="329"/>
      <c r="AB576" s="329"/>
      <c r="AD576" s="329"/>
      <c r="AF576" s="329"/>
      <c r="AH576" s="329"/>
      <c r="AJ576" s="329"/>
      <c r="AL576" s="329"/>
      <c r="AN576" s="329"/>
      <c r="AP576" s="329"/>
      <c r="AR576" s="329"/>
      <c r="AT576" s="329"/>
      <c r="AV576" s="329"/>
      <c r="AX576" s="329"/>
      <c r="AZ576" s="329"/>
      <c r="BB576" s="329"/>
      <c r="BD576" s="329"/>
      <c r="BF576" s="329"/>
      <c r="BH576" s="329"/>
      <c r="BJ576" s="329"/>
      <c r="BL576" s="329"/>
      <c r="BN576" s="329"/>
    </row>
    <row r="577" spans="14:66">
      <c r="N577" s="329"/>
      <c r="P577" s="329"/>
      <c r="R577" s="329"/>
      <c r="T577" s="329"/>
      <c r="V577" s="329"/>
      <c r="X577" s="329"/>
      <c r="Z577" s="329"/>
      <c r="AB577" s="329"/>
      <c r="AD577" s="329"/>
      <c r="AF577" s="329"/>
      <c r="AH577" s="329"/>
      <c r="AJ577" s="329"/>
      <c r="AL577" s="329"/>
      <c r="AN577" s="329"/>
      <c r="AP577" s="329"/>
      <c r="AR577" s="329"/>
      <c r="AT577" s="329"/>
      <c r="AV577" s="329"/>
      <c r="AX577" s="329"/>
      <c r="AZ577" s="329"/>
      <c r="BB577" s="329"/>
      <c r="BD577" s="329"/>
      <c r="BF577" s="329"/>
      <c r="BH577" s="329"/>
      <c r="BJ577" s="329"/>
      <c r="BL577" s="329"/>
      <c r="BN577" s="329"/>
    </row>
    <row r="578" spans="14:66">
      <c r="N578" s="329"/>
      <c r="P578" s="329"/>
      <c r="R578" s="329"/>
      <c r="T578" s="329"/>
      <c r="V578" s="329"/>
      <c r="X578" s="329"/>
      <c r="Z578" s="329"/>
      <c r="AB578" s="329"/>
      <c r="AD578" s="329"/>
      <c r="AF578" s="329"/>
      <c r="AH578" s="329"/>
      <c r="AJ578" s="329"/>
      <c r="AL578" s="329"/>
      <c r="AN578" s="329"/>
      <c r="AP578" s="329"/>
      <c r="AR578" s="329"/>
      <c r="AT578" s="329"/>
      <c r="AV578" s="329"/>
      <c r="AX578" s="329"/>
      <c r="AZ578" s="329"/>
      <c r="BB578" s="329"/>
      <c r="BD578" s="329"/>
      <c r="BF578" s="329"/>
      <c r="BH578" s="329"/>
      <c r="BJ578" s="329"/>
      <c r="BL578" s="329"/>
      <c r="BN578" s="329"/>
    </row>
    <row r="579" spans="14:66">
      <c r="N579" s="329"/>
      <c r="P579" s="329"/>
      <c r="R579" s="329"/>
      <c r="T579" s="329"/>
      <c r="V579" s="329"/>
      <c r="X579" s="329"/>
      <c r="Z579" s="329"/>
      <c r="AB579" s="329"/>
      <c r="AD579" s="329"/>
      <c r="AF579" s="329"/>
      <c r="AH579" s="329"/>
      <c r="AJ579" s="329"/>
      <c r="AL579" s="329"/>
      <c r="AN579" s="329"/>
      <c r="AP579" s="329"/>
      <c r="AR579" s="329"/>
      <c r="AT579" s="329"/>
      <c r="AV579" s="329"/>
      <c r="AX579" s="329"/>
      <c r="AZ579" s="329"/>
      <c r="BB579" s="329"/>
      <c r="BD579" s="329"/>
      <c r="BF579" s="329"/>
      <c r="BH579" s="329"/>
      <c r="BJ579" s="329"/>
      <c r="BL579" s="329"/>
      <c r="BN579" s="329"/>
    </row>
    <row r="580" spans="14:66">
      <c r="N580" s="329"/>
      <c r="P580" s="329"/>
      <c r="R580" s="329"/>
      <c r="T580" s="329"/>
      <c r="V580" s="329"/>
      <c r="X580" s="329"/>
      <c r="Z580" s="329"/>
      <c r="AB580" s="329"/>
      <c r="AD580" s="329"/>
      <c r="AF580" s="329"/>
      <c r="AH580" s="329"/>
      <c r="AJ580" s="329"/>
      <c r="AL580" s="329"/>
      <c r="AN580" s="329"/>
      <c r="AP580" s="329"/>
      <c r="AR580" s="329"/>
      <c r="AT580" s="329"/>
      <c r="AV580" s="329"/>
      <c r="AX580" s="329"/>
      <c r="AZ580" s="329"/>
      <c r="BB580" s="329"/>
      <c r="BD580" s="329"/>
      <c r="BF580" s="329"/>
      <c r="BH580" s="329"/>
      <c r="BJ580" s="329"/>
      <c r="BL580" s="329"/>
      <c r="BN580" s="329"/>
    </row>
    <row r="581" spans="14:66">
      <c r="N581" s="329"/>
      <c r="P581" s="329"/>
      <c r="R581" s="329"/>
      <c r="T581" s="329"/>
      <c r="V581" s="329"/>
      <c r="X581" s="329"/>
      <c r="Z581" s="329"/>
      <c r="AB581" s="329"/>
      <c r="AD581" s="329"/>
      <c r="AF581" s="329"/>
      <c r="AH581" s="329"/>
      <c r="AJ581" s="329"/>
      <c r="AL581" s="329"/>
      <c r="AN581" s="329"/>
      <c r="AP581" s="329"/>
      <c r="AR581" s="329"/>
      <c r="AT581" s="329"/>
      <c r="AV581" s="329"/>
      <c r="AX581" s="329"/>
      <c r="AZ581" s="329"/>
      <c r="BB581" s="329"/>
      <c r="BD581" s="329"/>
      <c r="BF581" s="329"/>
      <c r="BH581" s="329"/>
      <c r="BJ581" s="329"/>
      <c r="BL581" s="329"/>
      <c r="BN581" s="329"/>
    </row>
    <row r="582" spans="14:66">
      <c r="N582" s="329"/>
      <c r="P582" s="329"/>
      <c r="R582" s="329"/>
      <c r="T582" s="329"/>
      <c r="V582" s="329"/>
      <c r="X582" s="329"/>
      <c r="Z582" s="329"/>
      <c r="AB582" s="329"/>
      <c r="AD582" s="329"/>
      <c r="AF582" s="329"/>
      <c r="AH582" s="329"/>
      <c r="AJ582" s="329"/>
      <c r="AL582" s="329"/>
      <c r="AN582" s="329"/>
      <c r="AP582" s="329"/>
      <c r="AR582" s="329"/>
      <c r="AT582" s="329"/>
      <c r="AV582" s="329"/>
      <c r="AX582" s="329"/>
      <c r="AZ582" s="329"/>
      <c r="BB582" s="329"/>
      <c r="BD582" s="329"/>
      <c r="BF582" s="329"/>
      <c r="BH582" s="329"/>
      <c r="BJ582" s="329"/>
      <c r="BL582" s="329"/>
      <c r="BN582" s="329"/>
    </row>
    <row r="583" spans="14:66">
      <c r="N583" s="329"/>
      <c r="P583" s="329"/>
      <c r="R583" s="329"/>
      <c r="T583" s="329"/>
      <c r="V583" s="329"/>
      <c r="X583" s="329"/>
      <c r="Z583" s="329"/>
      <c r="AB583" s="329"/>
      <c r="AD583" s="329"/>
      <c r="AF583" s="329"/>
      <c r="AH583" s="329"/>
      <c r="AJ583" s="329"/>
      <c r="AL583" s="329"/>
      <c r="AN583" s="329"/>
      <c r="AP583" s="329"/>
      <c r="AR583" s="329"/>
      <c r="AT583" s="329"/>
      <c r="AV583" s="329"/>
      <c r="AX583" s="329"/>
      <c r="AZ583" s="329"/>
      <c r="BB583" s="329"/>
      <c r="BD583" s="329"/>
      <c r="BF583" s="329"/>
      <c r="BH583" s="329"/>
      <c r="BJ583" s="329"/>
      <c r="BL583" s="329"/>
      <c r="BN583" s="329"/>
    </row>
    <row r="584" spans="14:66">
      <c r="N584" s="329"/>
      <c r="P584" s="329"/>
      <c r="R584" s="329"/>
      <c r="T584" s="329"/>
      <c r="V584" s="329"/>
      <c r="X584" s="329"/>
      <c r="Z584" s="329"/>
      <c r="AB584" s="329"/>
      <c r="AD584" s="329"/>
      <c r="AF584" s="329"/>
      <c r="AH584" s="329"/>
      <c r="AJ584" s="329"/>
      <c r="AL584" s="329"/>
      <c r="AN584" s="329"/>
      <c r="AP584" s="329"/>
      <c r="AR584" s="329"/>
      <c r="AT584" s="329"/>
      <c r="AV584" s="329"/>
      <c r="AX584" s="329"/>
      <c r="AZ584" s="329"/>
      <c r="BB584" s="329"/>
      <c r="BD584" s="329"/>
      <c r="BF584" s="329"/>
      <c r="BH584" s="329"/>
      <c r="BJ584" s="329"/>
      <c r="BL584" s="329"/>
      <c r="BN584" s="329"/>
    </row>
    <row r="585" spans="14:66">
      <c r="N585" s="329"/>
      <c r="P585" s="329"/>
      <c r="R585" s="329"/>
      <c r="T585" s="329"/>
      <c r="V585" s="329"/>
      <c r="X585" s="329"/>
      <c r="Z585" s="329"/>
      <c r="AB585" s="329"/>
      <c r="AD585" s="329"/>
      <c r="AF585" s="329"/>
      <c r="AH585" s="329"/>
      <c r="AJ585" s="329"/>
      <c r="AL585" s="329"/>
      <c r="AN585" s="329"/>
      <c r="AP585" s="329"/>
      <c r="AR585" s="329"/>
      <c r="AT585" s="329"/>
      <c r="AV585" s="329"/>
      <c r="AX585" s="329"/>
      <c r="AZ585" s="329"/>
      <c r="BB585" s="329"/>
      <c r="BD585" s="329"/>
      <c r="BF585" s="329"/>
      <c r="BH585" s="329"/>
      <c r="BJ585" s="329"/>
      <c r="BL585" s="329"/>
      <c r="BN585" s="329"/>
    </row>
    <row r="586" spans="14:66">
      <c r="N586" s="329"/>
      <c r="P586" s="329"/>
      <c r="R586" s="329"/>
      <c r="T586" s="329"/>
      <c r="V586" s="329"/>
      <c r="X586" s="329"/>
      <c r="Z586" s="329"/>
      <c r="AB586" s="329"/>
      <c r="AD586" s="329"/>
      <c r="AF586" s="329"/>
      <c r="AH586" s="329"/>
      <c r="AJ586" s="329"/>
      <c r="AL586" s="329"/>
      <c r="AN586" s="329"/>
      <c r="AP586" s="329"/>
      <c r="AR586" s="329"/>
      <c r="AT586" s="329"/>
      <c r="AV586" s="329"/>
      <c r="AX586" s="329"/>
      <c r="AZ586" s="329"/>
      <c r="BB586" s="329"/>
      <c r="BD586" s="329"/>
      <c r="BF586" s="329"/>
      <c r="BH586" s="329"/>
      <c r="BJ586" s="329"/>
      <c r="BL586" s="329"/>
      <c r="BN586" s="329"/>
    </row>
    <row r="587" spans="14:66">
      <c r="N587" s="329"/>
      <c r="P587" s="329"/>
      <c r="R587" s="329"/>
      <c r="T587" s="329"/>
      <c r="V587" s="329"/>
      <c r="X587" s="329"/>
      <c r="Z587" s="329"/>
      <c r="AB587" s="329"/>
      <c r="AD587" s="329"/>
      <c r="AF587" s="329"/>
      <c r="AH587" s="329"/>
      <c r="AJ587" s="329"/>
      <c r="AL587" s="329"/>
      <c r="AN587" s="329"/>
      <c r="AP587" s="329"/>
      <c r="AR587" s="329"/>
      <c r="AT587" s="329"/>
      <c r="AV587" s="329"/>
      <c r="AX587" s="329"/>
      <c r="AZ587" s="329"/>
      <c r="BB587" s="329"/>
      <c r="BD587" s="329"/>
      <c r="BF587" s="329"/>
      <c r="BH587" s="329"/>
      <c r="BJ587" s="329"/>
      <c r="BL587" s="329"/>
      <c r="BN587" s="329"/>
    </row>
    <row r="588" spans="14:66">
      <c r="N588" s="329"/>
      <c r="P588" s="329"/>
      <c r="R588" s="329"/>
      <c r="T588" s="329"/>
      <c r="V588" s="329"/>
      <c r="X588" s="329"/>
      <c r="Z588" s="329"/>
      <c r="AB588" s="329"/>
      <c r="AD588" s="329"/>
      <c r="AF588" s="329"/>
      <c r="AH588" s="329"/>
      <c r="AJ588" s="329"/>
      <c r="AL588" s="329"/>
      <c r="AN588" s="329"/>
      <c r="AP588" s="329"/>
      <c r="AR588" s="329"/>
      <c r="AT588" s="329"/>
      <c r="AV588" s="329"/>
      <c r="AX588" s="329"/>
      <c r="AZ588" s="329"/>
      <c r="BB588" s="329"/>
      <c r="BD588" s="329"/>
      <c r="BF588" s="329"/>
      <c r="BH588" s="329"/>
      <c r="BJ588" s="329"/>
      <c r="BL588" s="329"/>
      <c r="BN588" s="329"/>
    </row>
    <row r="589" spans="14:66">
      <c r="N589" s="329"/>
      <c r="P589" s="329"/>
      <c r="R589" s="329"/>
      <c r="T589" s="329"/>
      <c r="V589" s="329"/>
      <c r="X589" s="329"/>
      <c r="Z589" s="329"/>
      <c r="AB589" s="329"/>
      <c r="AD589" s="329"/>
      <c r="AF589" s="329"/>
      <c r="AH589" s="329"/>
      <c r="AJ589" s="329"/>
      <c r="AL589" s="329"/>
      <c r="AN589" s="329"/>
      <c r="AP589" s="329"/>
      <c r="AR589" s="329"/>
      <c r="AT589" s="329"/>
      <c r="AV589" s="329"/>
      <c r="AX589" s="329"/>
      <c r="AZ589" s="329"/>
      <c r="BB589" s="329"/>
      <c r="BD589" s="329"/>
      <c r="BF589" s="329"/>
      <c r="BH589" s="329"/>
      <c r="BJ589" s="329"/>
      <c r="BL589" s="329"/>
      <c r="BN589" s="329"/>
    </row>
    <row r="590" spans="14:66">
      <c r="N590" s="329"/>
      <c r="P590" s="329"/>
      <c r="R590" s="329"/>
      <c r="T590" s="329"/>
      <c r="V590" s="329"/>
      <c r="X590" s="329"/>
      <c r="Z590" s="329"/>
      <c r="AB590" s="329"/>
      <c r="AD590" s="329"/>
      <c r="AF590" s="329"/>
      <c r="AH590" s="329"/>
      <c r="AJ590" s="329"/>
      <c r="AL590" s="329"/>
      <c r="AN590" s="329"/>
      <c r="AP590" s="329"/>
      <c r="AR590" s="329"/>
      <c r="AT590" s="329"/>
      <c r="AV590" s="329"/>
      <c r="AX590" s="329"/>
      <c r="AZ590" s="329"/>
      <c r="BB590" s="329"/>
      <c r="BD590" s="329"/>
      <c r="BF590" s="329"/>
      <c r="BH590" s="329"/>
      <c r="BJ590" s="329"/>
      <c r="BL590" s="329"/>
      <c r="BN590" s="329"/>
    </row>
    <row r="591" spans="14:66">
      <c r="N591" s="329"/>
      <c r="P591" s="329"/>
      <c r="R591" s="329"/>
      <c r="T591" s="329"/>
      <c r="V591" s="329"/>
      <c r="X591" s="329"/>
      <c r="Z591" s="329"/>
      <c r="AB591" s="329"/>
      <c r="AD591" s="329"/>
      <c r="AF591" s="329"/>
      <c r="AH591" s="329"/>
      <c r="AJ591" s="329"/>
      <c r="AL591" s="329"/>
      <c r="AN591" s="329"/>
      <c r="AP591" s="329"/>
      <c r="AR591" s="329"/>
      <c r="AT591" s="329"/>
      <c r="AV591" s="329"/>
      <c r="AX591" s="329"/>
      <c r="AZ591" s="329"/>
      <c r="BB591" s="329"/>
      <c r="BD591" s="329"/>
      <c r="BF591" s="329"/>
      <c r="BH591" s="329"/>
      <c r="BJ591" s="329"/>
      <c r="BL591" s="329"/>
      <c r="BN591" s="329"/>
    </row>
    <row r="592" spans="14:66">
      <c r="N592" s="329"/>
      <c r="P592" s="329"/>
      <c r="R592" s="329"/>
      <c r="T592" s="329"/>
      <c r="V592" s="329"/>
      <c r="X592" s="329"/>
      <c r="Z592" s="329"/>
      <c r="AB592" s="329"/>
      <c r="AD592" s="329"/>
      <c r="AF592" s="329"/>
      <c r="AH592" s="329"/>
      <c r="AJ592" s="329"/>
      <c r="AL592" s="329"/>
      <c r="AN592" s="329"/>
      <c r="AP592" s="329"/>
      <c r="AR592" s="329"/>
      <c r="AT592" s="329"/>
      <c r="AV592" s="329"/>
      <c r="AX592" s="329"/>
      <c r="AZ592" s="329"/>
      <c r="BB592" s="329"/>
      <c r="BD592" s="329"/>
      <c r="BF592" s="329"/>
      <c r="BH592" s="329"/>
      <c r="BJ592" s="329"/>
      <c r="BL592" s="329"/>
      <c r="BN592" s="329"/>
    </row>
    <row r="593" spans="14:66">
      <c r="N593" s="329"/>
      <c r="P593" s="329"/>
      <c r="R593" s="329"/>
      <c r="T593" s="329"/>
      <c r="V593" s="329"/>
      <c r="X593" s="329"/>
      <c r="Z593" s="329"/>
      <c r="AB593" s="329"/>
      <c r="AD593" s="329"/>
      <c r="AF593" s="329"/>
      <c r="AH593" s="329"/>
      <c r="AJ593" s="329"/>
      <c r="AL593" s="329"/>
      <c r="AN593" s="329"/>
      <c r="AP593" s="329"/>
      <c r="AR593" s="329"/>
      <c r="AT593" s="329"/>
      <c r="AV593" s="329"/>
      <c r="AX593" s="329"/>
      <c r="AZ593" s="329"/>
      <c r="BB593" s="329"/>
      <c r="BD593" s="329"/>
      <c r="BF593" s="329"/>
      <c r="BH593" s="329"/>
      <c r="BJ593" s="329"/>
      <c r="BL593" s="329"/>
      <c r="BN593" s="329"/>
    </row>
    <row r="594" spans="14:66">
      <c r="N594" s="329"/>
      <c r="P594" s="329"/>
      <c r="R594" s="329"/>
      <c r="T594" s="329"/>
      <c r="V594" s="329"/>
      <c r="X594" s="329"/>
      <c r="Z594" s="329"/>
      <c r="AB594" s="329"/>
      <c r="AD594" s="329"/>
      <c r="AF594" s="329"/>
      <c r="AH594" s="329"/>
      <c r="AJ594" s="329"/>
      <c r="AL594" s="329"/>
      <c r="AN594" s="329"/>
      <c r="AP594" s="329"/>
      <c r="AR594" s="329"/>
      <c r="AT594" s="329"/>
      <c r="AV594" s="329"/>
      <c r="AX594" s="329"/>
      <c r="AZ594" s="329"/>
      <c r="BB594" s="329"/>
      <c r="BD594" s="329"/>
      <c r="BF594" s="329"/>
      <c r="BH594" s="329"/>
      <c r="BJ594" s="329"/>
      <c r="BL594" s="329"/>
      <c r="BN594" s="329"/>
    </row>
    <row r="595" spans="14:66">
      <c r="N595" s="329"/>
      <c r="P595" s="329"/>
      <c r="R595" s="329"/>
      <c r="T595" s="329"/>
      <c r="V595" s="329"/>
      <c r="X595" s="329"/>
      <c r="Z595" s="329"/>
      <c r="AB595" s="329"/>
      <c r="AD595" s="329"/>
      <c r="AF595" s="329"/>
      <c r="AH595" s="329"/>
      <c r="AJ595" s="329"/>
      <c r="AL595" s="329"/>
      <c r="AN595" s="329"/>
      <c r="AP595" s="329"/>
      <c r="AR595" s="329"/>
      <c r="AT595" s="329"/>
      <c r="AV595" s="329"/>
      <c r="AX595" s="329"/>
      <c r="AZ595" s="329"/>
      <c r="BB595" s="329"/>
      <c r="BD595" s="329"/>
      <c r="BF595" s="329"/>
      <c r="BH595" s="329"/>
      <c r="BJ595" s="329"/>
      <c r="BL595" s="329"/>
      <c r="BN595" s="329"/>
    </row>
    <row r="596" spans="14:66">
      <c r="N596" s="329"/>
      <c r="P596" s="329"/>
      <c r="R596" s="329"/>
      <c r="T596" s="329"/>
      <c r="V596" s="329"/>
      <c r="X596" s="329"/>
      <c r="Z596" s="329"/>
      <c r="AB596" s="329"/>
      <c r="AD596" s="329"/>
      <c r="AF596" s="329"/>
      <c r="AH596" s="329"/>
      <c r="AJ596" s="329"/>
      <c r="AL596" s="329"/>
      <c r="AN596" s="329"/>
      <c r="AP596" s="329"/>
      <c r="AR596" s="329"/>
      <c r="AT596" s="329"/>
      <c r="AV596" s="329"/>
      <c r="AX596" s="329"/>
      <c r="AZ596" s="329"/>
      <c r="BB596" s="329"/>
      <c r="BD596" s="329"/>
      <c r="BF596" s="329"/>
      <c r="BH596" s="329"/>
      <c r="BJ596" s="329"/>
      <c r="BL596" s="329"/>
      <c r="BN596" s="329"/>
    </row>
    <row r="597" spans="14:66">
      <c r="N597" s="329"/>
      <c r="P597" s="329"/>
      <c r="R597" s="329"/>
      <c r="T597" s="329"/>
      <c r="V597" s="329"/>
      <c r="X597" s="329"/>
      <c r="Z597" s="329"/>
      <c r="AB597" s="329"/>
      <c r="AD597" s="329"/>
      <c r="AF597" s="329"/>
      <c r="AH597" s="329"/>
      <c r="AJ597" s="329"/>
      <c r="AL597" s="329"/>
      <c r="AN597" s="329"/>
      <c r="AP597" s="329"/>
      <c r="AR597" s="329"/>
      <c r="AT597" s="329"/>
      <c r="AV597" s="329"/>
      <c r="AX597" s="329"/>
      <c r="AZ597" s="329"/>
      <c r="BB597" s="329"/>
      <c r="BD597" s="329"/>
      <c r="BF597" s="329"/>
      <c r="BH597" s="329"/>
      <c r="BJ597" s="329"/>
      <c r="BL597" s="329"/>
      <c r="BN597" s="329"/>
    </row>
    <row r="598" spans="14:66">
      <c r="N598" s="329"/>
      <c r="P598" s="329"/>
      <c r="R598" s="329"/>
      <c r="T598" s="329"/>
      <c r="V598" s="329"/>
      <c r="X598" s="329"/>
      <c r="Z598" s="329"/>
      <c r="AB598" s="329"/>
      <c r="AD598" s="329"/>
      <c r="AF598" s="329"/>
      <c r="AH598" s="329"/>
      <c r="AJ598" s="329"/>
      <c r="AL598" s="329"/>
      <c r="AN598" s="329"/>
      <c r="AP598" s="329"/>
      <c r="AR598" s="329"/>
      <c r="AT598" s="329"/>
      <c r="AV598" s="329"/>
      <c r="AX598" s="329"/>
      <c r="AZ598" s="329"/>
      <c r="BB598" s="329"/>
      <c r="BD598" s="329"/>
      <c r="BF598" s="329"/>
      <c r="BH598" s="329"/>
      <c r="BJ598" s="329"/>
      <c r="BL598" s="329"/>
      <c r="BN598" s="329"/>
    </row>
    <row r="599" spans="14:66">
      <c r="N599" s="329"/>
      <c r="P599" s="329"/>
      <c r="R599" s="329"/>
      <c r="T599" s="329"/>
      <c r="V599" s="329"/>
      <c r="X599" s="329"/>
      <c r="Z599" s="329"/>
      <c r="AB599" s="329"/>
      <c r="AD599" s="329"/>
      <c r="AF599" s="329"/>
      <c r="AH599" s="329"/>
      <c r="AJ599" s="329"/>
      <c r="AL599" s="329"/>
      <c r="AN599" s="329"/>
      <c r="AP599" s="329"/>
      <c r="AR599" s="329"/>
      <c r="AT599" s="329"/>
      <c r="AV599" s="329"/>
      <c r="AX599" s="329"/>
      <c r="AZ599" s="329"/>
      <c r="BB599" s="329"/>
      <c r="BD599" s="329"/>
      <c r="BF599" s="329"/>
      <c r="BH599" s="329"/>
      <c r="BJ599" s="329"/>
      <c r="BL599" s="329"/>
      <c r="BN599" s="329"/>
    </row>
    <row r="600" spans="14:66">
      <c r="N600" s="329"/>
      <c r="P600" s="329"/>
      <c r="R600" s="329"/>
      <c r="T600" s="329"/>
      <c r="V600" s="329"/>
      <c r="X600" s="329"/>
      <c r="Z600" s="329"/>
      <c r="AB600" s="329"/>
      <c r="AD600" s="329"/>
      <c r="AF600" s="329"/>
      <c r="AH600" s="329"/>
      <c r="AJ600" s="329"/>
      <c r="AL600" s="329"/>
      <c r="AN600" s="329"/>
      <c r="AP600" s="329"/>
      <c r="AR600" s="329"/>
      <c r="AT600" s="329"/>
      <c r="AV600" s="329"/>
      <c r="AX600" s="329"/>
      <c r="AZ600" s="329"/>
      <c r="BB600" s="329"/>
      <c r="BD600" s="329"/>
      <c r="BF600" s="329"/>
      <c r="BH600" s="329"/>
      <c r="BJ600" s="329"/>
      <c r="BL600" s="329"/>
      <c r="BN600" s="329"/>
    </row>
    <row r="601" spans="14:66">
      <c r="N601" s="329"/>
      <c r="P601" s="329"/>
      <c r="R601" s="329"/>
      <c r="T601" s="329"/>
      <c r="V601" s="329"/>
      <c r="X601" s="329"/>
      <c r="Z601" s="329"/>
      <c r="AB601" s="329"/>
      <c r="AD601" s="329"/>
      <c r="AF601" s="329"/>
      <c r="AH601" s="329"/>
      <c r="AJ601" s="329"/>
      <c r="AL601" s="329"/>
      <c r="AN601" s="329"/>
      <c r="AP601" s="329"/>
      <c r="AR601" s="329"/>
      <c r="AT601" s="329"/>
      <c r="AV601" s="329"/>
      <c r="AX601" s="329"/>
      <c r="AZ601" s="329"/>
      <c r="BB601" s="329"/>
      <c r="BD601" s="329"/>
      <c r="BF601" s="329"/>
      <c r="BH601" s="329"/>
      <c r="BJ601" s="329"/>
      <c r="BL601" s="329"/>
      <c r="BN601" s="329"/>
    </row>
    <row r="602" spans="14:66">
      <c r="N602" s="329"/>
      <c r="P602" s="329"/>
      <c r="R602" s="329"/>
      <c r="T602" s="329"/>
      <c r="V602" s="329"/>
      <c r="X602" s="329"/>
      <c r="Z602" s="329"/>
      <c r="AB602" s="329"/>
      <c r="AD602" s="329"/>
      <c r="AF602" s="329"/>
      <c r="AH602" s="329"/>
      <c r="AJ602" s="329"/>
      <c r="AL602" s="329"/>
      <c r="AN602" s="329"/>
      <c r="AP602" s="329"/>
      <c r="AR602" s="329"/>
      <c r="AT602" s="329"/>
      <c r="AV602" s="329"/>
      <c r="AX602" s="329"/>
      <c r="AZ602" s="329"/>
      <c r="BB602" s="329"/>
      <c r="BD602" s="329"/>
      <c r="BF602" s="329"/>
      <c r="BH602" s="329"/>
      <c r="BJ602" s="329"/>
      <c r="BL602" s="329"/>
      <c r="BN602" s="329"/>
    </row>
    <row r="603" spans="14:66">
      <c r="N603" s="329"/>
      <c r="P603" s="329"/>
      <c r="R603" s="329"/>
      <c r="T603" s="329"/>
      <c r="V603" s="329"/>
      <c r="X603" s="329"/>
      <c r="Z603" s="329"/>
      <c r="AB603" s="329"/>
      <c r="AD603" s="329"/>
      <c r="AF603" s="329"/>
      <c r="AH603" s="329"/>
      <c r="AJ603" s="329"/>
      <c r="AL603" s="329"/>
      <c r="AN603" s="329"/>
      <c r="AP603" s="329"/>
      <c r="AR603" s="329"/>
      <c r="AT603" s="329"/>
      <c r="AV603" s="329"/>
      <c r="AX603" s="329"/>
      <c r="AZ603" s="329"/>
      <c r="BB603" s="329"/>
      <c r="BD603" s="329"/>
      <c r="BF603" s="329"/>
      <c r="BH603" s="329"/>
      <c r="BJ603" s="329"/>
      <c r="BL603" s="329"/>
      <c r="BN603" s="329"/>
    </row>
    <row r="604" spans="14:66">
      <c r="N604" s="329"/>
      <c r="P604" s="329"/>
      <c r="R604" s="329"/>
      <c r="T604" s="329"/>
      <c r="V604" s="329"/>
      <c r="X604" s="329"/>
      <c r="Z604" s="329"/>
      <c r="AB604" s="329"/>
      <c r="AD604" s="329"/>
      <c r="AF604" s="329"/>
      <c r="AH604" s="329"/>
      <c r="AJ604" s="329"/>
      <c r="AL604" s="329"/>
      <c r="AN604" s="329"/>
      <c r="AP604" s="329"/>
      <c r="AR604" s="329"/>
      <c r="AT604" s="329"/>
      <c r="AV604" s="329"/>
      <c r="AX604" s="329"/>
      <c r="AZ604" s="329"/>
      <c r="BB604" s="329"/>
      <c r="BD604" s="329"/>
      <c r="BF604" s="329"/>
      <c r="BH604" s="329"/>
      <c r="BJ604" s="329"/>
      <c r="BL604" s="329"/>
      <c r="BN604" s="329"/>
    </row>
    <row r="605" spans="14:66">
      <c r="N605" s="329"/>
      <c r="P605" s="329"/>
      <c r="R605" s="329"/>
      <c r="T605" s="329"/>
      <c r="V605" s="329"/>
      <c r="X605" s="329"/>
      <c r="Z605" s="329"/>
      <c r="AB605" s="329"/>
      <c r="AD605" s="329"/>
      <c r="AF605" s="329"/>
      <c r="AH605" s="329"/>
      <c r="AJ605" s="329"/>
      <c r="AL605" s="329"/>
      <c r="AN605" s="329"/>
      <c r="AP605" s="329"/>
      <c r="AR605" s="329"/>
      <c r="AT605" s="329"/>
      <c r="AV605" s="329"/>
      <c r="AX605" s="329"/>
      <c r="AZ605" s="329"/>
      <c r="BB605" s="329"/>
      <c r="BD605" s="329"/>
      <c r="BF605" s="329"/>
      <c r="BH605" s="329"/>
      <c r="BJ605" s="329"/>
      <c r="BL605" s="329"/>
      <c r="BN605" s="329"/>
    </row>
    <row r="606" spans="14:66">
      <c r="N606" s="329"/>
      <c r="P606" s="329"/>
      <c r="R606" s="329"/>
      <c r="T606" s="329"/>
      <c r="V606" s="329"/>
      <c r="X606" s="329"/>
      <c r="Z606" s="329"/>
      <c r="AB606" s="329"/>
      <c r="AD606" s="329"/>
      <c r="AF606" s="329"/>
      <c r="AH606" s="329"/>
      <c r="AJ606" s="329"/>
      <c r="AL606" s="329"/>
      <c r="AN606" s="329"/>
      <c r="AP606" s="329"/>
      <c r="AR606" s="329"/>
      <c r="AT606" s="329"/>
      <c r="AV606" s="329"/>
      <c r="AX606" s="329"/>
      <c r="AZ606" s="329"/>
      <c r="BB606" s="329"/>
      <c r="BD606" s="329"/>
      <c r="BF606" s="329"/>
      <c r="BH606" s="329"/>
      <c r="BJ606" s="329"/>
      <c r="BL606" s="329"/>
      <c r="BN606" s="329"/>
    </row>
    <row r="607" spans="14:66">
      <c r="N607" s="329"/>
      <c r="P607" s="329"/>
      <c r="R607" s="329"/>
      <c r="T607" s="329"/>
      <c r="V607" s="329"/>
      <c r="X607" s="329"/>
      <c r="Z607" s="329"/>
      <c r="AB607" s="329"/>
      <c r="AD607" s="329"/>
      <c r="AF607" s="329"/>
      <c r="AH607" s="329"/>
      <c r="AJ607" s="329"/>
      <c r="AL607" s="329"/>
      <c r="AN607" s="329"/>
      <c r="AP607" s="329"/>
      <c r="AR607" s="329"/>
      <c r="AT607" s="329"/>
      <c r="AV607" s="329"/>
      <c r="AX607" s="329"/>
      <c r="AZ607" s="329"/>
      <c r="BB607" s="329"/>
      <c r="BD607" s="329"/>
      <c r="BF607" s="329"/>
      <c r="BH607" s="329"/>
      <c r="BJ607" s="329"/>
      <c r="BL607" s="329"/>
      <c r="BN607" s="329"/>
    </row>
    <row r="608" spans="14:66">
      <c r="N608" s="329"/>
      <c r="P608" s="329"/>
      <c r="R608" s="329"/>
      <c r="T608" s="329"/>
      <c r="V608" s="329"/>
      <c r="X608" s="329"/>
      <c r="Z608" s="329"/>
      <c r="AB608" s="329"/>
      <c r="AD608" s="329"/>
      <c r="AF608" s="329"/>
      <c r="AH608" s="329"/>
      <c r="AJ608" s="329"/>
      <c r="AL608" s="329"/>
      <c r="AN608" s="329"/>
      <c r="AP608" s="329"/>
      <c r="AR608" s="329"/>
      <c r="AT608" s="329"/>
      <c r="AV608" s="329"/>
      <c r="AX608" s="329"/>
      <c r="AZ608" s="329"/>
      <c r="BB608" s="329"/>
      <c r="BD608" s="329"/>
      <c r="BF608" s="329"/>
      <c r="BH608" s="329"/>
      <c r="BJ608" s="329"/>
      <c r="BL608" s="329"/>
      <c r="BN608" s="329"/>
    </row>
    <row r="609" spans="14:66">
      <c r="N609" s="329"/>
      <c r="P609" s="329"/>
      <c r="R609" s="329"/>
      <c r="T609" s="329"/>
      <c r="V609" s="329"/>
      <c r="X609" s="329"/>
      <c r="Z609" s="329"/>
      <c r="AB609" s="329"/>
      <c r="AD609" s="329"/>
      <c r="AF609" s="329"/>
      <c r="AH609" s="329"/>
      <c r="AJ609" s="329"/>
      <c r="AL609" s="329"/>
      <c r="AN609" s="329"/>
      <c r="AP609" s="329"/>
      <c r="AR609" s="329"/>
      <c r="AT609" s="329"/>
      <c r="AV609" s="329"/>
      <c r="AX609" s="329"/>
      <c r="AZ609" s="329"/>
      <c r="BB609" s="329"/>
      <c r="BD609" s="329"/>
      <c r="BF609" s="329"/>
      <c r="BH609" s="329"/>
      <c r="BJ609" s="329"/>
      <c r="BL609" s="329"/>
      <c r="BN609" s="329"/>
    </row>
    <row r="610" spans="14:66">
      <c r="N610" s="329"/>
      <c r="P610" s="329"/>
      <c r="R610" s="329"/>
      <c r="T610" s="329"/>
      <c r="V610" s="329"/>
      <c r="X610" s="329"/>
      <c r="Z610" s="329"/>
      <c r="AB610" s="329"/>
      <c r="AD610" s="329"/>
      <c r="AF610" s="329"/>
      <c r="AH610" s="329"/>
      <c r="AJ610" s="329"/>
      <c r="AL610" s="329"/>
      <c r="AN610" s="329"/>
      <c r="AP610" s="329"/>
      <c r="AR610" s="329"/>
      <c r="AT610" s="329"/>
      <c r="AV610" s="329"/>
      <c r="AX610" s="329"/>
      <c r="AZ610" s="329"/>
      <c r="BB610" s="329"/>
      <c r="BD610" s="329"/>
      <c r="BF610" s="329"/>
      <c r="BH610" s="329"/>
      <c r="BJ610" s="329"/>
      <c r="BL610" s="329"/>
      <c r="BN610" s="329"/>
    </row>
    <row r="611" spans="14:66">
      <c r="N611" s="329"/>
      <c r="P611" s="329"/>
      <c r="R611" s="329"/>
      <c r="T611" s="329"/>
      <c r="V611" s="329"/>
      <c r="X611" s="329"/>
      <c r="Z611" s="329"/>
      <c r="AB611" s="329"/>
      <c r="AD611" s="329"/>
      <c r="AF611" s="329"/>
      <c r="AH611" s="329"/>
      <c r="AJ611" s="329"/>
      <c r="AL611" s="329"/>
      <c r="AN611" s="329"/>
      <c r="AP611" s="329"/>
      <c r="AR611" s="329"/>
      <c r="AT611" s="329"/>
      <c r="AV611" s="329"/>
      <c r="AX611" s="329"/>
      <c r="AZ611" s="329"/>
      <c r="BB611" s="329"/>
      <c r="BD611" s="329"/>
      <c r="BF611" s="329"/>
      <c r="BH611" s="329"/>
      <c r="BJ611" s="329"/>
      <c r="BL611" s="329"/>
      <c r="BN611" s="329"/>
    </row>
    <row r="612" spans="14:66">
      <c r="N612" s="329"/>
      <c r="P612" s="329"/>
      <c r="R612" s="329"/>
      <c r="T612" s="329"/>
      <c r="V612" s="329"/>
      <c r="X612" s="329"/>
      <c r="Z612" s="329"/>
      <c r="AB612" s="329"/>
      <c r="AD612" s="329"/>
      <c r="AF612" s="329"/>
      <c r="AH612" s="329"/>
      <c r="AJ612" s="329"/>
      <c r="AL612" s="329"/>
      <c r="AN612" s="329"/>
      <c r="AP612" s="329"/>
      <c r="AR612" s="329"/>
      <c r="AT612" s="329"/>
      <c r="AV612" s="329"/>
      <c r="AX612" s="329"/>
      <c r="AZ612" s="329"/>
      <c r="BB612" s="329"/>
      <c r="BD612" s="329"/>
      <c r="BF612" s="329"/>
      <c r="BH612" s="329"/>
      <c r="BJ612" s="329"/>
      <c r="BL612" s="329"/>
      <c r="BN612" s="329"/>
    </row>
    <row r="613" spans="14:66">
      <c r="N613" s="329"/>
      <c r="P613" s="329"/>
      <c r="R613" s="329"/>
      <c r="T613" s="329"/>
      <c r="V613" s="329"/>
      <c r="X613" s="329"/>
      <c r="Z613" s="329"/>
      <c r="AB613" s="329"/>
      <c r="AD613" s="329"/>
      <c r="AF613" s="329"/>
      <c r="AH613" s="329"/>
      <c r="AJ613" s="329"/>
      <c r="AL613" s="329"/>
      <c r="AN613" s="329"/>
      <c r="AP613" s="329"/>
      <c r="AR613" s="329"/>
      <c r="AT613" s="329"/>
      <c r="AV613" s="329"/>
      <c r="AX613" s="329"/>
      <c r="AZ613" s="329"/>
      <c r="BB613" s="329"/>
      <c r="BD613" s="329"/>
      <c r="BF613" s="329"/>
      <c r="BH613" s="329"/>
      <c r="BJ613" s="329"/>
      <c r="BL613" s="329"/>
      <c r="BN613" s="329"/>
    </row>
    <row r="614" spans="14:66">
      <c r="N614" s="329"/>
      <c r="P614" s="329"/>
      <c r="R614" s="329"/>
      <c r="T614" s="329"/>
      <c r="V614" s="329"/>
      <c r="X614" s="329"/>
      <c r="Z614" s="329"/>
      <c r="AB614" s="329"/>
      <c r="AD614" s="329"/>
      <c r="AF614" s="329"/>
      <c r="AH614" s="329"/>
      <c r="AJ614" s="329"/>
      <c r="AL614" s="329"/>
      <c r="AN614" s="329"/>
      <c r="AP614" s="329"/>
      <c r="AR614" s="329"/>
      <c r="AT614" s="329"/>
      <c r="AV614" s="329"/>
      <c r="AX614" s="329"/>
      <c r="AZ614" s="329"/>
      <c r="BB614" s="329"/>
      <c r="BD614" s="329"/>
      <c r="BF614" s="329"/>
      <c r="BH614" s="329"/>
      <c r="BJ614" s="329"/>
      <c r="BL614" s="329"/>
      <c r="BN614" s="329"/>
    </row>
    <row r="615" spans="14:66">
      <c r="N615" s="329"/>
      <c r="P615" s="329"/>
      <c r="R615" s="329"/>
      <c r="T615" s="329"/>
      <c r="V615" s="329"/>
      <c r="X615" s="329"/>
      <c r="Z615" s="329"/>
      <c r="AB615" s="329"/>
      <c r="AD615" s="329"/>
      <c r="AF615" s="329"/>
      <c r="AH615" s="329"/>
      <c r="AJ615" s="329"/>
      <c r="AL615" s="329"/>
      <c r="AN615" s="329"/>
      <c r="AP615" s="329"/>
      <c r="AR615" s="329"/>
      <c r="AT615" s="329"/>
      <c r="AV615" s="329"/>
      <c r="AX615" s="329"/>
      <c r="AZ615" s="329"/>
      <c r="BB615" s="329"/>
      <c r="BD615" s="329"/>
      <c r="BF615" s="329"/>
      <c r="BH615" s="329"/>
      <c r="BJ615" s="329"/>
      <c r="BL615" s="329"/>
      <c r="BN615" s="329"/>
    </row>
    <row r="616" spans="14:66">
      <c r="N616" s="329"/>
      <c r="P616" s="329"/>
      <c r="R616" s="329"/>
      <c r="T616" s="329"/>
      <c r="V616" s="329"/>
      <c r="X616" s="329"/>
      <c r="Z616" s="329"/>
      <c r="AB616" s="329"/>
      <c r="AD616" s="329"/>
      <c r="AF616" s="329"/>
      <c r="AH616" s="329"/>
      <c r="AJ616" s="329"/>
      <c r="AL616" s="329"/>
      <c r="AN616" s="329"/>
      <c r="AP616" s="329"/>
      <c r="AR616" s="329"/>
      <c r="AT616" s="329"/>
      <c r="AV616" s="329"/>
      <c r="AX616" s="329"/>
      <c r="AZ616" s="329"/>
      <c r="BB616" s="329"/>
      <c r="BD616" s="329"/>
      <c r="BF616" s="329"/>
      <c r="BH616" s="329"/>
      <c r="BJ616" s="329"/>
      <c r="BL616" s="329"/>
      <c r="BN616" s="329"/>
    </row>
    <row r="617" spans="14:66">
      <c r="N617" s="329"/>
      <c r="P617" s="329"/>
      <c r="R617" s="329"/>
      <c r="T617" s="329"/>
      <c r="V617" s="329"/>
      <c r="X617" s="329"/>
      <c r="Z617" s="329"/>
      <c r="AB617" s="329"/>
      <c r="AD617" s="329"/>
      <c r="AF617" s="329"/>
      <c r="AH617" s="329"/>
      <c r="AJ617" s="329"/>
      <c r="AL617" s="329"/>
      <c r="AN617" s="329"/>
      <c r="AP617" s="329"/>
      <c r="AR617" s="329"/>
      <c r="AT617" s="329"/>
      <c r="AV617" s="329"/>
      <c r="AX617" s="329"/>
      <c r="AZ617" s="329"/>
      <c r="BB617" s="329"/>
      <c r="BD617" s="329"/>
      <c r="BF617" s="329"/>
      <c r="BH617" s="329"/>
      <c r="BJ617" s="329"/>
      <c r="BL617" s="329"/>
      <c r="BN617" s="329"/>
    </row>
    <row r="618" spans="14:66">
      <c r="N618" s="329"/>
      <c r="P618" s="329"/>
      <c r="R618" s="329"/>
      <c r="T618" s="329"/>
      <c r="V618" s="329"/>
      <c r="X618" s="329"/>
      <c r="Z618" s="329"/>
      <c r="AB618" s="329"/>
      <c r="AD618" s="329"/>
      <c r="AF618" s="329"/>
      <c r="AH618" s="329"/>
      <c r="AJ618" s="329"/>
      <c r="AL618" s="329"/>
      <c r="AN618" s="329"/>
      <c r="AP618" s="329"/>
      <c r="AR618" s="329"/>
      <c r="AT618" s="329"/>
      <c r="AV618" s="329"/>
      <c r="AX618" s="329"/>
      <c r="AZ618" s="329"/>
      <c r="BB618" s="329"/>
      <c r="BD618" s="329"/>
      <c r="BF618" s="329"/>
      <c r="BH618" s="329"/>
      <c r="BJ618" s="329"/>
      <c r="BL618" s="329"/>
      <c r="BN618" s="329"/>
    </row>
    <row r="619" spans="14:66">
      <c r="N619" s="329"/>
      <c r="P619" s="329"/>
      <c r="R619" s="329"/>
      <c r="T619" s="329"/>
      <c r="V619" s="329"/>
      <c r="X619" s="329"/>
      <c r="Z619" s="329"/>
      <c r="AB619" s="329"/>
      <c r="AD619" s="329"/>
      <c r="AF619" s="329"/>
      <c r="AH619" s="329"/>
      <c r="AJ619" s="329"/>
      <c r="AL619" s="329"/>
      <c r="AN619" s="329"/>
      <c r="AP619" s="329"/>
      <c r="AR619" s="329"/>
      <c r="AT619" s="329"/>
      <c r="AV619" s="329"/>
      <c r="AX619" s="329"/>
      <c r="AZ619" s="329"/>
      <c r="BB619" s="329"/>
      <c r="BD619" s="329"/>
      <c r="BF619" s="329"/>
      <c r="BH619" s="329"/>
      <c r="BJ619" s="329"/>
      <c r="BL619" s="329"/>
      <c r="BN619" s="329"/>
    </row>
    <row r="620" spans="14:66">
      <c r="N620" s="329"/>
      <c r="P620" s="329"/>
      <c r="R620" s="329"/>
      <c r="T620" s="329"/>
      <c r="V620" s="329"/>
      <c r="X620" s="329"/>
      <c r="Z620" s="329"/>
      <c r="AB620" s="329"/>
      <c r="AD620" s="329"/>
      <c r="AF620" s="329"/>
      <c r="AH620" s="329"/>
      <c r="AJ620" s="329"/>
      <c r="AL620" s="329"/>
      <c r="AN620" s="329"/>
      <c r="AP620" s="329"/>
      <c r="AR620" s="329"/>
      <c r="AT620" s="329"/>
      <c r="AV620" s="329"/>
      <c r="AX620" s="329"/>
      <c r="AZ620" s="329"/>
      <c r="BB620" s="329"/>
      <c r="BD620" s="329"/>
      <c r="BF620" s="329"/>
      <c r="BH620" s="329"/>
      <c r="BJ620" s="329"/>
      <c r="BL620" s="329"/>
      <c r="BN620" s="329"/>
    </row>
    <row r="621" spans="14:66">
      <c r="N621" s="329"/>
      <c r="P621" s="329"/>
      <c r="R621" s="329"/>
      <c r="T621" s="329"/>
      <c r="V621" s="329"/>
      <c r="X621" s="329"/>
      <c r="Z621" s="329"/>
      <c r="AB621" s="329"/>
      <c r="AD621" s="329"/>
      <c r="AF621" s="329"/>
      <c r="AH621" s="329"/>
      <c r="AJ621" s="329"/>
      <c r="AL621" s="329"/>
      <c r="AN621" s="329"/>
      <c r="AP621" s="329"/>
      <c r="AR621" s="329"/>
      <c r="AT621" s="329"/>
      <c r="AV621" s="329"/>
      <c r="AX621" s="329"/>
      <c r="AZ621" s="329"/>
      <c r="BB621" s="329"/>
      <c r="BD621" s="329"/>
      <c r="BF621" s="329"/>
      <c r="BH621" s="329"/>
      <c r="BJ621" s="329"/>
      <c r="BL621" s="329"/>
      <c r="BN621" s="329"/>
    </row>
    <row r="622" spans="14:66">
      <c r="N622" s="329"/>
      <c r="P622" s="329"/>
      <c r="R622" s="329"/>
      <c r="T622" s="329"/>
      <c r="V622" s="329"/>
      <c r="X622" s="329"/>
      <c r="Z622" s="329"/>
      <c r="AB622" s="329"/>
      <c r="AD622" s="329"/>
      <c r="AF622" s="329"/>
      <c r="AH622" s="329"/>
      <c r="AJ622" s="329"/>
      <c r="AL622" s="329"/>
      <c r="AN622" s="329"/>
      <c r="AP622" s="329"/>
      <c r="AR622" s="329"/>
      <c r="AT622" s="329"/>
      <c r="AV622" s="329"/>
      <c r="AX622" s="329"/>
      <c r="AZ622" s="329"/>
      <c r="BB622" s="329"/>
      <c r="BD622" s="329"/>
      <c r="BF622" s="329"/>
      <c r="BH622" s="329"/>
      <c r="BJ622" s="329"/>
      <c r="BL622" s="329"/>
      <c r="BN622" s="329"/>
    </row>
    <row r="623" spans="14:66">
      <c r="N623" s="329"/>
      <c r="P623" s="329"/>
      <c r="R623" s="329"/>
      <c r="T623" s="329"/>
      <c r="V623" s="329"/>
      <c r="X623" s="329"/>
      <c r="Z623" s="329"/>
      <c r="AB623" s="329"/>
      <c r="AD623" s="329"/>
      <c r="AF623" s="329"/>
      <c r="AH623" s="329"/>
      <c r="AJ623" s="329"/>
      <c r="AL623" s="329"/>
      <c r="AN623" s="329"/>
      <c r="AP623" s="329"/>
      <c r="AR623" s="329"/>
      <c r="AT623" s="329"/>
      <c r="AV623" s="329"/>
      <c r="AX623" s="329"/>
      <c r="AZ623" s="329"/>
      <c r="BB623" s="329"/>
      <c r="BD623" s="329"/>
      <c r="BF623" s="329"/>
      <c r="BH623" s="329"/>
      <c r="BJ623" s="329"/>
      <c r="BL623" s="329"/>
      <c r="BN623" s="329"/>
    </row>
    <row r="624" spans="14:66">
      <c r="N624" s="329"/>
      <c r="P624" s="329"/>
      <c r="R624" s="329"/>
      <c r="T624" s="329"/>
      <c r="V624" s="329"/>
      <c r="X624" s="329"/>
      <c r="Z624" s="329"/>
      <c r="AB624" s="329"/>
      <c r="AD624" s="329"/>
      <c r="AF624" s="329"/>
      <c r="AH624" s="329"/>
      <c r="AJ624" s="329"/>
      <c r="AL624" s="329"/>
      <c r="AN624" s="329"/>
      <c r="AP624" s="329"/>
      <c r="AR624" s="329"/>
      <c r="AT624" s="329"/>
      <c r="AV624" s="329"/>
      <c r="AX624" s="329"/>
      <c r="AZ624" s="329"/>
      <c r="BB624" s="329"/>
      <c r="BD624" s="329"/>
      <c r="BF624" s="329"/>
      <c r="BH624" s="329"/>
      <c r="BJ624" s="329"/>
      <c r="BL624" s="329"/>
      <c r="BN624" s="329"/>
    </row>
    <row r="625" spans="14:66">
      <c r="N625" s="329"/>
      <c r="P625" s="329"/>
      <c r="R625" s="329"/>
      <c r="T625" s="329"/>
      <c r="V625" s="329"/>
      <c r="X625" s="329"/>
      <c r="Z625" s="329"/>
      <c r="AB625" s="329"/>
      <c r="AD625" s="329"/>
      <c r="AF625" s="329"/>
      <c r="AH625" s="329"/>
      <c r="AJ625" s="329"/>
      <c r="AL625" s="329"/>
      <c r="AN625" s="329"/>
      <c r="AP625" s="329"/>
      <c r="AR625" s="329"/>
      <c r="AT625" s="329"/>
      <c r="AV625" s="329"/>
      <c r="AX625" s="329"/>
      <c r="AZ625" s="329"/>
      <c r="BB625" s="329"/>
      <c r="BD625" s="329"/>
      <c r="BF625" s="329"/>
      <c r="BH625" s="329"/>
      <c r="BJ625" s="329"/>
      <c r="BL625" s="329"/>
      <c r="BN625" s="329"/>
    </row>
    <row r="626" spans="14:66">
      <c r="N626" s="329"/>
      <c r="P626" s="329"/>
      <c r="R626" s="329"/>
      <c r="T626" s="329"/>
      <c r="V626" s="329"/>
      <c r="X626" s="329"/>
      <c r="Z626" s="329"/>
      <c r="AB626" s="329"/>
      <c r="AD626" s="329"/>
      <c r="AF626" s="329"/>
      <c r="AH626" s="329"/>
      <c r="AJ626" s="329"/>
      <c r="AL626" s="329"/>
      <c r="AN626" s="329"/>
      <c r="AP626" s="329"/>
      <c r="AR626" s="329"/>
      <c r="AT626" s="329"/>
      <c r="AV626" s="329"/>
      <c r="AX626" s="329"/>
      <c r="AZ626" s="329"/>
      <c r="BB626" s="329"/>
      <c r="BD626" s="329"/>
      <c r="BF626" s="329"/>
      <c r="BH626" s="329"/>
      <c r="BJ626" s="329"/>
      <c r="BL626" s="329"/>
      <c r="BN626" s="329"/>
    </row>
    <row r="627" spans="14:66">
      <c r="N627" s="329"/>
      <c r="P627" s="329"/>
      <c r="R627" s="329"/>
      <c r="T627" s="329"/>
      <c r="V627" s="329"/>
      <c r="X627" s="329"/>
      <c r="Z627" s="329"/>
      <c r="AB627" s="329"/>
      <c r="AD627" s="329"/>
      <c r="AF627" s="329"/>
      <c r="AH627" s="329"/>
      <c r="AJ627" s="329"/>
      <c r="AL627" s="329"/>
      <c r="AN627" s="329"/>
      <c r="AP627" s="329"/>
      <c r="AR627" s="329"/>
      <c r="AT627" s="329"/>
      <c r="AV627" s="329"/>
      <c r="AX627" s="329"/>
      <c r="AZ627" s="329"/>
      <c r="BB627" s="329"/>
      <c r="BD627" s="329"/>
      <c r="BF627" s="329"/>
      <c r="BH627" s="329"/>
      <c r="BJ627" s="329"/>
      <c r="BL627" s="329"/>
      <c r="BN627" s="329"/>
    </row>
    <row r="628" spans="14:66">
      <c r="N628" s="329"/>
      <c r="P628" s="329"/>
      <c r="R628" s="329"/>
      <c r="T628" s="329"/>
      <c r="V628" s="329"/>
      <c r="X628" s="329"/>
      <c r="Z628" s="329"/>
      <c r="AB628" s="329"/>
      <c r="AD628" s="329"/>
      <c r="AF628" s="329"/>
      <c r="AH628" s="329"/>
      <c r="AJ628" s="329"/>
      <c r="AL628" s="329"/>
      <c r="AN628" s="329"/>
      <c r="AP628" s="329"/>
      <c r="AR628" s="329"/>
      <c r="AT628" s="329"/>
      <c r="AV628" s="329"/>
      <c r="AX628" s="329"/>
      <c r="AZ628" s="329"/>
      <c r="BB628" s="329"/>
      <c r="BD628" s="329"/>
      <c r="BF628" s="329"/>
      <c r="BH628" s="329"/>
      <c r="BJ628" s="329"/>
      <c r="BL628" s="329"/>
      <c r="BN628" s="329"/>
    </row>
    <row r="629" spans="14:66">
      <c r="N629" s="329"/>
      <c r="P629" s="329"/>
      <c r="R629" s="329"/>
      <c r="T629" s="329"/>
      <c r="V629" s="329"/>
      <c r="X629" s="329"/>
      <c r="Z629" s="329"/>
      <c r="AB629" s="329"/>
      <c r="AD629" s="329"/>
      <c r="AF629" s="329"/>
      <c r="AH629" s="329"/>
      <c r="AJ629" s="329"/>
      <c r="AL629" s="329"/>
      <c r="AN629" s="329"/>
      <c r="AP629" s="329"/>
      <c r="AR629" s="329"/>
      <c r="AT629" s="329"/>
      <c r="AV629" s="329"/>
      <c r="AX629" s="329"/>
      <c r="AZ629" s="329"/>
      <c r="BB629" s="329"/>
      <c r="BD629" s="329"/>
      <c r="BF629" s="329"/>
      <c r="BH629" s="329"/>
      <c r="BJ629" s="329"/>
      <c r="BL629" s="329"/>
      <c r="BN629" s="329"/>
    </row>
    <row r="630" spans="14:66">
      <c r="N630" s="329"/>
      <c r="P630" s="329"/>
      <c r="R630" s="329"/>
      <c r="T630" s="329"/>
      <c r="V630" s="329"/>
      <c r="X630" s="329"/>
      <c r="Z630" s="329"/>
      <c r="AB630" s="329"/>
      <c r="AD630" s="329"/>
      <c r="AF630" s="329"/>
      <c r="AH630" s="329"/>
      <c r="AJ630" s="329"/>
      <c r="AL630" s="329"/>
      <c r="AN630" s="329"/>
      <c r="AP630" s="329"/>
      <c r="AR630" s="329"/>
      <c r="AT630" s="329"/>
      <c r="AV630" s="329"/>
      <c r="AX630" s="329"/>
      <c r="AZ630" s="329"/>
      <c r="BB630" s="329"/>
      <c r="BD630" s="329"/>
      <c r="BF630" s="329"/>
      <c r="BH630" s="329"/>
      <c r="BJ630" s="329"/>
      <c r="BL630" s="329"/>
      <c r="BN630" s="329"/>
    </row>
    <row r="631" spans="14:66">
      <c r="N631" s="329"/>
      <c r="P631" s="329"/>
      <c r="R631" s="329"/>
      <c r="T631" s="329"/>
      <c r="V631" s="329"/>
      <c r="X631" s="329"/>
      <c r="Z631" s="329"/>
      <c r="AB631" s="329"/>
      <c r="AD631" s="329"/>
      <c r="AF631" s="329"/>
      <c r="AH631" s="329"/>
      <c r="AJ631" s="329"/>
      <c r="AL631" s="329"/>
      <c r="AN631" s="329"/>
      <c r="AP631" s="329"/>
      <c r="AR631" s="329"/>
      <c r="AT631" s="329"/>
      <c r="AV631" s="329"/>
      <c r="AX631" s="329"/>
      <c r="AZ631" s="329"/>
      <c r="BB631" s="329"/>
      <c r="BD631" s="329"/>
      <c r="BF631" s="329"/>
      <c r="BH631" s="329"/>
      <c r="BJ631" s="329"/>
      <c r="BL631" s="329"/>
      <c r="BN631" s="329"/>
    </row>
    <row r="632" spans="14:66">
      <c r="N632" s="329"/>
      <c r="P632" s="329"/>
      <c r="R632" s="329"/>
      <c r="T632" s="329"/>
      <c r="V632" s="329"/>
      <c r="X632" s="329"/>
      <c r="Z632" s="329"/>
      <c r="AB632" s="329"/>
      <c r="AD632" s="329"/>
      <c r="AF632" s="329"/>
      <c r="AH632" s="329"/>
      <c r="AJ632" s="329"/>
      <c r="AL632" s="329"/>
      <c r="AN632" s="329"/>
      <c r="AP632" s="329"/>
      <c r="AR632" s="329"/>
      <c r="AT632" s="329"/>
      <c r="AV632" s="329"/>
      <c r="AX632" s="329"/>
      <c r="AZ632" s="329"/>
      <c r="BB632" s="329"/>
      <c r="BD632" s="329"/>
      <c r="BF632" s="329"/>
      <c r="BH632" s="329"/>
      <c r="BJ632" s="329"/>
      <c r="BL632" s="329"/>
      <c r="BN632" s="329"/>
    </row>
    <row r="633" spans="14:66">
      <c r="N633" s="329"/>
      <c r="P633" s="329"/>
      <c r="R633" s="329"/>
      <c r="T633" s="329"/>
      <c r="V633" s="329"/>
      <c r="X633" s="329"/>
      <c r="Z633" s="329"/>
      <c r="AB633" s="329"/>
      <c r="AD633" s="329"/>
      <c r="AF633" s="329"/>
      <c r="AH633" s="329"/>
      <c r="AJ633" s="329"/>
      <c r="AL633" s="329"/>
      <c r="AN633" s="329"/>
      <c r="AP633" s="329"/>
      <c r="AR633" s="329"/>
      <c r="AT633" s="329"/>
      <c r="AV633" s="329"/>
      <c r="AX633" s="329"/>
      <c r="AZ633" s="329"/>
      <c r="BB633" s="329"/>
      <c r="BD633" s="329"/>
      <c r="BF633" s="329"/>
      <c r="BH633" s="329"/>
      <c r="BJ633" s="329"/>
      <c r="BL633" s="329"/>
      <c r="BN633" s="329"/>
    </row>
    <row r="634" spans="14:66">
      <c r="N634" s="329"/>
      <c r="P634" s="329"/>
      <c r="R634" s="329"/>
      <c r="T634" s="329"/>
      <c r="V634" s="329"/>
      <c r="X634" s="329"/>
      <c r="Z634" s="329"/>
      <c r="AB634" s="329"/>
      <c r="AD634" s="329"/>
      <c r="AF634" s="329"/>
      <c r="AH634" s="329"/>
      <c r="AJ634" s="329"/>
      <c r="AL634" s="329"/>
      <c r="AN634" s="329"/>
      <c r="AP634" s="329"/>
      <c r="AR634" s="329"/>
      <c r="AT634" s="329"/>
      <c r="AV634" s="329"/>
      <c r="AX634" s="329"/>
      <c r="AZ634" s="329"/>
      <c r="BB634" s="329"/>
      <c r="BD634" s="329"/>
      <c r="BF634" s="329"/>
      <c r="BH634" s="329"/>
      <c r="BJ634" s="329"/>
      <c r="BL634" s="329"/>
      <c r="BN634" s="329"/>
    </row>
    <row r="635" spans="14:66">
      <c r="N635" s="329"/>
      <c r="P635" s="329"/>
      <c r="R635" s="329"/>
      <c r="T635" s="329"/>
      <c r="V635" s="329"/>
      <c r="X635" s="329"/>
      <c r="Z635" s="329"/>
      <c r="AB635" s="329"/>
      <c r="AD635" s="329"/>
      <c r="AF635" s="329"/>
      <c r="AH635" s="329"/>
      <c r="AJ635" s="329"/>
      <c r="AL635" s="329"/>
      <c r="AN635" s="329"/>
      <c r="AP635" s="329"/>
      <c r="AR635" s="329"/>
      <c r="AT635" s="329"/>
      <c r="AV635" s="329"/>
      <c r="AX635" s="329"/>
      <c r="AZ635" s="329"/>
      <c r="BB635" s="329"/>
      <c r="BD635" s="329"/>
      <c r="BF635" s="329"/>
      <c r="BH635" s="329"/>
      <c r="BJ635" s="329"/>
      <c r="BL635" s="329"/>
      <c r="BN635" s="329"/>
    </row>
    <row r="636" spans="14:66">
      <c r="N636" s="329"/>
      <c r="P636" s="329"/>
      <c r="R636" s="329"/>
      <c r="T636" s="329"/>
      <c r="V636" s="329"/>
      <c r="X636" s="329"/>
      <c r="Z636" s="329"/>
      <c r="AB636" s="329"/>
      <c r="AD636" s="329"/>
      <c r="AF636" s="329"/>
      <c r="AH636" s="329"/>
      <c r="AJ636" s="329"/>
      <c r="AL636" s="329"/>
      <c r="AN636" s="329"/>
      <c r="AP636" s="329"/>
      <c r="AR636" s="329"/>
      <c r="AT636" s="329"/>
      <c r="AV636" s="329"/>
      <c r="AX636" s="329"/>
      <c r="AZ636" s="329"/>
      <c r="BB636" s="329"/>
      <c r="BD636" s="329"/>
      <c r="BF636" s="329"/>
      <c r="BH636" s="329"/>
      <c r="BJ636" s="329"/>
      <c r="BL636" s="329"/>
      <c r="BN636" s="329"/>
    </row>
    <row r="637" spans="14:66">
      <c r="N637" s="329"/>
      <c r="P637" s="329"/>
      <c r="R637" s="329"/>
      <c r="T637" s="329"/>
      <c r="V637" s="329"/>
      <c r="X637" s="329"/>
      <c r="Z637" s="329"/>
      <c r="AB637" s="329"/>
      <c r="AD637" s="329"/>
      <c r="AF637" s="329"/>
      <c r="AH637" s="329"/>
      <c r="AJ637" s="329"/>
      <c r="AL637" s="329"/>
      <c r="AN637" s="329"/>
      <c r="AP637" s="329"/>
      <c r="AR637" s="329"/>
      <c r="AT637" s="329"/>
      <c r="AV637" s="329"/>
      <c r="AX637" s="329"/>
      <c r="AZ637" s="329"/>
      <c r="BB637" s="329"/>
      <c r="BD637" s="329"/>
      <c r="BF637" s="329"/>
      <c r="BH637" s="329"/>
      <c r="BJ637" s="329"/>
      <c r="BL637" s="329"/>
      <c r="BN637" s="329"/>
    </row>
    <row r="638" spans="14:66">
      <c r="N638" s="329"/>
      <c r="P638" s="329"/>
      <c r="R638" s="329"/>
      <c r="T638" s="329"/>
      <c r="V638" s="329"/>
      <c r="X638" s="329"/>
      <c r="Z638" s="329"/>
      <c r="AB638" s="329"/>
      <c r="AD638" s="329"/>
      <c r="AF638" s="329"/>
      <c r="AH638" s="329"/>
      <c r="AJ638" s="329"/>
      <c r="AL638" s="329"/>
      <c r="AN638" s="329"/>
      <c r="AP638" s="329"/>
      <c r="AR638" s="329"/>
      <c r="AT638" s="329"/>
      <c r="AV638" s="329"/>
      <c r="AX638" s="329"/>
      <c r="AZ638" s="329"/>
      <c r="BB638" s="329"/>
      <c r="BD638" s="329"/>
      <c r="BF638" s="329"/>
      <c r="BH638" s="329"/>
      <c r="BJ638" s="329"/>
      <c r="BL638" s="329"/>
      <c r="BN638" s="329"/>
    </row>
    <row r="639" spans="14:66">
      <c r="N639" s="329"/>
      <c r="P639" s="329"/>
      <c r="R639" s="329"/>
      <c r="T639" s="329"/>
      <c r="V639" s="329"/>
      <c r="X639" s="329"/>
      <c r="Z639" s="329"/>
      <c r="AB639" s="329"/>
      <c r="AD639" s="329"/>
      <c r="AF639" s="329"/>
      <c r="AH639" s="329"/>
      <c r="AJ639" s="329"/>
      <c r="AL639" s="329"/>
      <c r="AN639" s="329"/>
      <c r="AP639" s="329"/>
      <c r="AR639" s="329"/>
      <c r="AT639" s="329"/>
      <c r="AV639" s="329"/>
      <c r="AX639" s="329"/>
      <c r="AZ639" s="329"/>
      <c r="BB639" s="329"/>
      <c r="BD639" s="329"/>
      <c r="BF639" s="329"/>
      <c r="BH639" s="329"/>
      <c r="BJ639" s="329"/>
      <c r="BL639" s="329"/>
      <c r="BN639" s="329"/>
    </row>
    <row r="640" spans="14:66">
      <c r="N640" s="329"/>
      <c r="P640" s="329"/>
      <c r="R640" s="329"/>
      <c r="T640" s="329"/>
      <c r="V640" s="329"/>
      <c r="X640" s="329"/>
      <c r="Z640" s="329"/>
      <c r="AB640" s="329"/>
      <c r="AD640" s="329"/>
      <c r="AF640" s="329"/>
      <c r="AH640" s="329"/>
      <c r="AJ640" s="329"/>
      <c r="AL640" s="329"/>
      <c r="AN640" s="329"/>
      <c r="AP640" s="329"/>
      <c r="AR640" s="329"/>
      <c r="AT640" s="329"/>
      <c r="AV640" s="329"/>
      <c r="AX640" s="329"/>
      <c r="AZ640" s="329"/>
      <c r="BB640" s="329"/>
      <c r="BD640" s="329"/>
      <c r="BF640" s="329"/>
      <c r="BH640" s="329"/>
      <c r="BJ640" s="329"/>
      <c r="BL640" s="329"/>
      <c r="BN640" s="329"/>
    </row>
    <row r="641" spans="14:66">
      <c r="N641" s="329"/>
      <c r="P641" s="329"/>
      <c r="R641" s="329"/>
      <c r="T641" s="329"/>
      <c r="V641" s="329"/>
      <c r="X641" s="329"/>
      <c r="Z641" s="329"/>
      <c r="AB641" s="329"/>
      <c r="AD641" s="329"/>
      <c r="AF641" s="329"/>
      <c r="AH641" s="329"/>
      <c r="AJ641" s="329"/>
      <c r="AL641" s="329"/>
      <c r="AN641" s="329"/>
      <c r="AP641" s="329"/>
      <c r="AR641" s="329"/>
      <c r="AT641" s="329"/>
      <c r="AV641" s="329"/>
      <c r="AX641" s="329"/>
      <c r="AZ641" s="329"/>
      <c r="BB641" s="329"/>
      <c r="BD641" s="329"/>
      <c r="BF641" s="329"/>
      <c r="BH641" s="329"/>
      <c r="BJ641" s="329"/>
      <c r="BL641" s="329"/>
      <c r="BN641" s="329"/>
    </row>
    <row r="642" spans="14:66">
      <c r="N642" s="329"/>
      <c r="P642" s="329"/>
      <c r="R642" s="329"/>
      <c r="T642" s="329"/>
      <c r="V642" s="329"/>
      <c r="X642" s="329"/>
      <c r="Z642" s="329"/>
      <c r="AB642" s="329"/>
      <c r="AD642" s="329"/>
      <c r="AF642" s="329"/>
      <c r="AH642" s="329"/>
      <c r="AJ642" s="329"/>
      <c r="AL642" s="329"/>
      <c r="AN642" s="329"/>
      <c r="AP642" s="329"/>
      <c r="AR642" s="329"/>
      <c r="AT642" s="329"/>
      <c r="AV642" s="329"/>
      <c r="AX642" s="329"/>
      <c r="AZ642" s="329"/>
      <c r="BB642" s="329"/>
      <c r="BD642" s="329"/>
      <c r="BF642" s="329"/>
      <c r="BH642" s="329"/>
      <c r="BJ642" s="329"/>
      <c r="BL642" s="329"/>
      <c r="BN642" s="329"/>
    </row>
    <row r="643" spans="14:66">
      <c r="N643" s="329"/>
      <c r="P643" s="329"/>
      <c r="R643" s="329"/>
      <c r="T643" s="329"/>
      <c r="V643" s="329"/>
      <c r="X643" s="329"/>
      <c r="Z643" s="329"/>
      <c r="AB643" s="329"/>
      <c r="AD643" s="329"/>
      <c r="AF643" s="329"/>
      <c r="AH643" s="329"/>
      <c r="AJ643" s="329"/>
      <c r="AL643" s="329"/>
      <c r="AN643" s="329"/>
      <c r="AP643" s="329"/>
      <c r="AR643" s="329"/>
      <c r="AT643" s="329"/>
      <c r="AV643" s="329"/>
      <c r="AX643" s="329"/>
      <c r="AZ643" s="329"/>
      <c r="BB643" s="329"/>
      <c r="BD643" s="329"/>
      <c r="BF643" s="329"/>
      <c r="BH643" s="329"/>
      <c r="BJ643" s="329"/>
      <c r="BL643" s="329"/>
      <c r="BN643" s="329"/>
    </row>
    <row r="644" spans="14:66">
      <c r="N644" s="329"/>
      <c r="P644" s="329"/>
      <c r="R644" s="329"/>
      <c r="T644" s="329"/>
      <c r="V644" s="329"/>
      <c r="X644" s="329"/>
      <c r="Z644" s="329"/>
      <c r="AB644" s="329"/>
      <c r="AD644" s="329"/>
      <c r="AF644" s="329"/>
      <c r="AH644" s="329"/>
      <c r="AJ644" s="329"/>
      <c r="AL644" s="329"/>
      <c r="AN644" s="329"/>
      <c r="AP644" s="329"/>
      <c r="AR644" s="329"/>
      <c r="AT644" s="329"/>
      <c r="AV644" s="329"/>
      <c r="AX644" s="329"/>
      <c r="AZ644" s="329"/>
      <c r="BB644" s="329"/>
      <c r="BD644" s="329"/>
      <c r="BF644" s="329"/>
      <c r="BH644" s="329"/>
      <c r="BJ644" s="329"/>
      <c r="BL644" s="329"/>
      <c r="BN644" s="329"/>
    </row>
    <row r="645" spans="14:66">
      <c r="N645" s="329"/>
      <c r="P645" s="329"/>
      <c r="R645" s="329"/>
      <c r="T645" s="329"/>
      <c r="V645" s="329"/>
      <c r="X645" s="329"/>
      <c r="Z645" s="329"/>
      <c r="AB645" s="329"/>
      <c r="AD645" s="329"/>
      <c r="AF645" s="329"/>
      <c r="AH645" s="329"/>
      <c r="AJ645" s="329"/>
      <c r="AL645" s="329"/>
      <c r="AN645" s="329"/>
      <c r="AP645" s="329"/>
      <c r="AR645" s="329"/>
      <c r="AT645" s="329"/>
      <c r="AV645" s="329"/>
      <c r="AX645" s="329"/>
      <c r="AZ645" s="329"/>
      <c r="BB645" s="329"/>
      <c r="BD645" s="329"/>
      <c r="BF645" s="329"/>
      <c r="BH645" s="329"/>
      <c r="BJ645" s="329"/>
      <c r="BL645" s="329"/>
      <c r="BN645" s="329"/>
    </row>
    <row r="646" spans="14:66">
      <c r="N646" s="329"/>
      <c r="P646" s="329"/>
      <c r="R646" s="329"/>
      <c r="T646" s="329"/>
      <c r="V646" s="329"/>
      <c r="X646" s="329"/>
      <c r="Z646" s="329"/>
      <c r="AB646" s="329"/>
      <c r="AD646" s="329"/>
      <c r="AF646" s="329"/>
      <c r="AH646" s="329"/>
      <c r="AJ646" s="329"/>
      <c r="AL646" s="329"/>
      <c r="AN646" s="329"/>
      <c r="AP646" s="329"/>
      <c r="AR646" s="329"/>
      <c r="AT646" s="329"/>
      <c r="AV646" s="329"/>
      <c r="AX646" s="329"/>
      <c r="AZ646" s="329"/>
      <c r="BB646" s="329"/>
      <c r="BD646" s="329"/>
      <c r="BF646" s="329"/>
      <c r="BH646" s="329"/>
      <c r="BJ646" s="329"/>
      <c r="BL646" s="329"/>
      <c r="BN646" s="329"/>
    </row>
    <row r="647" spans="14:66">
      <c r="N647" s="329"/>
      <c r="P647" s="329"/>
      <c r="R647" s="329"/>
      <c r="T647" s="329"/>
      <c r="V647" s="329"/>
      <c r="X647" s="329"/>
      <c r="Z647" s="329"/>
      <c r="AB647" s="329"/>
      <c r="AD647" s="329"/>
      <c r="AF647" s="329"/>
      <c r="AH647" s="329"/>
      <c r="AJ647" s="329"/>
      <c r="AL647" s="329"/>
      <c r="AN647" s="329"/>
      <c r="AP647" s="329"/>
      <c r="AR647" s="329"/>
      <c r="AT647" s="329"/>
      <c r="AV647" s="329"/>
      <c r="AX647" s="329"/>
      <c r="AZ647" s="329"/>
      <c r="BB647" s="329"/>
      <c r="BD647" s="329"/>
      <c r="BF647" s="329"/>
      <c r="BH647" s="329"/>
      <c r="BJ647" s="329"/>
      <c r="BL647" s="329"/>
      <c r="BN647" s="329"/>
    </row>
    <row r="648" spans="14:66">
      <c r="N648" s="329"/>
      <c r="P648" s="329"/>
      <c r="R648" s="329"/>
      <c r="T648" s="329"/>
      <c r="V648" s="329"/>
      <c r="X648" s="329"/>
      <c r="Z648" s="329"/>
      <c r="AB648" s="329"/>
      <c r="AD648" s="329"/>
      <c r="AF648" s="329"/>
      <c r="AH648" s="329"/>
      <c r="AJ648" s="329"/>
      <c r="AL648" s="329"/>
      <c r="AN648" s="329"/>
      <c r="AP648" s="329"/>
      <c r="AR648" s="329"/>
      <c r="AT648" s="329"/>
      <c r="AV648" s="329"/>
      <c r="AX648" s="329"/>
      <c r="AZ648" s="329"/>
      <c r="BB648" s="329"/>
      <c r="BD648" s="329"/>
      <c r="BF648" s="329"/>
      <c r="BH648" s="329"/>
      <c r="BJ648" s="329"/>
      <c r="BL648" s="329"/>
      <c r="BN648" s="329"/>
    </row>
    <row r="649" spans="14:66">
      <c r="N649" s="329"/>
      <c r="P649" s="329"/>
      <c r="R649" s="329"/>
      <c r="T649" s="329"/>
      <c r="V649" s="329"/>
      <c r="X649" s="329"/>
      <c r="Z649" s="329"/>
      <c r="AB649" s="329"/>
      <c r="AD649" s="329"/>
      <c r="AF649" s="329"/>
      <c r="AH649" s="329"/>
      <c r="AJ649" s="329"/>
      <c r="AL649" s="329"/>
      <c r="AN649" s="329"/>
      <c r="AP649" s="329"/>
      <c r="AR649" s="329"/>
      <c r="AT649" s="329"/>
      <c r="AV649" s="329"/>
      <c r="AX649" s="329"/>
      <c r="AZ649" s="329"/>
      <c r="BB649" s="329"/>
      <c r="BD649" s="329"/>
      <c r="BF649" s="329"/>
      <c r="BH649" s="329"/>
      <c r="BJ649" s="329"/>
      <c r="BL649" s="329"/>
      <c r="BN649" s="329"/>
    </row>
    <row r="650" spans="14:66">
      <c r="N650" s="329"/>
      <c r="P650" s="329"/>
      <c r="R650" s="329"/>
      <c r="T650" s="329"/>
      <c r="V650" s="329"/>
      <c r="X650" s="329"/>
      <c r="Z650" s="329"/>
      <c r="AB650" s="329"/>
      <c r="AD650" s="329"/>
      <c r="AF650" s="329"/>
      <c r="AH650" s="329"/>
      <c r="AJ650" s="329"/>
      <c r="AL650" s="329"/>
      <c r="AN650" s="329"/>
      <c r="AP650" s="329"/>
      <c r="AR650" s="329"/>
      <c r="AT650" s="329"/>
      <c r="AV650" s="329"/>
      <c r="AX650" s="329"/>
      <c r="AZ650" s="329"/>
      <c r="BB650" s="329"/>
      <c r="BD650" s="329"/>
      <c r="BF650" s="329"/>
      <c r="BH650" s="329"/>
      <c r="BJ650" s="329"/>
      <c r="BL650" s="329"/>
      <c r="BN650" s="329"/>
    </row>
    <row r="651" spans="14:66">
      <c r="N651" s="329"/>
      <c r="P651" s="329"/>
      <c r="R651" s="329"/>
      <c r="T651" s="329"/>
      <c r="V651" s="329"/>
      <c r="X651" s="329"/>
      <c r="Z651" s="329"/>
      <c r="AB651" s="329"/>
      <c r="AD651" s="329"/>
      <c r="AF651" s="329"/>
      <c r="AH651" s="329"/>
      <c r="AJ651" s="329"/>
      <c r="AL651" s="329"/>
      <c r="AN651" s="329"/>
      <c r="AP651" s="329"/>
      <c r="AR651" s="329"/>
      <c r="AT651" s="329"/>
      <c r="AV651" s="329"/>
      <c r="AX651" s="329"/>
      <c r="AZ651" s="329"/>
      <c r="BB651" s="329"/>
      <c r="BD651" s="329"/>
      <c r="BF651" s="329"/>
      <c r="BH651" s="329"/>
      <c r="BJ651" s="329"/>
      <c r="BL651" s="329"/>
      <c r="BN651" s="329"/>
    </row>
    <row r="652" spans="14:66">
      <c r="N652" s="329"/>
      <c r="P652" s="329"/>
      <c r="R652" s="329"/>
      <c r="T652" s="329"/>
      <c r="V652" s="329"/>
      <c r="X652" s="329"/>
      <c r="Z652" s="329"/>
      <c r="AB652" s="329"/>
      <c r="AD652" s="329"/>
      <c r="AF652" s="329"/>
      <c r="AH652" s="329"/>
      <c r="AJ652" s="329"/>
      <c r="AL652" s="329"/>
      <c r="AN652" s="329"/>
      <c r="AP652" s="329"/>
      <c r="AR652" s="329"/>
      <c r="AT652" s="329"/>
      <c r="AV652" s="329"/>
      <c r="AX652" s="329"/>
      <c r="AZ652" s="329"/>
      <c r="BB652" s="329"/>
      <c r="BD652" s="329"/>
      <c r="BF652" s="329"/>
      <c r="BH652" s="329"/>
      <c r="BJ652" s="329"/>
      <c r="BL652" s="329"/>
      <c r="BN652" s="329"/>
    </row>
    <row r="653" spans="14:66">
      <c r="N653" s="329"/>
      <c r="P653" s="329"/>
      <c r="R653" s="329"/>
      <c r="T653" s="329"/>
      <c r="V653" s="329"/>
      <c r="X653" s="329"/>
      <c r="Z653" s="329"/>
      <c r="AB653" s="329"/>
      <c r="AD653" s="329"/>
      <c r="AF653" s="329"/>
      <c r="AH653" s="329"/>
      <c r="AJ653" s="329"/>
      <c r="AL653" s="329"/>
      <c r="AN653" s="329"/>
      <c r="AP653" s="329"/>
      <c r="AR653" s="329"/>
      <c r="AT653" s="329"/>
      <c r="AV653" s="329"/>
      <c r="AX653" s="329"/>
      <c r="AZ653" s="329"/>
      <c r="BB653" s="329"/>
      <c r="BD653" s="329"/>
      <c r="BF653" s="329"/>
      <c r="BH653" s="329"/>
      <c r="BJ653" s="329"/>
      <c r="BL653" s="329"/>
      <c r="BN653" s="329"/>
    </row>
    <row r="654" spans="14:66">
      <c r="N654" s="329"/>
      <c r="P654" s="329"/>
      <c r="R654" s="329"/>
      <c r="T654" s="329"/>
      <c r="V654" s="329"/>
      <c r="X654" s="329"/>
      <c r="Z654" s="329"/>
      <c r="AB654" s="329"/>
      <c r="AD654" s="329"/>
      <c r="AF654" s="329"/>
      <c r="AH654" s="329"/>
      <c r="AJ654" s="329"/>
      <c r="AL654" s="329"/>
      <c r="AN654" s="329"/>
      <c r="AP654" s="329"/>
      <c r="AR654" s="329"/>
      <c r="AT654" s="329"/>
      <c r="AV654" s="329"/>
      <c r="AX654" s="329"/>
      <c r="AZ654" s="329"/>
      <c r="BB654" s="329"/>
      <c r="BD654" s="329"/>
      <c r="BF654" s="329"/>
      <c r="BH654" s="329"/>
      <c r="BJ654" s="329"/>
      <c r="BL654" s="329"/>
      <c r="BN654" s="329"/>
    </row>
    <row r="655" spans="14:66">
      <c r="N655" s="329"/>
      <c r="P655" s="329"/>
      <c r="R655" s="329"/>
      <c r="T655" s="329"/>
      <c r="V655" s="329"/>
      <c r="X655" s="329"/>
      <c r="Z655" s="329"/>
      <c r="AB655" s="329"/>
      <c r="AD655" s="329"/>
      <c r="AF655" s="329"/>
      <c r="AH655" s="329"/>
      <c r="AJ655" s="329"/>
      <c r="AL655" s="329"/>
      <c r="AN655" s="329"/>
      <c r="AP655" s="329"/>
      <c r="AR655" s="329"/>
      <c r="AT655" s="329"/>
      <c r="AV655" s="329"/>
      <c r="AX655" s="329"/>
      <c r="AZ655" s="329"/>
      <c r="BB655" s="329"/>
      <c r="BD655" s="329"/>
      <c r="BF655" s="329"/>
      <c r="BH655" s="329"/>
      <c r="BJ655" s="329"/>
      <c r="BL655" s="329"/>
      <c r="BN655" s="329"/>
    </row>
    <row r="656" spans="14:66">
      <c r="N656" s="329"/>
      <c r="P656" s="329"/>
      <c r="R656" s="329"/>
      <c r="T656" s="329"/>
      <c r="V656" s="329"/>
      <c r="X656" s="329"/>
      <c r="Z656" s="329"/>
      <c r="AB656" s="329"/>
      <c r="AD656" s="329"/>
      <c r="AF656" s="329"/>
      <c r="AH656" s="329"/>
      <c r="AJ656" s="329"/>
      <c r="AL656" s="329"/>
      <c r="AN656" s="329"/>
      <c r="AP656" s="329"/>
      <c r="AR656" s="329"/>
      <c r="AT656" s="329"/>
      <c r="AV656" s="329"/>
      <c r="AX656" s="329"/>
      <c r="AZ656" s="329"/>
      <c r="BB656" s="329"/>
      <c r="BD656" s="329"/>
      <c r="BF656" s="329"/>
      <c r="BH656" s="329"/>
      <c r="BJ656" s="329"/>
      <c r="BL656" s="329"/>
      <c r="BN656" s="329"/>
    </row>
    <row r="657" spans="14:66">
      <c r="N657" s="329"/>
      <c r="P657" s="329"/>
      <c r="R657" s="329"/>
      <c r="T657" s="329"/>
      <c r="V657" s="329"/>
      <c r="X657" s="329"/>
      <c r="Z657" s="329"/>
      <c r="AB657" s="329"/>
      <c r="AD657" s="329"/>
      <c r="AF657" s="329"/>
      <c r="AH657" s="329"/>
      <c r="AJ657" s="329"/>
      <c r="AL657" s="329"/>
      <c r="AN657" s="329"/>
      <c r="AP657" s="329"/>
      <c r="AR657" s="329"/>
      <c r="AT657" s="329"/>
      <c r="AV657" s="329"/>
      <c r="AX657" s="329"/>
      <c r="AZ657" s="329"/>
      <c r="BB657" s="329"/>
      <c r="BD657" s="329"/>
      <c r="BF657" s="329"/>
      <c r="BH657" s="329"/>
      <c r="BJ657" s="329"/>
      <c r="BL657" s="329"/>
      <c r="BN657" s="329"/>
    </row>
    <row r="658" spans="14:66">
      <c r="N658" s="329"/>
      <c r="P658" s="329"/>
      <c r="R658" s="329"/>
      <c r="T658" s="329"/>
      <c r="V658" s="329"/>
      <c r="X658" s="329"/>
      <c r="Z658" s="329"/>
      <c r="AB658" s="329"/>
      <c r="AD658" s="329"/>
      <c r="AF658" s="329"/>
      <c r="AH658" s="329"/>
      <c r="AJ658" s="329"/>
      <c r="AL658" s="329"/>
      <c r="AN658" s="329"/>
      <c r="AP658" s="329"/>
      <c r="AR658" s="329"/>
      <c r="AT658" s="329"/>
      <c r="AV658" s="329"/>
      <c r="AX658" s="329"/>
      <c r="AZ658" s="329"/>
      <c r="BB658" s="329"/>
      <c r="BD658" s="329"/>
      <c r="BF658" s="329"/>
      <c r="BH658" s="329"/>
      <c r="BJ658" s="329"/>
      <c r="BL658" s="329"/>
      <c r="BN658" s="329"/>
    </row>
  </sheetData>
  <conditionalFormatting sqref="G8:G19">
    <cfRule type="colorScale" priority="31">
      <colorScale>
        <cfvo type="min"/>
        <cfvo type="percentile" val="50"/>
        <cfvo type="max"/>
        <color rgb="FF63BE7B"/>
        <color rgb="FFFFEB84"/>
        <color rgb="FFF8696B"/>
      </colorScale>
    </cfRule>
  </conditionalFormatting>
  <conditionalFormatting sqref="G21:G67">
    <cfRule type="colorScale" priority="1174">
      <colorScale>
        <cfvo type="min"/>
        <cfvo type="percentile" val="50"/>
        <cfvo type="max"/>
        <color rgb="FF63BE7B"/>
        <color rgb="FFFFEB84"/>
        <color rgb="FFF8696B"/>
      </colorScale>
    </cfRule>
  </conditionalFormatting>
  <conditionalFormatting sqref="G52:G67">
    <cfRule type="colorScale" priority="28">
      <colorScale>
        <cfvo type="min"/>
        <cfvo type="percentile" val="50"/>
        <cfvo type="max"/>
        <color rgb="FF63BE7B"/>
        <color rgb="FFFFEB84"/>
        <color rgb="FFF8696B"/>
      </colorScale>
    </cfRule>
  </conditionalFormatting>
  <conditionalFormatting sqref="G68:G83">
    <cfRule type="colorScale" priority="1170">
      <colorScale>
        <cfvo type="min"/>
        <cfvo type="percentile" val="50"/>
        <cfvo type="max"/>
        <color rgb="FF63BE7B"/>
        <color rgb="FFFFEB84"/>
        <color rgb="FFF8696B"/>
      </colorScale>
    </cfRule>
  </conditionalFormatting>
  <conditionalFormatting sqref="G91">
    <cfRule type="colorScale" priority="20">
      <colorScale>
        <cfvo type="min"/>
        <cfvo type="percentile" val="50"/>
        <cfvo type="max"/>
        <color rgb="FF63BE7B"/>
        <color rgb="FFFFEB84"/>
        <color rgb="FFF8696B"/>
      </colorScale>
    </cfRule>
  </conditionalFormatting>
  <conditionalFormatting sqref="G186:G193">
    <cfRule type="colorScale" priority="9">
      <colorScale>
        <cfvo type="min"/>
        <cfvo type="percentile" val="50"/>
        <cfvo type="max"/>
        <color rgb="FF63BE7B"/>
        <color rgb="FFFFEB84"/>
        <color rgb="FFF8696B"/>
      </colorScale>
    </cfRule>
    <cfRule type="colorScale" priority="10">
      <colorScale>
        <cfvo type="min"/>
        <cfvo type="percentile" val="50"/>
        <cfvo type="max"/>
        <color rgb="FF63BE7B"/>
        <color rgb="FFFFEB84"/>
        <color rgb="FFF8696B"/>
      </colorScale>
    </cfRule>
  </conditionalFormatting>
  <conditionalFormatting sqref="G194">
    <cfRule type="colorScale" priority="8">
      <colorScale>
        <cfvo type="min"/>
        <cfvo type="percentile" val="50"/>
        <cfvo type="max"/>
        <color rgb="FF63BE7B"/>
        <color rgb="FFFFEB84"/>
        <color rgb="FFF8696B"/>
      </colorScale>
    </cfRule>
  </conditionalFormatting>
  <conditionalFormatting sqref="H91">
    <cfRule type="colorScale" priority="18">
      <colorScale>
        <cfvo type="min"/>
        <cfvo type="percentile" val="50"/>
        <cfvo type="max"/>
        <color rgb="FF63BE7B"/>
        <color rgb="FFFFEB84"/>
        <color rgb="FFF8696B"/>
      </colorScale>
    </cfRule>
    <cfRule type="colorScale" priority="19">
      <colorScale>
        <cfvo type="min"/>
        <cfvo type="percentile" val="50"/>
        <cfvo type="max"/>
        <color rgb="FF63BE7B"/>
        <color rgb="FFFFEB84"/>
        <color rgb="FFF8696B"/>
      </colorScale>
    </cfRule>
  </conditionalFormatting>
  <conditionalFormatting sqref="H100">
    <cfRule type="colorScale" priority="16">
      <colorScale>
        <cfvo type="min"/>
        <cfvo type="percentile" val="50"/>
        <cfvo type="max"/>
        <color rgb="FF63BE7B"/>
        <color rgb="FFFFEB84"/>
        <color rgb="FFF8696B"/>
      </colorScale>
    </cfRule>
    <cfRule type="colorScale" priority="17">
      <colorScale>
        <cfvo type="min"/>
        <cfvo type="percentile" val="50"/>
        <cfvo type="max"/>
        <color rgb="FF63BE7B"/>
        <color rgb="FFFFEB84"/>
        <color rgb="FFF8696B"/>
      </colorScale>
    </cfRule>
  </conditionalFormatting>
  <conditionalFormatting sqref="H137:H142">
    <cfRule type="colorScale" priority="26">
      <colorScale>
        <cfvo type="min"/>
        <cfvo type="percentile" val="50"/>
        <cfvo type="max"/>
        <color rgb="FF63BE7B"/>
        <color rgb="FFFFEB84"/>
        <color rgb="FFF8696B"/>
      </colorScale>
    </cfRule>
  </conditionalFormatting>
  <conditionalFormatting sqref="H149:H175">
    <cfRule type="colorScale" priority="25">
      <colorScale>
        <cfvo type="min"/>
        <cfvo type="percentile" val="50"/>
        <cfvo type="max"/>
        <color rgb="FF63BE7B"/>
        <color rgb="FFFFEB84"/>
        <color rgb="FFF8696B"/>
      </colorScale>
    </cfRule>
  </conditionalFormatting>
  <conditionalFormatting sqref="H155">
    <cfRule type="colorScale" priority="24">
      <colorScale>
        <cfvo type="min"/>
        <cfvo type="percentile" val="50"/>
        <cfvo type="max"/>
        <color rgb="FF63BE7B"/>
        <color rgb="FFFFEB84"/>
        <color rgb="FFF8696B"/>
      </colorScale>
    </cfRule>
  </conditionalFormatting>
  <conditionalFormatting sqref="H174:H175">
    <cfRule type="colorScale" priority="23">
      <colorScale>
        <cfvo type="min"/>
        <cfvo type="percentile" val="50"/>
        <cfvo type="max"/>
        <color rgb="FF63BE7B"/>
        <color rgb="FFFFEB84"/>
        <color rgb="FFF8696B"/>
      </colorScale>
    </cfRule>
  </conditionalFormatting>
  <conditionalFormatting sqref="H191:H193">
    <cfRule type="colorScale" priority="11">
      <colorScale>
        <cfvo type="min"/>
        <cfvo type="percentile" val="50"/>
        <cfvo type="max"/>
        <color rgb="FF63BE7B"/>
        <color rgb="FFFFEB84"/>
        <color rgb="FFF8696B"/>
      </colorScale>
    </cfRule>
  </conditionalFormatting>
  <conditionalFormatting sqref="H215:H216">
    <cfRule type="colorScale" priority="7">
      <colorScale>
        <cfvo type="min"/>
        <cfvo type="percentile" val="50"/>
        <cfvo type="max"/>
        <color rgb="FF63BE7B"/>
        <color rgb="FFFFEB84"/>
        <color rgb="FFF8696B"/>
      </colorScale>
    </cfRule>
  </conditionalFormatting>
  <conditionalFormatting sqref="H223:H240 G241:G248 G251:G1048576 H249:H250 G1:G184 G194:G222">
    <cfRule type="colorScale" priority="1336">
      <colorScale>
        <cfvo type="min"/>
        <cfvo type="percentile" val="50"/>
        <cfvo type="max"/>
        <color rgb="FF63BE7B"/>
        <color rgb="FFFFEB84"/>
        <color rgb="FFF8696B"/>
      </colorScale>
    </cfRule>
  </conditionalFormatting>
  <conditionalFormatting sqref="H241:H248 H251:H1048576 I249:I250 I223:I240 H92:H99 H194:H214 H217:H222 H1:H90 H101:H182">
    <cfRule type="colorScale" priority="1341">
      <colorScale>
        <cfvo type="min"/>
        <cfvo type="percentile" val="50"/>
        <cfvo type="max"/>
        <color rgb="FF63BE7B"/>
        <color rgb="FFFFEB84"/>
        <color rgb="FFF8696B"/>
      </colorScale>
    </cfRule>
  </conditionalFormatting>
  <conditionalFormatting sqref="H242:H246">
    <cfRule type="colorScale" priority="1335">
      <colorScale>
        <cfvo type="min"/>
        <cfvo type="percentile" val="50"/>
        <cfvo type="max"/>
        <color rgb="FF63BE7B"/>
        <color rgb="FFFFEB84"/>
        <color rgb="FFF8696B"/>
      </colorScale>
    </cfRule>
  </conditionalFormatting>
  <conditionalFormatting sqref="H247:H248">
    <cfRule type="colorScale" priority="13">
      <colorScale>
        <cfvo type="min"/>
        <cfvo type="percentile" val="50"/>
        <cfvo type="max"/>
        <color rgb="FF63BE7B"/>
        <color rgb="FFFFEB84"/>
        <color rgb="FFF8696B"/>
      </colorScale>
    </cfRule>
  </conditionalFormatting>
  <conditionalFormatting sqref="I191:I192">
    <cfRule type="colorScale" priority="12">
      <colorScale>
        <cfvo type="min"/>
        <cfvo type="percentile" val="50"/>
        <cfvo type="max"/>
        <color rgb="FF63BE7B"/>
        <color rgb="FFFFEB84"/>
        <color rgb="FFF8696B"/>
      </colorScale>
    </cfRule>
  </conditionalFormatting>
  <conditionalFormatting sqref="I241:I248 I251:I345 J249:J250 I222 J224:J240 I193 I195:I220 I1:I53 I56:I182 I347:I1048576">
    <cfRule type="colorScale" priority="1348">
      <colorScale>
        <cfvo type="min"/>
        <cfvo type="percentile" val="50"/>
        <cfvo type="max"/>
        <color rgb="FF63BE7B"/>
        <color rgb="FFFFEB84"/>
        <color rgb="FFF8696B"/>
      </colorScale>
    </cfRule>
  </conditionalFormatting>
  <conditionalFormatting sqref="K152:K161">
    <cfRule type="colorScale" priority="2">
      <colorScale>
        <cfvo type="min"/>
        <cfvo type="percentile" val="50"/>
        <cfvo type="max"/>
        <color rgb="FF63BE7B"/>
        <color rgb="FFFFEB84"/>
        <color rgb="FFF8696B"/>
      </colorScale>
    </cfRule>
  </conditionalFormatting>
  <conditionalFormatting sqref="N185:BP185">
    <cfRule type="colorScale" priority="15">
      <colorScale>
        <cfvo type="min"/>
        <cfvo type="percentile" val="50"/>
        <cfvo type="max"/>
        <color rgb="FF63BE7B"/>
        <color rgb="FFFFEB84"/>
        <color rgb="FFF8696B"/>
      </colorScale>
    </cfRule>
  </conditionalFormatting>
  <conditionalFormatting sqref="V22">
    <cfRule type="colorScale" priority="51">
      <colorScale>
        <cfvo type="min"/>
        <cfvo type="percentile" val="50"/>
        <cfvo type="max"/>
        <color rgb="FF5A8AC6"/>
        <color rgb="FFFCFCFF"/>
        <color rgb="FFF8696B"/>
      </colorScale>
    </cfRule>
  </conditionalFormatting>
  <conditionalFormatting sqref="W22:AC22 L22:U22">
    <cfRule type="colorScale" priority="52">
      <colorScale>
        <cfvo type="min"/>
        <cfvo type="percentile" val="50"/>
        <cfvo type="max"/>
        <color rgb="FF5A8AC6"/>
        <color rgb="FFFCFCFF"/>
        <color rgb="FFF8696B"/>
      </colorScale>
    </cfRule>
  </conditionalFormatting>
  <conditionalFormatting sqref="AD22">
    <cfRule type="colorScale" priority="50">
      <colorScale>
        <cfvo type="min"/>
        <cfvo type="percentile" val="50"/>
        <cfvo type="max"/>
        <color rgb="FF5A8AC6"/>
        <color rgb="FFFCFCFF"/>
        <color rgb="FFF8696B"/>
      </colorScale>
    </cfRule>
  </conditionalFormatting>
  <conditionalFormatting sqref="AE22">
    <cfRule type="colorScale" priority="49">
      <colorScale>
        <cfvo type="min"/>
        <cfvo type="percentile" val="50"/>
        <cfvo type="max"/>
        <color rgb="FF5A8AC6"/>
        <color rgb="FFFCFCFF"/>
        <color rgb="FFF8696B"/>
      </colorScale>
    </cfRule>
  </conditionalFormatting>
  <conditionalFormatting sqref="AF22">
    <cfRule type="iconSet" priority="48">
      <iconSet reverse="1">
        <cfvo type="percent" val="0"/>
        <cfvo type="percent" val="33"/>
        <cfvo type="percent" val="67"/>
      </iconSet>
    </cfRule>
  </conditionalFormatting>
  <dataValidations count="8">
    <dataValidation type="list" allowBlank="1" showInputMessage="1" showErrorMessage="1" sqref="F175 F181 F133 F92" xr:uid="{684F82B2-93B2-4CAF-8A94-B105942A7838}">
      <formula1>"N,Y,ne sais pas"</formula1>
    </dataValidation>
    <dataValidation type="list" allowBlank="1" showInputMessage="1" showErrorMessage="1" sqref="H11:J11" xr:uid="{32707F89-F5FA-41ED-994A-B8470CE31676}">
      <mc:AlternateContent xmlns:x12ac="http://schemas.microsoft.com/office/spreadsheetml/2011/1/ac" xmlns:mc="http://schemas.openxmlformats.org/markup-compatibility/2006">
        <mc:Choice Requires="x12ac">
          <x12ac:list>Seul(e), Chez vos parents (vous êtes hébergé par votre famille), En couple," Avec d’autres personnes (amis, colocataires, …)"</x12ac:list>
        </mc:Choice>
        <mc:Fallback>
          <formula1>"Seul(e), Chez vos parents (vous êtes hébergé par votre famille), En couple, Avec d’autres personnes (amis, colocataires, …)"</formula1>
        </mc:Fallback>
      </mc:AlternateContent>
    </dataValidation>
    <dataValidation type="list" allowBlank="1" showInputMessage="1" showErrorMessage="1" sqref="F20" xr:uid="{EE51EC8A-5852-48AE-9972-EBF13A886B04}">
      <formula1>"Très positif, Plutôt positif, Plutôt négatif, Très négatif"</formula1>
    </dataValidation>
    <dataValidation type="list" allowBlank="1" showInputMessage="1" showErrorMessage="1" sqref="F134 F143:F146 F148 F166:F167 F237 F84:F90" xr:uid="{CC82F0E0-7A33-4E60-AEED-867989F5A4AB}">
      <formula1>"0,1,2,3"</formula1>
    </dataValidation>
    <dataValidation type="list" allowBlank="1" showInputMessage="1" showErrorMessage="1" sqref="F336 F207 F233:F236 F242:F248 F345 F63:F64 F66 F230:F231 F179 F188:F194 F5 F12 F17 D336 F147 F222 F114:F132" xr:uid="{06377822-F531-434C-8E25-52E42EBEC63E}">
      <formula1>"0,1,2"</formula1>
    </dataValidation>
    <dataValidation type="list" allowBlank="1" showInputMessage="1" showErrorMessage="1" sqref="F255" xr:uid="{3E8AC111-275C-431C-98FB-2AF2A2109E46}">
      <formula1>"0,1,2 ou plus"</formula1>
    </dataValidation>
    <dataValidation type="list" allowBlank="1" showInputMessage="1" showErrorMessage="1" sqref="F208 F337:F340 F342:F343 F8:F9 F13:F16 F18:F19 F21:F62 F65 F67:F83 F91 F93:F113 F135:F142 F11 F149:F165 F176:F178 F180 F182:F187 F195:F205 F210:F211 F254 F256:F259 F251 F168:F174" xr:uid="{EC336489-5996-40EC-9FD7-B4060ABE4C61}">
      <formula1>"0,1"</formula1>
    </dataValidation>
    <dataValidation type="list" allowBlank="1" showInputMessage="1" showErrorMessage="1" sqref="F209 F206 F10" xr:uid="{9ADDB758-BE6F-4B0C-AD67-E387C019BED6}">
      <formula1>"0,1,2,3,4,5"</formula1>
    </dataValidation>
  </dataValidations>
  <hyperlinks>
    <hyperlink ref="F355" r:id="rId1" xr:uid="{25C5291A-A680-435D-99BE-E2B90D48754F}"/>
  </hyperlinks>
  <printOptions headings="1"/>
  <pageMargins left="0.70866141732283472" right="0.70866141732283472" top="0.74803149606299213" bottom="0.74803149606299213" header="0.31496062992125984" footer="0.31496062992125984"/>
  <pageSetup paperSize="9" scale="13"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tabColor rgb="FFFF0000"/>
  </sheetPr>
  <dimension ref="C2:Y25"/>
  <sheetViews>
    <sheetView showFormulas="1" topLeftCell="L1" zoomScale="75" zoomScaleNormal="75" zoomScaleSheetLayoutView="75" workbookViewId="0">
      <selection activeCell="Q23" sqref="Q23"/>
    </sheetView>
  </sheetViews>
  <sheetFormatPr baseColWidth="10" defaultColWidth="11.5703125" defaultRowHeight="15"/>
  <cols>
    <col min="8" max="8" width="15.28515625" style="265" customWidth="1"/>
    <col min="9" max="10" width="10.85546875" style="15"/>
    <col min="11" max="11" width="14.42578125" style="15" customWidth="1"/>
    <col min="13" max="13" width="15.7109375" customWidth="1"/>
    <col min="14" max="14" width="11.5703125" style="15"/>
    <col min="17" max="17" width="16.42578125" customWidth="1"/>
  </cols>
  <sheetData>
    <row r="2" spans="7:25" ht="21">
      <c r="G2" s="235" t="s">
        <v>55</v>
      </c>
      <c r="H2" s="264" t="s">
        <v>34</v>
      </c>
      <c r="I2" s="236" t="s">
        <v>56</v>
      </c>
      <c r="J2" s="236" t="s">
        <v>80</v>
      </c>
      <c r="K2" s="236" t="s">
        <v>605</v>
      </c>
      <c r="R2" t="s">
        <v>768</v>
      </c>
      <c r="W2" s="234"/>
      <c r="X2" s="21"/>
      <c r="Y2" s="22"/>
    </row>
    <row r="3" spans="7:25" ht="21">
      <c r="G3" s="237" t="s">
        <v>54</v>
      </c>
      <c r="H3" s="263">
        <f>calculRISKS!R2</f>
        <v>0</v>
      </c>
      <c r="I3" s="238">
        <f>calculRISKS!S2</f>
        <v>0</v>
      </c>
      <c r="J3" s="238">
        <f>calculRISKS!V2</f>
        <v>0</v>
      </c>
      <c r="K3" s="263">
        <f>(MAX(I3,J3)-(H3+(H3*0.1)))</f>
        <v>0</v>
      </c>
      <c r="M3" s="239" t="s">
        <v>91</v>
      </c>
      <c r="N3" s="28"/>
      <c r="O3" s="242">
        <v>-5</v>
      </c>
      <c r="Q3" s="839" t="s">
        <v>54</v>
      </c>
      <c r="R3" s="244" t="e">
        <f>MIN(I3:J3)/H3</f>
        <v>#DIV/0!</v>
      </c>
      <c r="S3">
        <v>1.2</v>
      </c>
      <c r="T3" s="28" t="e">
        <f>IF(R3&gt;3,3,R3)</f>
        <v>#DIV/0!</v>
      </c>
      <c r="U3" s="28">
        <v>2.2000000000000002</v>
      </c>
      <c r="V3" s="28">
        <v>3</v>
      </c>
      <c r="W3" s="20" t="s">
        <v>769</v>
      </c>
      <c r="X3" s="20" t="s">
        <v>771</v>
      </c>
      <c r="Y3" s="20" t="s">
        <v>770</v>
      </c>
    </row>
    <row r="4" spans="7:25" ht="21">
      <c r="G4" s="240" t="s">
        <v>35</v>
      </c>
      <c r="H4" s="263">
        <f>calculRISKS!R3</f>
        <v>0</v>
      </c>
      <c r="I4" s="238">
        <f>calculRISKS!S3</f>
        <v>0</v>
      </c>
      <c r="J4" s="238">
        <f>calculRISKS!V3</f>
        <v>0</v>
      </c>
      <c r="K4" s="263">
        <f t="shared" ref="K4:K23" si="0">MAX(I4,J4)-(H4+(H4*0.1))</f>
        <v>0</v>
      </c>
      <c r="M4" s="239" t="s">
        <v>92</v>
      </c>
      <c r="N4" s="28"/>
      <c r="O4" s="242"/>
      <c r="Q4" s="840" t="s">
        <v>35</v>
      </c>
      <c r="R4" s="244" t="e">
        <f t="shared" ref="R4:R23" si="1">MIN(I4:J4)/H4</f>
        <v>#DIV/0!</v>
      </c>
      <c r="S4">
        <v>1.2</v>
      </c>
      <c r="T4" s="28" t="e">
        <f t="shared" ref="T4:T23" si="2">IF(R4&gt;3,3,R4)</f>
        <v>#DIV/0!</v>
      </c>
      <c r="U4" s="28">
        <v>2.2000000000000002</v>
      </c>
      <c r="V4" s="28">
        <v>3</v>
      </c>
      <c r="W4" s="20" t="s">
        <v>769</v>
      </c>
      <c r="X4" s="20" t="s">
        <v>771</v>
      </c>
      <c r="Y4" s="20" t="s">
        <v>770</v>
      </c>
    </row>
    <row r="5" spans="7:25" ht="21">
      <c r="G5" s="240" t="s">
        <v>36</v>
      </c>
      <c r="H5" s="263">
        <f>calculRISKS!R4</f>
        <v>3.9534999999999876E-2</v>
      </c>
      <c r="I5" s="238">
        <f>calculRISKS!S4</f>
        <v>4.7441999999999852E-2</v>
      </c>
      <c r="J5" s="238">
        <f>calculRISKS!V4</f>
        <v>6.9822857142856937E-2</v>
      </c>
      <c r="K5" s="263">
        <f t="shared" si="0"/>
        <v>2.6334357142857076E-2</v>
      </c>
      <c r="M5" s="239" t="s">
        <v>93</v>
      </c>
      <c r="N5" s="28"/>
      <c r="O5" s="242">
        <v>5</v>
      </c>
      <c r="Q5" s="240" t="s">
        <v>36</v>
      </c>
      <c r="R5" s="244">
        <f t="shared" si="1"/>
        <v>1.2</v>
      </c>
      <c r="S5">
        <v>1.2</v>
      </c>
      <c r="T5" s="28">
        <f t="shared" si="2"/>
        <v>1.2</v>
      </c>
      <c r="U5" s="28">
        <v>2.2000000000000002</v>
      </c>
      <c r="V5" s="28">
        <v>3</v>
      </c>
      <c r="W5" s="20" t="s">
        <v>769</v>
      </c>
      <c r="X5" s="20" t="s">
        <v>771</v>
      </c>
      <c r="Y5" s="20" t="s">
        <v>770</v>
      </c>
    </row>
    <row r="6" spans="7:25" ht="21">
      <c r="G6" s="240" t="s">
        <v>37</v>
      </c>
      <c r="H6" s="263">
        <f>calculRISKS!R5</f>
        <v>8.8500000000001855E-2</v>
      </c>
      <c r="I6" s="238">
        <f>calculRISKS!S5</f>
        <v>7.9650000000001678E-2</v>
      </c>
      <c r="J6" s="238">
        <f>calculRISKS!V5</f>
        <v>7.9650000000001678E-2</v>
      </c>
      <c r="K6" s="263">
        <f t="shared" si="0"/>
        <v>-1.7700000000000368E-2</v>
      </c>
      <c r="M6" s="239" t="s">
        <v>94</v>
      </c>
      <c r="N6" s="28"/>
      <c r="O6" s="242">
        <v>20</v>
      </c>
      <c r="Q6" s="240" t="s">
        <v>37</v>
      </c>
      <c r="R6" s="244">
        <f t="shared" si="1"/>
        <v>0.90000000000000013</v>
      </c>
      <c r="S6">
        <v>1.2</v>
      </c>
      <c r="T6" s="28">
        <f t="shared" si="2"/>
        <v>0.90000000000000013</v>
      </c>
      <c r="U6" s="28">
        <v>2.2000000000000002</v>
      </c>
      <c r="V6" s="28">
        <v>3</v>
      </c>
      <c r="W6" s="20" t="s">
        <v>769</v>
      </c>
      <c r="X6" s="20" t="s">
        <v>771</v>
      </c>
      <c r="Y6" s="20" t="s">
        <v>770</v>
      </c>
    </row>
    <row r="7" spans="7:25" ht="21">
      <c r="G7" s="240" t="s">
        <v>38</v>
      </c>
      <c r="H7" s="263">
        <f>calculRISKS!R6</f>
        <v>1.7842499999999966E-2</v>
      </c>
      <c r="I7" s="238">
        <f>calculRISKS!S6</f>
        <v>2.1410999999999958E-2</v>
      </c>
      <c r="J7" s="238">
        <f>calculRISKS!V6</f>
        <v>2.7126857142857119E-2</v>
      </c>
      <c r="K7" s="263">
        <f t="shared" si="0"/>
        <v>7.5001071428571556E-3</v>
      </c>
      <c r="N7" s="28"/>
      <c r="Q7" s="240" t="s">
        <v>38</v>
      </c>
      <c r="R7" s="244">
        <f t="shared" si="1"/>
        <v>1.2</v>
      </c>
      <c r="S7">
        <v>1.2</v>
      </c>
      <c r="T7" s="28">
        <f t="shared" si="2"/>
        <v>1.2</v>
      </c>
      <c r="U7" s="28">
        <v>2.2000000000000002</v>
      </c>
      <c r="V7" s="28">
        <v>3</v>
      </c>
      <c r="W7" s="20" t="s">
        <v>769</v>
      </c>
      <c r="X7" s="20" t="s">
        <v>771</v>
      </c>
      <c r="Y7" s="20" t="s">
        <v>770</v>
      </c>
    </row>
    <row r="8" spans="7:25" ht="21">
      <c r="G8" s="240" t="s">
        <v>39</v>
      </c>
      <c r="H8" s="263">
        <f>calculRISKS!R7</f>
        <v>1.145337746135637E-2</v>
      </c>
      <c r="I8" s="238">
        <f>calculRISKS!S7</f>
        <v>1.2369647658264881E-2</v>
      </c>
      <c r="J8" s="238">
        <f>calculRISKS!V7</f>
        <v>1.9266368008553577E-2</v>
      </c>
      <c r="K8" s="263">
        <f t="shared" si="0"/>
        <v>6.6676528010615691E-3</v>
      </c>
      <c r="N8" s="28"/>
      <c r="Q8" s="240" t="s">
        <v>39</v>
      </c>
      <c r="R8" s="244">
        <f t="shared" si="1"/>
        <v>1.08</v>
      </c>
      <c r="S8">
        <v>1.2</v>
      </c>
      <c r="T8" s="28">
        <f t="shared" si="2"/>
        <v>1.08</v>
      </c>
      <c r="U8" s="28">
        <v>2.2000000000000002</v>
      </c>
      <c r="V8" s="28">
        <v>3</v>
      </c>
      <c r="W8" s="20" t="s">
        <v>769</v>
      </c>
      <c r="X8" s="20" t="s">
        <v>771</v>
      </c>
      <c r="Y8" s="20" t="s">
        <v>770</v>
      </c>
    </row>
    <row r="9" spans="7:25" ht="21">
      <c r="G9" s="240" t="s">
        <v>250</v>
      </c>
      <c r="H9" s="263">
        <f>calculRISKS!R8</f>
        <v>0.13600000000000009</v>
      </c>
      <c r="I9" s="238" t="e">
        <f>calculRISKS!S8</f>
        <v>#DIV/0!</v>
      </c>
      <c r="J9" s="238" t="e">
        <f>calculRISKS!V8</f>
        <v>#DIV/0!</v>
      </c>
      <c r="K9" s="263" t="e">
        <f t="shared" si="0"/>
        <v>#DIV/0!</v>
      </c>
      <c r="N9" s="28"/>
      <c r="Q9" s="240" t="s">
        <v>250</v>
      </c>
      <c r="R9" s="244" t="e">
        <f t="shared" si="1"/>
        <v>#DIV/0!</v>
      </c>
      <c r="S9">
        <v>1.2</v>
      </c>
      <c r="T9" s="28" t="e">
        <f t="shared" si="2"/>
        <v>#DIV/0!</v>
      </c>
      <c r="U9" s="28">
        <v>2.2000000000000002</v>
      </c>
      <c r="V9" s="28">
        <v>3</v>
      </c>
      <c r="W9" s="20" t="s">
        <v>769</v>
      </c>
      <c r="X9" s="20" t="s">
        <v>771</v>
      </c>
      <c r="Y9" s="20" t="s">
        <v>770</v>
      </c>
    </row>
    <row r="10" spans="7:25" ht="21">
      <c r="G10" s="240" t="s">
        <v>41</v>
      </c>
      <c r="H10" s="263">
        <f>calculRISKS!R9</f>
        <v>7.0000000000000007E-2</v>
      </c>
      <c r="I10" s="238">
        <f>calculRISKS!S9</f>
        <v>7.0000000000000007E-2</v>
      </c>
      <c r="J10" s="238">
        <f>calculRISKS!V9</f>
        <v>8.0000000000000016E-2</v>
      </c>
      <c r="K10" s="263">
        <f t="shared" si="0"/>
        <v>3.0000000000000027E-3</v>
      </c>
      <c r="N10" s="28"/>
      <c r="Q10" s="240" t="s">
        <v>41</v>
      </c>
      <c r="R10" s="244">
        <f t="shared" si="1"/>
        <v>1</v>
      </c>
      <c r="S10">
        <v>1.2</v>
      </c>
      <c r="T10" s="28">
        <f t="shared" si="2"/>
        <v>1</v>
      </c>
      <c r="U10" s="28">
        <v>2.2000000000000002</v>
      </c>
      <c r="V10" s="28">
        <v>3</v>
      </c>
      <c r="W10" s="20" t="s">
        <v>769</v>
      </c>
      <c r="X10" s="20" t="s">
        <v>771</v>
      </c>
      <c r="Y10" s="20" t="s">
        <v>770</v>
      </c>
    </row>
    <row r="11" spans="7:25" ht="21">
      <c r="G11" s="240" t="s">
        <v>42</v>
      </c>
      <c r="H11" s="263">
        <f>calculRISKS!R10</f>
        <v>0.25</v>
      </c>
      <c r="I11" s="238">
        <f>calculRISKS!S10</f>
        <v>1</v>
      </c>
      <c r="J11" s="238">
        <f>calculRISKS!V10</f>
        <v>1</v>
      </c>
      <c r="K11" s="263">
        <f t="shared" si="0"/>
        <v>0.72499999999999998</v>
      </c>
      <c r="N11" s="28"/>
      <c r="Q11" s="240" t="s">
        <v>42</v>
      </c>
      <c r="R11" s="244">
        <f t="shared" si="1"/>
        <v>4</v>
      </c>
      <c r="S11">
        <v>1.2</v>
      </c>
      <c r="T11" s="28">
        <f t="shared" si="2"/>
        <v>3</v>
      </c>
      <c r="U11" s="28">
        <v>2.2000000000000002</v>
      </c>
      <c r="V11" s="28">
        <v>3</v>
      </c>
      <c r="W11" s="20" t="s">
        <v>769</v>
      </c>
      <c r="X11" s="20" t="s">
        <v>771</v>
      </c>
      <c r="Y11" s="20" t="s">
        <v>770</v>
      </c>
    </row>
    <row r="12" spans="7:25" ht="21">
      <c r="G12" s="240" t="s">
        <v>249</v>
      </c>
      <c r="H12" s="263">
        <f>calculRISKS!R11</f>
        <v>2.5375000000000002E-2</v>
      </c>
      <c r="I12" s="238">
        <f>calculRISKS!S11</f>
        <v>2.2837500000000004E-2</v>
      </c>
      <c r="J12" s="238">
        <f>calculRISKS!V11</f>
        <v>2.59714285714286E-2</v>
      </c>
      <c r="K12" s="263">
        <f t="shared" si="0"/>
        <v>-1.9410714285714031E-3</v>
      </c>
      <c r="N12" s="28"/>
      <c r="Q12" s="240" t="s">
        <v>249</v>
      </c>
      <c r="R12" s="244">
        <f t="shared" si="1"/>
        <v>0.90000000000000013</v>
      </c>
      <c r="S12">
        <v>1.2</v>
      </c>
      <c r="T12" s="28">
        <f t="shared" si="2"/>
        <v>0.90000000000000013</v>
      </c>
      <c r="U12" s="28">
        <v>2.2000000000000002</v>
      </c>
      <c r="V12" s="28">
        <v>3</v>
      </c>
      <c r="W12" s="20" t="s">
        <v>769</v>
      </c>
      <c r="X12" s="20" t="s">
        <v>771</v>
      </c>
      <c r="Y12" s="20" t="s">
        <v>770</v>
      </c>
    </row>
    <row r="13" spans="7:25" ht="21">
      <c r="G13" s="240" t="s">
        <v>44</v>
      </c>
      <c r="H13" s="263">
        <f>calculRISKS!R12</f>
        <v>0.17187500000000003</v>
      </c>
      <c r="I13" s="238">
        <f>calculRISKS!S12</f>
        <v>8.5937500000000014E-2</v>
      </c>
      <c r="J13" s="238">
        <f>calculRISKS!V12</f>
        <v>9.2142857142857165E-2</v>
      </c>
      <c r="K13" s="263">
        <f t="shared" si="0"/>
        <v>-9.6919642857142857E-2</v>
      </c>
      <c r="N13" s="28"/>
      <c r="Q13" s="240" t="s">
        <v>44</v>
      </c>
      <c r="R13" s="244">
        <f t="shared" si="1"/>
        <v>0.5</v>
      </c>
      <c r="S13">
        <v>1.2</v>
      </c>
      <c r="T13" s="28">
        <f t="shared" si="2"/>
        <v>0.5</v>
      </c>
      <c r="U13" s="28">
        <v>2.2000000000000002</v>
      </c>
      <c r="V13" s="28">
        <v>3</v>
      </c>
      <c r="W13" s="20" t="s">
        <v>769</v>
      </c>
      <c r="X13" s="20" t="s">
        <v>771</v>
      </c>
      <c r="Y13" s="20" t="s">
        <v>770</v>
      </c>
    </row>
    <row r="14" spans="7:25" ht="21">
      <c r="G14" s="240" t="s">
        <v>45</v>
      </c>
      <c r="H14" s="263">
        <f>calculRISKS!R13</f>
        <v>0.02</v>
      </c>
      <c r="I14" s="238">
        <f>calculRISKS!S13</f>
        <v>2.1600000000000001E-2</v>
      </c>
      <c r="J14" s="238">
        <f>calculRISKS!V13</f>
        <v>2.1600000000000001E-2</v>
      </c>
      <c r="K14" s="263">
        <f t="shared" si="0"/>
        <v>-3.9999999999999758E-4</v>
      </c>
      <c r="N14" s="28"/>
      <c r="Q14" s="240" t="s">
        <v>45</v>
      </c>
      <c r="R14" s="244">
        <f t="shared" si="1"/>
        <v>1.08</v>
      </c>
      <c r="S14">
        <v>1.2</v>
      </c>
      <c r="T14" s="28">
        <f t="shared" si="2"/>
        <v>1.08</v>
      </c>
      <c r="U14" s="28">
        <v>2.2000000000000002</v>
      </c>
      <c r="V14" s="28">
        <v>3</v>
      </c>
      <c r="W14" s="20" t="s">
        <v>769</v>
      </c>
      <c r="X14" s="20" t="s">
        <v>771</v>
      </c>
      <c r="Y14" s="20" t="s">
        <v>770</v>
      </c>
    </row>
    <row r="15" spans="7:25" ht="21">
      <c r="G15" s="240" t="s">
        <v>46</v>
      </c>
      <c r="H15" s="263">
        <f>calculRISKS!R14</f>
        <v>0.04</v>
      </c>
      <c r="I15" s="238">
        <f>calculRISKS!S14</f>
        <v>4.3200000000000002E-2</v>
      </c>
      <c r="J15" s="238">
        <f>calculRISKS!V14</f>
        <v>4.3200000000000002E-2</v>
      </c>
      <c r="K15" s="263">
        <f t="shared" si="0"/>
        <v>-7.9999999999999516E-4</v>
      </c>
      <c r="N15" s="28"/>
      <c r="Q15" s="240" t="s">
        <v>46</v>
      </c>
      <c r="R15" s="244">
        <f t="shared" si="1"/>
        <v>1.08</v>
      </c>
      <c r="S15">
        <v>1.2</v>
      </c>
      <c r="T15" s="28">
        <f t="shared" si="2"/>
        <v>1.08</v>
      </c>
      <c r="U15" s="28">
        <v>2.2000000000000002</v>
      </c>
      <c r="V15" s="28">
        <v>3</v>
      </c>
      <c r="W15" s="20" t="s">
        <v>769</v>
      </c>
      <c r="X15" s="20" t="s">
        <v>771</v>
      </c>
      <c r="Y15" s="20" t="s">
        <v>770</v>
      </c>
    </row>
    <row r="16" spans="7:25" ht="21">
      <c r="G16" s="240" t="s">
        <v>47</v>
      </c>
      <c r="H16" s="263">
        <f>calculRISKS!R15</f>
        <v>6.446656303873774E-2</v>
      </c>
      <c r="I16" s="238">
        <f>calculRISKS!S15</f>
        <v>6.0515773879999991E-2</v>
      </c>
      <c r="J16" s="238">
        <f>calculRISKS!V15</f>
        <v>6.4372440546666659E-2</v>
      </c>
      <c r="K16" s="263">
        <f t="shared" si="0"/>
        <v>-6.5407787959448488E-3</v>
      </c>
      <c r="N16" s="28"/>
      <c r="Q16" s="240" t="s">
        <v>47</v>
      </c>
      <c r="R16" s="244">
        <f t="shared" si="1"/>
        <v>0.9387156849611521</v>
      </c>
      <c r="S16">
        <v>1.2</v>
      </c>
      <c r="T16" s="28">
        <f t="shared" si="2"/>
        <v>0.9387156849611521</v>
      </c>
      <c r="U16" s="28">
        <v>2.2000000000000002</v>
      </c>
      <c r="V16" s="28">
        <v>3</v>
      </c>
      <c r="W16" s="20" t="s">
        <v>769</v>
      </c>
      <c r="X16" s="20" t="s">
        <v>771</v>
      </c>
      <c r="Y16" s="20" t="s">
        <v>770</v>
      </c>
    </row>
    <row r="17" spans="3:25" ht="21">
      <c r="G17" s="240" t="s">
        <v>48</v>
      </c>
      <c r="H17" s="263">
        <f>calculRISKS!R16</f>
        <v>0.12590909090909078</v>
      </c>
      <c r="I17" s="238">
        <f>calculRISKS!S16</f>
        <v>0.18154732163999998</v>
      </c>
      <c r="J17" s="238">
        <f>calculRISKS!V16</f>
        <v>0.19311732163999998</v>
      </c>
      <c r="K17" s="263">
        <f t="shared" si="0"/>
        <v>5.4617321640000133E-2</v>
      </c>
      <c r="N17" s="28"/>
      <c r="Q17" s="240" t="s">
        <v>48</v>
      </c>
      <c r="R17" s="244">
        <f t="shared" si="1"/>
        <v>1.4418920852274382</v>
      </c>
      <c r="S17">
        <v>1.2</v>
      </c>
      <c r="T17" s="28">
        <f t="shared" si="2"/>
        <v>1.4418920852274382</v>
      </c>
      <c r="U17" s="28">
        <v>2.2000000000000002</v>
      </c>
      <c r="V17" s="28">
        <v>3</v>
      </c>
      <c r="W17" s="20" t="s">
        <v>769</v>
      </c>
      <c r="X17" s="20" t="s">
        <v>771</v>
      </c>
      <c r="Y17" s="20" t="s">
        <v>770</v>
      </c>
    </row>
    <row r="18" spans="3:25" ht="21">
      <c r="G18" s="240" t="s">
        <v>49</v>
      </c>
      <c r="H18" s="263">
        <f>calculRISKS!R17</f>
        <v>6.872061174173133E-3</v>
      </c>
      <c r="I18" s="238">
        <f>calculRISKS!S17</f>
        <v>1.3744122348346266E-2</v>
      </c>
      <c r="J18" s="238">
        <f>calculRISKS!V17</f>
        <v>2.6452381196887587E-2</v>
      </c>
      <c r="K18" s="263">
        <f t="shared" si="0"/>
        <v>1.8893113905297139E-2</v>
      </c>
      <c r="N18" s="28"/>
      <c r="Q18" s="240" t="s">
        <v>49</v>
      </c>
      <c r="R18" s="244">
        <f t="shared" si="1"/>
        <v>2</v>
      </c>
      <c r="S18">
        <v>1.2</v>
      </c>
      <c r="T18" s="28">
        <f t="shared" si="2"/>
        <v>2</v>
      </c>
      <c r="U18" s="28">
        <v>2.2000000000000002</v>
      </c>
      <c r="V18" s="28">
        <v>3</v>
      </c>
      <c r="W18" s="20" t="s">
        <v>769</v>
      </c>
      <c r="X18" s="20" t="s">
        <v>771</v>
      </c>
      <c r="Y18" s="20" t="s">
        <v>770</v>
      </c>
    </row>
    <row r="19" spans="3:25" ht="21">
      <c r="G19" s="240" t="s">
        <v>50</v>
      </c>
      <c r="H19" s="263">
        <f>calculRISKS!R18</f>
        <v>1.689125853163877E-2</v>
      </c>
      <c r="I19" s="238">
        <f>calculRISKS!S18</f>
        <v>4.2228146329096924E-2</v>
      </c>
      <c r="J19" s="238">
        <f>calculRISKS!V18</f>
        <v>5.2767361561490589E-2</v>
      </c>
      <c r="K19" s="263">
        <f t="shared" si="0"/>
        <v>3.4186977176687942E-2</v>
      </c>
      <c r="N19" s="28"/>
      <c r="Q19" s="240" t="s">
        <v>50</v>
      </c>
      <c r="R19" s="244">
        <f t="shared" si="1"/>
        <v>2.5</v>
      </c>
      <c r="S19">
        <v>1.2</v>
      </c>
      <c r="T19" s="28">
        <f t="shared" si="2"/>
        <v>2.5</v>
      </c>
      <c r="U19" s="28">
        <v>2.2000000000000002</v>
      </c>
      <c r="V19" s="28">
        <v>3</v>
      </c>
      <c r="W19" s="20" t="s">
        <v>769</v>
      </c>
      <c r="X19" s="20" t="s">
        <v>771</v>
      </c>
      <c r="Y19" s="20" t="s">
        <v>770</v>
      </c>
    </row>
    <row r="20" spans="3:25" ht="21">
      <c r="G20" s="240" t="s">
        <v>51</v>
      </c>
      <c r="H20" s="263">
        <f>calculRISKS!R19</f>
        <v>0.06</v>
      </c>
      <c r="I20" s="238">
        <f>calculRISKS!S19</f>
        <v>6.4799999999999996E-2</v>
      </c>
      <c r="J20" s="238">
        <f>calculRISKS!V19</f>
        <v>6.4799999999999996E-2</v>
      </c>
      <c r="K20" s="263">
        <f t="shared" si="0"/>
        <v>-1.2000000000000066E-3</v>
      </c>
      <c r="N20" s="28"/>
      <c r="Q20" s="240" t="s">
        <v>51</v>
      </c>
      <c r="R20" s="244">
        <f t="shared" si="1"/>
        <v>1.08</v>
      </c>
      <c r="S20">
        <v>1.2</v>
      </c>
      <c r="T20" s="28">
        <f t="shared" si="2"/>
        <v>1.08</v>
      </c>
      <c r="U20" s="28">
        <v>2.2000000000000002</v>
      </c>
      <c r="V20" s="28">
        <v>3</v>
      </c>
      <c r="W20" s="20" t="s">
        <v>769</v>
      </c>
      <c r="X20" s="20" t="s">
        <v>771</v>
      </c>
      <c r="Y20" s="20" t="s">
        <v>770</v>
      </c>
    </row>
    <row r="21" spans="3:25" ht="21">
      <c r="G21" s="240" t="s">
        <v>52</v>
      </c>
      <c r="H21" s="263">
        <f>calculRISKS!R20</f>
        <v>2.5314449514691195E-3</v>
      </c>
      <c r="I21" s="238">
        <f>calculRISKS!S20</f>
        <v>2.2783004563222075E-3</v>
      </c>
      <c r="J21" s="238">
        <f>calculRISKS!V20</f>
        <v>2.7037635371791112E-3</v>
      </c>
      <c r="K21" s="263">
        <f t="shared" si="0"/>
        <v>-8.0825909436920383E-5</v>
      </c>
      <c r="N21" s="28"/>
      <c r="Q21" s="240" t="s">
        <v>52</v>
      </c>
      <c r="R21" s="244">
        <f t="shared" si="1"/>
        <v>0.89999999999999991</v>
      </c>
      <c r="S21">
        <v>1.2</v>
      </c>
      <c r="T21" s="28">
        <f t="shared" si="2"/>
        <v>0.89999999999999991</v>
      </c>
      <c r="U21" s="28">
        <v>2.2000000000000002</v>
      </c>
      <c r="V21" s="28">
        <v>3</v>
      </c>
      <c r="W21" s="20" t="s">
        <v>769</v>
      </c>
      <c r="X21" s="20" t="s">
        <v>771</v>
      </c>
      <c r="Y21" s="20" t="s">
        <v>770</v>
      </c>
    </row>
    <row r="22" spans="3:25" ht="21">
      <c r="G22" s="240" t="s">
        <v>96</v>
      </c>
      <c r="H22" s="263">
        <f>calculRISKS!R21</f>
        <v>4.1515021645021771E-2</v>
      </c>
      <c r="I22" s="238">
        <f>calculRISKS!S21</f>
        <v>3.7363519480519594E-2</v>
      </c>
      <c r="J22" s="238">
        <f>calculRISKS!V21</f>
        <v>5.0128597402597529E-2</v>
      </c>
      <c r="K22" s="263">
        <f t="shared" si="0"/>
        <v>4.4620735930735803E-3</v>
      </c>
      <c r="N22" s="28"/>
      <c r="Q22" s="240" t="s">
        <v>2356</v>
      </c>
      <c r="R22" s="244">
        <f t="shared" si="1"/>
        <v>0.9</v>
      </c>
      <c r="S22">
        <v>1.2</v>
      </c>
      <c r="T22" s="28">
        <f t="shared" si="2"/>
        <v>0.9</v>
      </c>
      <c r="U22" s="28">
        <v>2.2000000000000002</v>
      </c>
      <c r="V22" s="28">
        <v>3</v>
      </c>
      <c r="W22" s="20" t="s">
        <v>769</v>
      </c>
      <c r="X22" s="20" t="s">
        <v>771</v>
      </c>
      <c r="Y22" s="20" t="s">
        <v>770</v>
      </c>
    </row>
    <row r="23" spans="3:25" ht="21">
      <c r="G23" s="241" t="s">
        <v>604</v>
      </c>
      <c r="H23" s="263">
        <f>calculRISKS!R22</f>
        <v>5.3461412856047469E-3</v>
      </c>
      <c r="I23" s="238">
        <f>calculRISKS!S22</f>
        <v>9.623054314088544E-3</v>
      </c>
      <c r="J23" s="238">
        <f>calculRISKS!V22</f>
        <v>1.5806989436639652E-2</v>
      </c>
      <c r="K23" s="263">
        <f t="shared" si="0"/>
        <v>9.9262340224744311E-3</v>
      </c>
      <c r="N23" s="28"/>
      <c r="Q23" s="241" t="s">
        <v>604</v>
      </c>
      <c r="R23" s="244">
        <f t="shared" si="1"/>
        <v>1.8</v>
      </c>
      <c r="S23">
        <v>1.2</v>
      </c>
      <c r="T23" s="28">
        <f t="shared" si="2"/>
        <v>1.8</v>
      </c>
      <c r="U23" s="28">
        <v>2.2000000000000002</v>
      </c>
      <c r="V23" s="28">
        <v>3</v>
      </c>
      <c r="W23" s="20" t="s">
        <v>769</v>
      </c>
      <c r="X23" s="20" t="s">
        <v>771</v>
      </c>
      <c r="Y23" s="20" t="s">
        <v>770</v>
      </c>
    </row>
    <row r="25" spans="3:25">
      <c r="C25" s="20"/>
    </row>
  </sheetData>
  <conditionalFormatting sqref="G2">
    <cfRule type="iconSet" priority="39">
      <iconSet reverse="1">
        <cfvo type="percent" val="0"/>
        <cfvo type="percent" val="33"/>
        <cfvo type="percent" val="67"/>
      </iconSet>
    </cfRule>
  </conditionalFormatting>
  <conditionalFormatting sqref="G13">
    <cfRule type="colorScale" priority="38">
      <colorScale>
        <cfvo type="min"/>
        <cfvo type="percentile" val="50"/>
        <cfvo type="max"/>
        <color rgb="FF5A8AC6"/>
        <color rgb="FFFCFCFF"/>
        <color rgb="FFF8696B"/>
      </colorScale>
    </cfRule>
  </conditionalFormatting>
  <conditionalFormatting sqref="G14:G19 G4:G12">
    <cfRule type="colorScale" priority="1127">
      <colorScale>
        <cfvo type="min"/>
        <cfvo type="percentile" val="50"/>
        <cfvo type="max"/>
        <color rgb="FF5A8AC6"/>
        <color rgb="FFFCFCFF"/>
        <color rgb="FFF8696B"/>
      </colorScale>
    </cfRule>
  </conditionalFormatting>
  <conditionalFormatting sqref="G20">
    <cfRule type="colorScale" priority="37">
      <colorScale>
        <cfvo type="min"/>
        <cfvo type="percentile" val="50"/>
        <cfvo type="max"/>
        <color rgb="FF5A8AC6"/>
        <color rgb="FFFCFCFF"/>
        <color rgb="FFF8696B"/>
      </colorScale>
    </cfRule>
  </conditionalFormatting>
  <conditionalFormatting sqref="G21">
    <cfRule type="colorScale" priority="36">
      <colorScale>
        <cfvo type="min"/>
        <cfvo type="percentile" val="50"/>
        <cfvo type="max"/>
        <color rgb="FF5A8AC6"/>
        <color rgb="FFFCFCFF"/>
        <color rgb="FFF8696B"/>
      </colorScale>
    </cfRule>
  </conditionalFormatting>
  <conditionalFormatting sqref="G22">
    <cfRule type="iconSet" priority="35">
      <iconSet reverse="1">
        <cfvo type="percent" val="0"/>
        <cfvo type="percent" val="33"/>
        <cfvo type="percent" val="67"/>
      </iconSet>
    </cfRule>
  </conditionalFormatting>
  <conditionalFormatting sqref="H3:H23">
    <cfRule type="dataBar" priority="13">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19">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14">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0">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2">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18">
      <dataBar>
        <cfvo type="min"/>
        <cfvo type="max"/>
        <color rgb="FFD6007B"/>
      </dataBar>
      <extLst>
        <ext xmlns:x14="http://schemas.microsoft.com/office/spreadsheetml/2009/9/main" uri="{B025F937-C7B1-47D3-B67F-A62EFF666E3E}">
          <x14:id>{A0AD603D-66FC-47A7-BB80-F7B80B8B65A8}</x14:id>
        </ext>
      </extLst>
    </cfRule>
  </conditionalFormatting>
  <conditionalFormatting sqref="J2:J23">
    <cfRule type="dataBar" priority="11">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1">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17">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3">
      <colorScale>
        <cfvo type="num" val="-0.05"/>
        <cfvo type="num" val="0.05"/>
        <cfvo type="num" val="0.2"/>
        <color rgb="FF0070C0"/>
        <color rgb="FFFFEB84"/>
        <color rgb="FFFF0000"/>
      </colorScale>
    </cfRule>
  </conditionalFormatting>
  <conditionalFormatting sqref="N1:N1048576">
    <cfRule type="colorScale" priority="1">
      <colorScale>
        <cfvo type="min"/>
        <cfvo type="percentile" val="50"/>
        <cfvo type="max"/>
        <color rgb="FF63BE7B"/>
        <color rgb="FFFFEB84"/>
        <color rgb="FFF8696B"/>
      </colorScale>
    </cfRule>
  </conditionalFormatting>
  <conditionalFormatting sqref="Q13">
    <cfRule type="colorScale" priority="9">
      <colorScale>
        <cfvo type="min"/>
        <cfvo type="percentile" val="50"/>
        <cfvo type="max"/>
        <color rgb="FF5A8AC6"/>
        <color rgb="FFFCFCFF"/>
        <color rgb="FFF8696B"/>
      </colorScale>
    </cfRule>
  </conditionalFormatting>
  <conditionalFormatting sqref="Q14:Q19 Q4:Q12">
    <cfRule type="colorScale" priority="10">
      <colorScale>
        <cfvo type="min"/>
        <cfvo type="percentile" val="50"/>
        <cfvo type="max"/>
        <color rgb="FF5A8AC6"/>
        <color rgb="FFFCFCFF"/>
        <color rgb="FFF8696B"/>
      </colorScale>
    </cfRule>
  </conditionalFormatting>
  <conditionalFormatting sqref="Q20">
    <cfRule type="colorScale" priority="8">
      <colorScale>
        <cfvo type="min"/>
        <cfvo type="percentile" val="50"/>
        <cfvo type="max"/>
        <color rgb="FF5A8AC6"/>
        <color rgb="FFFCFCFF"/>
        <color rgb="FFF8696B"/>
      </colorScale>
    </cfRule>
  </conditionalFormatting>
  <conditionalFormatting sqref="Q21">
    <cfRule type="colorScale" priority="7">
      <colorScale>
        <cfvo type="min"/>
        <cfvo type="percentile" val="50"/>
        <cfvo type="max"/>
        <color rgb="FF5A8AC6"/>
        <color rgb="FFFCFCFF"/>
        <color rgb="FFF8696B"/>
      </colorScale>
    </cfRule>
  </conditionalFormatting>
  <conditionalFormatting sqref="Q22">
    <cfRule type="iconSet" priority="6">
      <iconSet reverse="1">
        <cfvo type="percent" val="0"/>
        <cfvo type="percent" val="33"/>
        <cfvo type="percent" val="67"/>
      </iconSet>
    </cfRule>
  </conditionalFormatting>
  <conditionalFormatting sqref="R1 R3:R1048576">
    <cfRule type="cellIs" dxfId="14" priority="2" operator="greaterThan">
      <formula>2.2</formula>
    </cfRule>
  </conditionalFormatting>
  <conditionalFormatting sqref="R3:R23">
    <cfRule type="cellIs" dxfId="13" priority="3"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tabColor rgb="FFFF0000"/>
    <pageSetUpPr fitToPage="1"/>
  </sheetPr>
  <dimension ref="E4:H26"/>
  <sheetViews>
    <sheetView showGridLines="0" topLeftCell="A4" zoomScale="75" zoomScaleNormal="75" workbookViewId="0">
      <selection activeCell="E26" sqref="E26"/>
    </sheetView>
  </sheetViews>
  <sheetFormatPr baseColWidth="10" defaultColWidth="11.5703125" defaultRowHeight="15"/>
  <cols>
    <col min="1" max="3" width="10.85546875" customWidth="1"/>
    <col min="4" max="4" width="13.140625" customWidth="1"/>
    <col min="5" max="5" width="25.140625" customWidth="1"/>
    <col min="6" max="6" width="35.42578125" style="20" customWidth="1"/>
    <col min="7" max="7" width="47.140625" customWidth="1"/>
  </cols>
  <sheetData>
    <row r="4" spans="5:8" ht="23.25">
      <c r="F4" s="27" t="s">
        <v>107</v>
      </c>
      <c r="G4" s="27" t="s">
        <v>108</v>
      </c>
    </row>
    <row r="6" spans="5:8" ht="18.75">
      <c r="E6" s="837" t="s">
        <v>54</v>
      </c>
      <c r="F6" s="20" t="str">
        <f>IF(ImportQuestion!F3="F","ND",(IF(RESULTATS!R3&gt;1.2,"Consultation spécialisée","Dépistage usuel")))</f>
        <v>ND</v>
      </c>
      <c r="G6" s="24" t="s">
        <v>109</v>
      </c>
      <c r="H6" s="16" t="str">
        <f>IF(ImportQuestion!H77&gt;0.25,"Oui","Non")</f>
        <v>Non</v>
      </c>
    </row>
    <row r="7" spans="5:8" ht="18.75">
      <c r="E7" s="838" t="s">
        <v>35</v>
      </c>
      <c r="F7" s="20" t="str">
        <f>IF(ImportQuestion!F3="F","ND",(IF(RESULTATS!R4&gt;1.2,"Consultation spécialisée", "Dépistage usuel")))</f>
        <v>ND</v>
      </c>
      <c r="G7" s="24" t="s">
        <v>111</v>
      </c>
      <c r="H7" s="16" t="str">
        <f>IF(ImportQuestion!F82="Y","Oui","Non")</f>
        <v>Oui</v>
      </c>
    </row>
    <row r="8" spans="5:8" ht="18.75">
      <c r="E8" s="18" t="s">
        <v>36</v>
      </c>
      <c r="F8" s="20" t="str">
        <f>IF(RESULTATS!R5&gt;1.2,"Consultation spécialisée","Dépistage usuel")</f>
        <v>Dépistage usuel</v>
      </c>
      <c r="G8" s="24" t="s">
        <v>237</v>
      </c>
      <c r="H8" s="16" t="str">
        <f>IF(ImportQuestion!F86="Y","Oui","Non")</f>
        <v>Oui</v>
      </c>
    </row>
    <row r="9" spans="5:8" ht="18.75">
      <c r="E9" s="18" t="s">
        <v>37</v>
      </c>
      <c r="F9" s="20" t="str">
        <f>IF(RESULTATS!R6&gt;1.2,"Echographie rénale", "Dépistage usuel")</f>
        <v>Dépistage usuel</v>
      </c>
      <c r="G9" s="24" t="s">
        <v>110</v>
      </c>
      <c r="H9" s="16" t="str">
        <f>IF(ImportQuestion!F89="Y","Non","Oui")</f>
        <v>Oui</v>
      </c>
    </row>
    <row r="10" spans="5:8" ht="18.75">
      <c r="E10" s="18" t="s">
        <v>38</v>
      </c>
      <c r="F10" s="20" t="str">
        <f>IF(RESULTATS!R7&gt;1.2,"DXA", "Dépistage usuel")</f>
        <v>Dépistage usuel</v>
      </c>
      <c r="G10" s="24" t="s">
        <v>113</v>
      </c>
      <c r="H10" s="16" t="str">
        <f>IF(ImportQuestion!F92="Y","Non","Oui")</f>
        <v>Oui</v>
      </c>
    </row>
    <row r="11" spans="5:8" ht="18.75">
      <c r="E11" s="18" t="s">
        <v>39</v>
      </c>
      <c r="F11" s="20" t="str">
        <f>IF(RESULTATS!R8&gt;1.2,"Consultation spécialisée", "Dépistage usuel")</f>
        <v>Dépistage usuel</v>
      </c>
      <c r="G11" s="24" t="s">
        <v>125</v>
      </c>
      <c r="H11" s="16" t="str">
        <f>IF(ImportBiologie!H14&lt;30,"Oui","Non")</f>
        <v>Oui</v>
      </c>
    </row>
    <row r="12" spans="5:8">
      <c r="E12" s="18" t="s">
        <v>250</v>
      </c>
      <c r="F12" s="20" t="e">
        <f>IF(RESULTATS!R9&gt;1.2,"Echographie hépatobiliaire", "Dépistage usuel")</f>
        <v>#DIV/0!</v>
      </c>
    </row>
    <row r="13" spans="5:8">
      <c r="E13" s="18" t="s">
        <v>41</v>
      </c>
      <c r="F13" s="20" t="str">
        <f>IF(RESULTATS!R10&gt;1.2,"Consultation spécialisée", "Dépistage suel")</f>
        <v>Dépistage suel</v>
      </c>
    </row>
    <row r="14" spans="5:8">
      <c r="E14" s="18" t="s">
        <v>42</v>
      </c>
      <c r="F14" s="20" t="str">
        <f>IF(RESULTATS!R11&gt;1.2,"Consultation spécialisée", "Dépistage usuel")</f>
        <v>Consultation spécialisée</v>
      </c>
    </row>
    <row r="15" spans="5:8">
      <c r="E15" s="18" t="s">
        <v>249</v>
      </c>
      <c r="F15" s="20" t="str">
        <f>IF(RESULTATS!R12&gt;1.2,"Consultation spécialisée", "Dépistage usuel")</f>
        <v>Dépistage usuel</v>
      </c>
    </row>
    <row r="16" spans="5:8">
      <c r="E16" s="18" t="s">
        <v>44</v>
      </c>
      <c r="F16" s="20" t="str">
        <f>IF(RESULTATS!R13&gt;1.2,"Consultation spécialisée", "Dépistage usuel")</f>
        <v>Dépistage usuel</v>
      </c>
    </row>
    <row r="17" spans="5:6">
      <c r="E17" s="18" t="s">
        <v>45</v>
      </c>
      <c r="F17" s="20" t="str">
        <f>IF(RESULTATS!R14&gt;1.2,"Consultation spécialisée", "Dépistage usuel")</f>
        <v>Dépistage usuel</v>
      </c>
    </row>
    <row r="18" spans="5:6">
      <c r="E18" s="18" t="s">
        <v>46</v>
      </c>
      <c r="F18" s="20" t="str">
        <f>IF(RESULTATS!R15&gt;1.2,"Echo-Doppler", "Dépistage usuel")</f>
        <v>Dépistage usuel</v>
      </c>
    </row>
    <row r="19" spans="5:6">
      <c r="E19" s="18" t="s">
        <v>47</v>
      </c>
      <c r="F19" s="20" t="str">
        <f>IF(RESULTATS!R16&gt;1.2,"Consultation spécialisée", "Dépistage usuel")</f>
        <v>Dépistage usuel</v>
      </c>
    </row>
    <row r="20" spans="5:6">
      <c r="E20" s="18" t="s">
        <v>48</v>
      </c>
      <c r="F20" s="20" t="str">
        <f>IF(RESULTATS!R17&gt;1.2,"Consultation spécialisée", "Dépistage usuel")</f>
        <v>Consultation spécialisée</v>
      </c>
    </row>
    <row r="21" spans="5:6">
      <c r="E21" s="18" t="s">
        <v>49</v>
      </c>
      <c r="F21" s="20" t="str">
        <f>IF(RESULTATS!R18&gt;1.2,"scanner thoracique", "Dépistage usuel")</f>
        <v>scanner thoracique</v>
      </c>
    </row>
    <row r="22" spans="5:6">
      <c r="E22" s="18" t="s">
        <v>50</v>
      </c>
      <c r="F22" s="20" t="str">
        <f>IF(RESULTATS!R19&gt;1.2,"Consultation spécialisée", "Dépistage usuel")</f>
        <v>Consultation spécialisée</v>
      </c>
    </row>
    <row r="23" spans="5:6">
      <c r="E23" s="18" t="s">
        <v>51</v>
      </c>
      <c r="F23" s="20" t="str">
        <f>IF(RESULTATS!R20&gt;1.2,"Spirométrie", "Dépistage usuel")</f>
        <v>Dépistage usuel</v>
      </c>
    </row>
    <row r="24" spans="5:6">
      <c r="E24" s="18" t="s">
        <v>52</v>
      </c>
      <c r="F24" s="20" t="str">
        <f>IF(RESULTATS!R21&gt;1.2,"Consultation spécialisée", "Dépistage usuel")</f>
        <v>Dépistage usuel</v>
      </c>
    </row>
    <row r="25" spans="5:6">
      <c r="E25" s="18" t="s">
        <v>2053</v>
      </c>
      <c r="F25" s="20" t="str">
        <f>IF(ImportQuestion!F3="H","ND",(IF(RESULTATS!R22&gt;1.2,"Consultation spécialisée","Dépistage usuel")))</f>
        <v>Dépistage usuel</v>
      </c>
    </row>
    <row r="26" spans="5:6">
      <c r="E26" s="23" t="s">
        <v>604</v>
      </c>
      <c r="F26" s="20" t="str">
        <f>IF(RESULTATS!R23&gt;1.2,"Consultation spécialisée", "Dépistage usuel")</f>
        <v>Consultation spécialisée</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AC957-C515-447B-9046-2F5164EAA706}">
  <dimension ref="A1:N27"/>
  <sheetViews>
    <sheetView workbookViewId="0">
      <selection activeCell="B8" sqref="B8"/>
    </sheetView>
  </sheetViews>
  <sheetFormatPr baseColWidth="10" defaultColWidth="9.140625" defaultRowHeight="15"/>
  <cols>
    <col min="1" max="1" width="9.85546875" bestFit="1" customWidth="1"/>
    <col min="2" max="2" width="9.85546875" customWidth="1"/>
    <col min="4" max="4" width="13.140625" bestFit="1" customWidth="1"/>
    <col min="5" max="5" width="24.28515625" bestFit="1" customWidth="1"/>
    <col min="8" max="8" width="27.28515625" bestFit="1" customWidth="1"/>
    <col min="11" max="11" width="34.28515625" bestFit="1" customWidth="1"/>
  </cols>
  <sheetData>
    <row r="1" spans="1:14" s="859" customFormat="1">
      <c r="A1" s="859" t="s">
        <v>2388</v>
      </c>
      <c r="D1" s="859" t="s">
        <v>2389</v>
      </c>
      <c r="G1" s="859" t="s">
        <v>2599</v>
      </c>
      <c r="J1" s="859" t="s">
        <v>2610</v>
      </c>
      <c r="M1" s="859" t="s">
        <v>2615</v>
      </c>
    </row>
    <row r="2" spans="1:14">
      <c r="A2">
        <v>0</v>
      </c>
      <c r="B2" t="s">
        <v>644</v>
      </c>
      <c r="D2">
        <v>0</v>
      </c>
      <c r="E2" t="s">
        <v>644</v>
      </c>
      <c r="G2">
        <v>0</v>
      </c>
      <c r="H2" t="s">
        <v>2595</v>
      </c>
      <c r="J2">
        <v>0</v>
      </c>
      <c r="K2" t="s">
        <v>2601</v>
      </c>
      <c r="M2">
        <v>0</v>
      </c>
      <c r="N2" t="s">
        <v>2611</v>
      </c>
    </row>
    <row r="3" spans="1:14">
      <c r="A3">
        <v>1</v>
      </c>
      <c r="B3" t="s">
        <v>645</v>
      </c>
      <c r="D3">
        <v>1</v>
      </c>
      <c r="E3" t="s">
        <v>645</v>
      </c>
      <c r="G3">
        <v>1</v>
      </c>
      <c r="H3" t="s">
        <v>2597</v>
      </c>
      <c r="J3">
        <v>1</v>
      </c>
      <c r="K3" t="s">
        <v>2602</v>
      </c>
      <c r="M3">
        <v>1</v>
      </c>
      <c r="N3" t="s">
        <v>2614</v>
      </c>
    </row>
    <row r="4" spans="1:14">
      <c r="D4" s="437">
        <v>2</v>
      </c>
      <c r="E4" t="s">
        <v>818</v>
      </c>
      <c r="G4">
        <v>2</v>
      </c>
      <c r="H4" t="s">
        <v>2598</v>
      </c>
      <c r="J4">
        <v>1</v>
      </c>
      <c r="K4" t="s">
        <v>2603</v>
      </c>
      <c r="M4">
        <v>1</v>
      </c>
      <c r="N4" t="s">
        <v>2612</v>
      </c>
    </row>
    <row r="5" spans="1:14">
      <c r="A5" t="s">
        <v>2696</v>
      </c>
      <c r="G5">
        <v>0</v>
      </c>
      <c r="H5" t="s">
        <v>2596</v>
      </c>
      <c r="J5" s="437">
        <v>1</v>
      </c>
      <c r="K5" t="s">
        <v>2604</v>
      </c>
      <c r="M5">
        <v>1</v>
      </c>
      <c r="N5" t="s">
        <v>2613</v>
      </c>
    </row>
    <row r="6" spans="1:14">
      <c r="A6">
        <v>0</v>
      </c>
      <c r="B6" t="s">
        <v>62</v>
      </c>
      <c r="J6">
        <v>1</v>
      </c>
      <c r="K6" t="s">
        <v>2605</v>
      </c>
      <c r="M6">
        <v>1</v>
      </c>
      <c r="N6" t="s">
        <v>811</v>
      </c>
    </row>
    <row r="7" spans="1:14">
      <c r="A7">
        <v>1</v>
      </c>
      <c r="B7" t="s">
        <v>61</v>
      </c>
      <c r="J7">
        <v>2</v>
      </c>
      <c r="K7" t="s">
        <v>2606</v>
      </c>
    </row>
    <row r="8" spans="1:14">
      <c r="J8">
        <v>3</v>
      </c>
      <c r="K8" t="s">
        <v>2607</v>
      </c>
    </row>
    <row r="9" spans="1:14">
      <c r="J9">
        <v>4</v>
      </c>
      <c r="K9" t="s">
        <v>2608</v>
      </c>
    </row>
    <row r="10" spans="1:14">
      <c r="J10">
        <v>5</v>
      </c>
      <c r="K10" t="s">
        <v>2609</v>
      </c>
    </row>
    <row r="12" spans="1:14" s="859" customFormat="1">
      <c r="A12" s="859" t="s">
        <v>2616</v>
      </c>
      <c r="D12" s="859" t="s">
        <v>2628</v>
      </c>
      <c r="G12" s="859" t="s">
        <v>2629</v>
      </c>
      <c r="J12" s="859" t="s">
        <v>2630</v>
      </c>
      <c r="M12" s="859" t="s">
        <v>2631</v>
      </c>
    </row>
    <row r="13" spans="1:14">
      <c r="A13">
        <v>0</v>
      </c>
      <c r="B13" t="s">
        <v>2618</v>
      </c>
      <c r="D13">
        <v>0</v>
      </c>
      <c r="E13" t="s">
        <v>2620</v>
      </c>
      <c r="G13">
        <v>0</v>
      </c>
      <c r="H13" t="s">
        <v>2622</v>
      </c>
      <c r="J13">
        <v>0</v>
      </c>
      <c r="K13" t="s">
        <v>2626</v>
      </c>
      <c r="M13">
        <v>0</v>
      </c>
      <c r="N13" t="s">
        <v>1001</v>
      </c>
    </row>
    <row r="14" spans="1:14">
      <c r="A14">
        <v>1</v>
      </c>
      <c r="B14" t="s">
        <v>2617</v>
      </c>
      <c r="D14">
        <v>1</v>
      </c>
      <c r="E14" t="s">
        <v>937</v>
      </c>
      <c r="G14">
        <v>1</v>
      </c>
      <c r="H14" t="s">
        <v>2623</v>
      </c>
      <c r="J14">
        <v>1</v>
      </c>
      <c r="K14" t="s">
        <v>2627</v>
      </c>
      <c r="M14">
        <v>1</v>
      </c>
      <c r="N14" t="s">
        <v>1002</v>
      </c>
    </row>
    <row r="15" spans="1:14">
      <c r="A15">
        <v>2</v>
      </c>
      <c r="B15" t="s">
        <v>2364</v>
      </c>
      <c r="D15">
        <v>2</v>
      </c>
      <c r="E15" t="s">
        <v>2621</v>
      </c>
      <c r="G15">
        <v>2</v>
      </c>
      <c r="H15" t="s">
        <v>2624</v>
      </c>
      <c r="J15">
        <v>2</v>
      </c>
      <c r="K15" t="s">
        <v>1002</v>
      </c>
      <c r="M15">
        <v>2</v>
      </c>
      <c r="N15" t="s">
        <v>1003</v>
      </c>
    </row>
    <row r="16" spans="1:14">
      <c r="D16">
        <v>3</v>
      </c>
      <c r="E16" t="s">
        <v>935</v>
      </c>
      <c r="G16">
        <v>3</v>
      </c>
      <c r="H16" t="s">
        <v>2625</v>
      </c>
      <c r="J16">
        <v>3</v>
      </c>
      <c r="K16" t="s">
        <v>1009</v>
      </c>
      <c r="M16">
        <v>3</v>
      </c>
      <c r="N16" t="s">
        <v>1004</v>
      </c>
    </row>
    <row r="18" spans="1:14" s="859" customFormat="1">
      <c r="A18" s="859" t="s">
        <v>2632</v>
      </c>
      <c r="D18" s="859" t="s">
        <v>2633</v>
      </c>
      <c r="G18" s="859" t="s">
        <v>2638</v>
      </c>
      <c r="J18" s="859" t="s">
        <v>2639</v>
      </c>
      <c r="M18" s="859" t="s">
        <v>2642</v>
      </c>
    </row>
    <row r="19" spans="1:14">
      <c r="A19">
        <v>0</v>
      </c>
      <c r="B19">
        <v>0</v>
      </c>
      <c r="D19">
        <v>0</v>
      </c>
      <c r="E19" t="s">
        <v>2634</v>
      </c>
      <c r="G19">
        <v>0</v>
      </c>
      <c r="H19" s="860" t="s">
        <v>855</v>
      </c>
      <c r="J19">
        <v>0</v>
      </c>
      <c r="K19" t="s">
        <v>869</v>
      </c>
      <c r="M19">
        <v>0</v>
      </c>
      <c r="N19" t="s">
        <v>2643</v>
      </c>
    </row>
    <row r="20" spans="1:14">
      <c r="A20">
        <v>1</v>
      </c>
      <c r="B20">
        <v>1</v>
      </c>
      <c r="D20">
        <v>1</v>
      </c>
      <c r="E20" t="s">
        <v>2635</v>
      </c>
      <c r="G20">
        <v>1</v>
      </c>
      <c r="H20" t="s">
        <v>854</v>
      </c>
      <c r="J20">
        <v>1</v>
      </c>
      <c r="K20" t="s">
        <v>2640</v>
      </c>
      <c r="M20">
        <v>1</v>
      </c>
      <c r="N20" t="s">
        <v>2644</v>
      </c>
    </row>
    <row r="21" spans="1:14">
      <c r="A21">
        <v>2</v>
      </c>
      <c r="B21" t="s">
        <v>90</v>
      </c>
      <c r="D21">
        <v>2</v>
      </c>
      <c r="E21" t="s">
        <v>2636</v>
      </c>
      <c r="G21">
        <v>2</v>
      </c>
      <c r="H21" t="s">
        <v>853</v>
      </c>
      <c r="J21">
        <v>2</v>
      </c>
      <c r="K21" t="s">
        <v>936</v>
      </c>
      <c r="M21">
        <v>2</v>
      </c>
      <c r="N21" t="s">
        <v>2645</v>
      </c>
    </row>
    <row r="22" spans="1:14">
      <c r="D22">
        <v>3</v>
      </c>
      <c r="E22" t="s">
        <v>2637</v>
      </c>
      <c r="J22">
        <v>3</v>
      </c>
      <c r="K22" t="s">
        <v>2641</v>
      </c>
      <c r="M22">
        <v>3</v>
      </c>
      <c r="N22" t="s">
        <v>2646</v>
      </c>
    </row>
    <row r="24" spans="1:14" s="859" customFormat="1">
      <c r="A24" s="859" t="s">
        <v>2647</v>
      </c>
      <c r="D24" s="859" t="s">
        <v>2652</v>
      </c>
      <c r="G24" s="859" t="s">
        <v>2656</v>
      </c>
      <c r="J24" s="859" t="s">
        <v>2657</v>
      </c>
    </row>
    <row r="25" spans="1:14">
      <c r="A25">
        <v>0</v>
      </c>
      <c r="B25" t="s">
        <v>637</v>
      </c>
      <c r="D25">
        <v>0</v>
      </c>
      <c r="E25" t="s">
        <v>2650</v>
      </c>
      <c r="G25">
        <v>0</v>
      </c>
      <c r="H25" t="s">
        <v>2654</v>
      </c>
      <c r="J25">
        <v>0</v>
      </c>
      <c r="K25" t="s">
        <v>867</v>
      </c>
    </row>
    <row r="26" spans="1:14">
      <c r="A26">
        <v>1</v>
      </c>
      <c r="B26" t="s">
        <v>2648</v>
      </c>
      <c r="D26">
        <v>1</v>
      </c>
      <c r="E26" t="s">
        <v>2651</v>
      </c>
      <c r="G26">
        <v>1</v>
      </c>
      <c r="H26" t="s">
        <v>2655</v>
      </c>
      <c r="J26">
        <v>1</v>
      </c>
      <c r="K26" t="s">
        <v>866</v>
      </c>
    </row>
    <row r="27" spans="1:14">
      <c r="A27">
        <v>2</v>
      </c>
      <c r="B27" t="s">
        <v>2649</v>
      </c>
      <c r="G27">
        <v>2</v>
      </c>
      <c r="H27" t="s">
        <v>2653</v>
      </c>
      <c r="J27">
        <v>2</v>
      </c>
      <c r="K27" t="s">
        <v>2658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37E04-50B9-4788-9015-74A3DAF52A8F}">
  <sheetPr codeName="Feuil20"/>
  <dimension ref="A1:D374"/>
  <sheetViews>
    <sheetView workbookViewId="0">
      <pane xSplit="1" ySplit="1" topLeftCell="B343" activePane="bottomRight" state="frozen"/>
      <selection pane="topRight" activeCell="B1" sqref="B1"/>
      <selection pane="bottomLeft" activeCell="A2" sqref="A2"/>
      <selection pane="bottomRight" activeCell="O372" sqref="O372"/>
    </sheetView>
  </sheetViews>
  <sheetFormatPr baseColWidth="10" defaultColWidth="10.7109375" defaultRowHeight="15"/>
  <cols>
    <col min="1" max="1" width="31.140625" style="614" bestFit="1" customWidth="1"/>
    <col min="2" max="2" width="31.140625" style="614" customWidth="1"/>
    <col min="3" max="3" width="15.5703125" style="149" bestFit="1" customWidth="1"/>
    <col min="4" max="4" width="88.7109375" style="614" bestFit="1" customWidth="1"/>
    <col min="5" max="16384" width="10.7109375" style="614"/>
  </cols>
  <sheetData>
    <row r="1" spans="1:4" s="25" customFormat="1">
      <c r="A1" s="25" t="s">
        <v>2154</v>
      </c>
      <c r="B1" s="25" t="s">
        <v>2153</v>
      </c>
      <c r="C1" s="25" t="s">
        <v>1931</v>
      </c>
      <c r="D1" s="25" t="s">
        <v>238</v>
      </c>
    </row>
    <row r="2" spans="1:4">
      <c r="A2" s="614" t="s">
        <v>1745</v>
      </c>
      <c r="C2" s="538" t="s">
        <v>1459</v>
      </c>
      <c r="D2" s="614" t="s">
        <v>47</v>
      </c>
    </row>
    <row r="3" spans="1:4">
      <c r="A3" s="614" t="s">
        <v>1745</v>
      </c>
      <c r="C3" s="538" t="s">
        <v>1459</v>
      </c>
      <c r="D3" s="614" t="s">
        <v>1746</v>
      </c>
    </row>
    <row r="4" spans="1:4">
      <c r="A4" s="614" t="s">
        <v>1745</v>
      </c>
      <c r="C4" s="538" t="s">
        <v>1459</v>
      </c>
      <c r="D4" s="614" t="s">
        <v>916</v>
      </c>
    </row>
    <row r="5" spans="1:4">
      <c r="A5" s="614" t="s">
        <v>1745</v>
      </c>
      <c r="C5" s="538" t="s">
        <v>1459</v>
      </c>
      <c r="D5" s="614" t="s">
        <v>1747</v>
      </c>
    </row>
    <row r="6" spans="1:4">
      <c r="A6" s="614" t="s">
        <v>1745</v>
      </c>
      <c r="C6" s="538" t="s">
        <v>1459</v>
      </c>
      <c r="D6" s="614" t="s">
        <v>745</v>
      </c>
    </row>
    <row r="7" spans="1:4">
      <c r="A7" s="614" t="s">
        <v>1745</v>
      </c>
      <c r="C7" s="538" t="s">
        <v>1459</v>
      </c>
      <c r="D7" s="614" t="s">
        <v>746</v>
      </c>
    </row>
    <row r="8" spans="1:4">
      <c r="A8" s="614" t="s">
        <v>1745</v>
      </c>
      <c r="C8" s="538" t="s">
        <v>1459</v>
      </c>
      <c r="D8" s="614" t="s">
        <v>1748</v>
      </c>
    </row>
    <row r="9" spans="1:4">
      <c r="A9" s="614" t="s">
        <v>1745</v>
      </c>
      <c r="C9" s="538" t="s">
        <v>1459</v>
      </c>
      <c r="D9" s="614" t="s">
        <v>1749</v>
      </c>
    </row>
    <row r="10" spans="1:4">
      <c r="A10" s="614" t="s">
        <v>1745</v>
      </c>
      <c r="C10" s="551" t="s">
        <v>1750</v>
      </c>
      <c r="D10" s="614" t="s">
        <v>745</v>
      </c>
    </row>
    <row r="11" spans="1:4">
      <c r="A11" s="614" t="s">
        <v>1745</v>
      </c>
      <c r="C11" s="551" t="s">
        <v>1750</v>
      </c>
      <c r="D11" s="614" t="s">
        <v>746</v>
      </c>
    </row>
    <row r="12" spans="1:4">
      <c r="A12" s="614" t="s">
        <v>1745</v>
      </c>
      <c r="C12" s="551" t="s">
        <v>1750</v>
      </c>
      <c r="D12" s="614" t="s">
        <v>1751</v>
      </c>
    </row>
    <row r="13" spans="1:4">
      <c r="A13" s="614" t="s">
        <v>1745</v>
      </c>
      <c r="C13" s="551" t="s">
        <v>1750</v>
      </c>
      <c r="D13" s="614" t="s">
        <v>1752</v>
      </c>
    </row>
    <row r="14" spans="1:4">
      <c r="A14" s="614" t="s">
        <v>1745</v>
      </c>
      <c r="C14" s="551" t="s">
        <v>1750</v>
      </c>
      <c r="D14" s="599" t="s">
        <v>1753</v>
      </c>
    </row>
    <row r="15" spans="1:4">
      <c r="A15" s="614" t="s">
        <v>1745</v>
      </c>
      <c r="C15" s="149" t="s">
        <v>1750</v>
      </c>
      <c r="D15" s="616" t="s">
        <v>1770</v>
      </c>
    </row>
    <row r="16" spans="1:4">
      <c r="A16" s="614" t="s">
        <v>1745</v>
      </c>
      <c r="C16" s="149" t="s">
        <v>1750</v>
      </c>
      <c r="D16" s="626" t="s">
        <v>1932</v>
      </c>
    </row>
    <row r="17" spans="1:4">
      <c r="A17" s="614" t="s">
        <v>1745</v>
      </c>
      <c r="C17" s="551" t="s">
        <v>1750</v>
      </c>
      <c r="D17" s="599" t="s">
        <v>1754</v>
      </c>
    </row>
    <row r="18" spans="1:4">
      <c r="A18" s="614" t="s">
        <v>1745</v>
      </c>
      <c r="C18" s="551" t="s">
        <v>1750</v>
      </c>
      <c r="D18" s="614" t="s">
        <v>1755</v>
      </c>
    </row>
    <row r="19" spans="1:4">
      <c r="A19" s="614" t="s">
        <v>1745</v>
      </c>
      <c r="C19" s="551" t="s">
        <v>1750</v>
      </c>
      <c r="D19" s="614" t="s">
        <v>1756</v>
      </c>
    </row>
    <row r="20" spans="1:4">
      <c r="A20" s="614" t="s">
        <v>1745</v>
      </c>
      <c r="C20" s="551" t="s">
        <v>1750</v>
      </c>
      <c r="D20" s="614" t="s">
        <v>1937</v>
      </c>
    </row>
    <row r="21" spans="1:4">
      <c r="A21" s="614" t="s">
        <v>1745</v>
      </c>
      <c r="C21" s="551" t="s">
        <v>1750</v>
      </c>
      <c r="D21" s="614" t="s">
        <v>1757</v>
      </c>
    </row>
    <row r="22" spans="1:4">
      <c r="A22" s="614" t="s">
        <v>1745</v>
      </c>
      <c r="C22" s="551" t="s">
        <v>1750</v>
      </c>
      <c r="D22" s="614" t="s">
        <v>1758</v>
      </c>
    </row>
    <row r="23" spans="1:4">
      <c r="A23" s="614" t="s">
        <v>1745</v>
      </c>
      <c r="C23" s="551" t="s">
        <v>1750</v>
      </c>
      <c r="D23" s="614" t="s">
        <v>1759</v>
      </c>
    </row>
    <row r="24" spans="1:4">
      <c r="A24" s="614" t="s">
        <v>1745</v>
      </c>
      <c r="C24" s="551" t="s">
        <v>1760</v>
      </c>
      <c r="D24" s="614" t="s">
        <v>917</v>
      </c>
    </row>
    <row r="25" spans="1:4">
      <c r="A25" s="614" t="s">
        <v>1745</v>
      </c>
      <c r="C25" s="551" t="s">
        <v>1760</v>
      </c>
      <c r="D25" s="625" t="s">
        <v>640</v>
      </c>
    </row>
    <row r="26" spans="1:4">
      <c r="A26" s="614" t="s">
        <v>1745</v>
      </c>
      <c r="C26" s="551" t="s">
        <v>1760</v>
      </c>
      <c r="D26" s="600" t="s">
        <v>1761</v>
      </c>
    </row>
    <row r="27" spans="1:4">
      <c r="A27" s="614" t="s">
        <v>1745</v>
      </c>
      <c r="C27" s="551" t="s">
        <v>1760</v>
      </c>
      <c r="D27" s="600" t="s">
        <v>1762</v>
      </c>
    </row>
    <row r="28" spans="1:4">
      <c r="A28" s="614" t="s">
        <v>1745</v>
      </c>
      <c r="C28" s="551" t="s">
        <v>1760</v>
      </c>
      <c r="D28" s="600" t="s">
        <v>1763</v>
      </c>
    </row>
    <row r="29" spans="1:4">
      <c r="A29" s="614" t="s">
        <v>1745</v>
      </c>
      <c r="C29" s="551" t="s">
        <v>1760</v>
      </c>
      <c r="D29" s="601" t="s">
        <v>1764</v>
      </c>
    </row>
    <row r="30" spans="1:4">
      <c r="A30" s="614" t="s">
        <v>1745</v>
      </c>
      <c r="C30" s="551" t="s">
        <v>1760</v>
      </c>
      <c r="D30" s="614" t="s">
        <v>1765</v>
      </c>
    </row>
    <row r="31" spans="1:4">
      <c r="A31" s="614" t="s">
        <v>1745</v>
      </c>
      <c r="C31" s="551" t="s">
        <v>1760</v>
      </c>
      <c r="D31" s="615" t="s">
        <v>752</v>
      </c>
    </row>
    <row r="32" spans="1:4">
      <c r="A32" s="614" t="s">
        <v>1745</v>
      </c>
      <c r="C32" s="551" t="s">
        <v>1760</v>
      </c>
      <c r="D32" s="615" t="s">
        <v>753</v>
      </c>
    </row>
    <row r="33" spans="1:4">
      <c r="A33" s="614" t="s">
        <v>1745</v>
      </c>
      <c r="C33" s="551" t="s">
        <v>1760</v>
      </c>
      <c r="D33" s="615" t="s">
        <v>754</v>
      </c>
    </row>
    <row r="34" spans="1:4">
      <c r="A34" s="614" t="s">
        <v>1745</v>
      </c>
      <c r="C34" s="551" t="s">
        <v>1760</v>
      </c>
      <c r="D34" s="615" t="s">
        <v>1766</v>
      </c>
    </row>
    <row r="35" spans="1:4">
      <c r="A35" s="614" t="s">
        <v>1745</v>
      </c>
      <c r="C35" s="551" t="s">
        <v>1760</v>
      </c>
      <c r="D35" s="615" t="s">
        <v>758</v>
      </c>
    </row>
    <row r="36" spans="1:4">
      <c r="A36" s="366" t="s">
        <v>1767</v>
      </c>
      <c r="B36" s="366"/>
      <c r="C36" s="149" t="s">
        <v>1459</v>
      </c>
      <c r="D36" s="602" t="s">
        <v>1713</v>
      </c>
    </row>
    <row r="37" spans="1:4">
      <c r="A37" s="366" t="s">
        <v>1767</v>
      </c>
      <c r="B37" s="366"/>
      <c r="C37" s="149" t="s">
        <v>1459</v>
      </c>
      <c r="D37" s="602" t="s">
        <v>1605</v>
      </c>
    </row>
    <row r="38" spans="1:4">
      <c r="A38" s="366" t="s">
        <v>1767</v>
      </c>
      <c r="B38" s="366"/>
      <c r="C38" s="149" t="s">
        <v>1459</v>
      </c>
      <c r="D38" s="602" t="s">
        <v>50</v>
      </c>
    </row>
    <row r="39" spans="1:4">
      <c r="A39" s="366" t="s">
        <v>1767</v>
      </c>
      <c r="B39" s="366"/>
      <c r="C39" s="149" t="s">
        <v>1459</v>
      </c>
      <c r="D39" s="602" t="s">
        <v>49</v>
      </c>
    </row>
    <row r="40" spans="1:4">
      <c r="A40" s="366" t="s">
        <v>1767</v>
      </c>
      <c r="B40" s="366"/>
      <c r="C40" s="149" t="s">
        <v>1750</v>
      </c>
      <c r="D40" s="616" t="s">
        <v>1953</v>
      </c>
    </row>
    <row r="41" spans="1:4">
      <c r="A41" s="366" t="s">
        <v>1767</v>
      </c>
      <c r="B41" s="366"/>
      <c r="C41" s="149" t="s">
        <v>1750</v>
      </c>
      <c r="D41" s="616" t="s">
        <v>1914</v>
      </c>
    </row>
    <row r="42" spans="1:4">
      <c r="A42" s="366" t="s">
        <v>1767</v>
      </c>
      <c r="B42" s="366"/>
      <c r="C42" s="149" t="s">
        <v>1750</v>
      </c>
      <c r="D42" s="616" t="s">
        <v>1769</v>
      </c>
    </row>
    <row r="43" spans="1:4">
      <c r="A43" s="366" t="s">
        <v>1767</v>
      </c>
      <c r="B43" s="366"/>
      <c r="C43" s="149" t="s">
        <v>1750</v>
      </c>
      <c r="D43" s="616" t="s">
        <v>1770</v>
      </c>
    </row>
    <row r="44" spans="1:4">
      <c r="A44" s="366" t="s">
        <v>1767</v>
      </c>
      <c r="B44" s="366"/>
      <c r="C44" s="149" t="s">
        <v>1750</v>
      </c>
      <c r="D44" s="626" t="s">
        <v>1932</v>
      </c>
    </row>
    <row r="45" spans="1:4">
      <c r="A45" s="366" t="s">
        <v>1767</v>
      </c>
      <c r="B45" s="366"/>
      <c r="C45" s="149" t="s">
        <v>1750</v>
      </c>
      <c r="D45" s="616" t="s">
        <v>1756</v>
      </c>
    </row>
    <row r="46" spans="1:4">
      <c r="A46" s="366" t="s">
        <v>1767</v>
      </c>
      <c r="B46" s="366"/>
      <c r="C46" s="149" t="s">
        <v>1750</v>
      </c>
      <c r="D46" s="616" t="s">
        <v>1771</v>
      </c>
    </row>
    <row r="47" spans="1:4">
      <c r="A47" s="366" t="s">
        <v>1767</v>
      </c>
      <c r="B47" s="366"/>
      <c r="C47" s="149" t="s">
        <v>1750</v>
      </c>
      <c r="D47" s="616" t="s">
        <v>1772</v>
      </c>
    </row>
    <row r="48" spans="1:4">
      <c r="A48" s="366" t="s">
        <v>1767</v>
      </c>
      <c r="B48" s="366"/>
      <c r="C48" s="149" t="s">
        <v>1750</v>
      </c>
      <c r="D48" s="599" t="s">
        <v>1773</v>
      </c>
    </row>
    <row r="49" spans="1:4">
      <c r="A49" s="366" t="s">
        <v>1767</v>
      </c>
      <c r="B49" s="366"/>
      <c r="C49" s="149" t="s">
        <v>1750</v>
      </c>
      <c r="D49" s="599" t="s">
        <v>1774</v>
      </c>
    </row>
    <row r="50" spans="1:4">
      <c r="A50" s="366" t="s">
        <v>1767</v>
      </c>
      <c r="B50" s="366"/>
      <c r="C50" s="149" t="s">
        <v>1750</v>
      </c>
      <c r="D50" s="599" t="s">
        <v>1775</v>
      </c>
    </row>
    <row r="51" spans="1:4">
      <c r="A51" s="366" t="s">
        <v>1767</v>
      </c>
      <c r="B51" s="366"/>
      <c r="C51" s="149" t="s">
        <v>1760</v>
      </c>
      <c r="D51" s="616" t="s">
        <v>1776</v>
      </c>
    </row>
    <row r="52" spans="1:4">
      <c r="A52" s="366" t="s">
        <v>1767</v>
      </c>
      <c r="B52" s="366"/>
      <c r="C52" s="149" t="s">
        <v>1760</v>
      </c>
      <c r="D52" s="616" t="s">
        <v>1777</v>
      </c>
    </row>
    <row r="53" spans="1:4">
      <c r="A53" s="366" t="s">
        <v>1767</v>
      </c>
      <c r="B53" s="366"/>
      <c r="C53" s="149" t="s">
        <v>1760</v>
      </c>
      <c r="D53" s="616" t="s">
        <v>1778</v>
      </c>
    </row>
    <row r="54" spans="1:4">
      <c r="A54" s="366" t="s">
        <v>1767</v>
      </c>
      <c r="B54" s="366"/>
      <c r="C54" s="149" t="s">
        <v>1760</v>
      </c>
      <c r="D54" s="616" t="s">
        <v>1340</v>
      </c>
    </row>
    <row r="55" spans="1:4">
      <c r="A55" s="366" t="s">
        <v>1767</v>
      </c>
      <c r="B55" s="366"/>
      <c r="C55" s="149" t="s">
        <v>1760</v>
      </c>
      <c r="D55" s="616" t="s">
        <v>1950</v>
      </c>
    </row>
    <row r="56" spans="1:4">
      <c r="A56" s="617" t="s">
        <v>777</v>
      </c>
      <c r="B56" s="617"/>
      <c r="C56" s="637" t="s">
        <v>1459</v>
      </c>
      <c r="D56" s="603" t="s">
        <v>45</v>
      </c>
    </row>
    <row r="57" spans="1:4">
      <c r="A57" s="617" t="s">
        <v>777</v>
      </c>
      <c r="B57" s="617"/>
      <c r="C57" s="637" t="s">
        <v>1459</v>
      </c>
      <c r="D57" s="603" t="s">
        <v>46</v>
      </c>
    </row>
    <row r="58" spans="1:4">
      <c r="A58" s="617" t="s">
        <v>777</v>
      </c>
      <c r="B58" s="617"/>
      <c r="C58" s="637" t="s">
        <v>1459</v>
      </c>
      <c r="D58" s="603" t="s">
        <v>47</v>
      </c>
    </row>
    <row r="59" spans="1:4">
      <c r="A59" s="617" t="s">
        <v>777</v>
      </c>
      <c r="B59" s="617"/>
      <c r="C59" s="637" t="s">
        <v>1459</v>
      </c>
      <c r="D59" s="603" t="s">
        <v>48</v>
      </c>
    </row>
    <row r="60" spans="1:4">
      <c r="A60" s="617" t="s">
        <v>777</v>
      </c>
      <c r="B60" s="617"/>
      <c r="C60" s="637" t="s">
        <v>1459</v>
      </c>
      <c r="D60" s="603" t="s">
        <v>42</v>
      </c>
    </row>
    <row r="61" spans="1:4">
      <c r="A61" s="617" t="s">
        <v>777</v>
      </c>
      <c r="B61" s="617"/>
      <c r="C61" s="637" t="s">
        <v>1459</v>
      </c>
      <c r="D61" s="603" t="s">
        <v>1779</v>
      </c>
    </row>
    <row r="62" spans="1:4">
      <c r="A62" s="617" t="s">
        <v>777</v>
      </c>
      <c r="B62" s="617"/>
      <c r="C62" s="637" t="s">
        <v>1750</v>
      </c>
      <c r="D62" s="617" t="s">
        <v>1768</v>
      </c>
    </row>
    <row r="63" spans="1:4">
      <c r="A63" s="617" t="s">
        <v>777</v>
      </c>
      <c r="B63" s="617"/>
      <c r="C63" s="637" t="s">
        <v>1750</v>
      </c>
      <c r="D63" s="617" t="s">
        <v>1780</v>
      </c>
    </row>
    <row r="64" spans="1:4">
      <c r="A64" s="617" t="s">
        <v>777</v>
      </c>
      <c r="B64" s="617"/>
      <c r="C64" s="637" t="s">
        <v>1750</v>
      </c>
      <c r="D64" s="617" t="s">
        <v>1781</v>
      </c>
    </row>
    <row r="65" spans="1:4">
      <c r="A65" s="617" t="s">
        <v>777</v>
      </c>
      <c r="B65" s="617"/>
      <c r="C65" s="637" t="s">
        <v>1750</v>
      </c>
      <c r="D65" s="617" t="s">
        <v>1782</v>
      </c>
    </row>
    <row r="66" spans="1:4">
      <c r="A66" s="617" t="s">
        <v>777</v>
      </c>
      <c r="B66" s="617"/>
      <c r="C66" s="637" t="s">
        <v>1750</v>
      </c>
      <c r="D66" s="604" t="s">
        <v>1783</v>
      </c>
    </row>
    <row r="67" spans="1:4">
      <c r="A67" s="617" t="s">
        <v>777</v>
      </c>
      <c r="B67" s="617"/>
      <c r="C67" s="637" t="s">
        <v>1750</v>
      </c>
      <c r="D67" s="604" t="s">
        <v>1784</v>
      </c>
    </row>
    <row r="68" spans="1:4">
      <c r="A68" s="617" t="s">
        <v>777</v>
      </c>
      <c r="B68" s="617"/>
      <c r="C68" s="637" t="s">
        <v>1750</v>
      </c>
      <c r="D68" s="604" t="s">
        <v>1785</v>
      </c>
    </row>
    <row r="69" spans="1:4">
      <c r="A69" s="617" t="s">
        <v>777</v>
      </c>
      <c r="B69" s="617"/>
      <c r="C69" s="637" t="s">
        <v>1750</v>
      </c>
      <c r="D69" s="617" t="s">
        <v>1786</v>
      </c>
    </row>
    <row r="70" spans="1:4">
      <c r="A70" s="617" t="s">
        <v>777</v>
      </c>
      <c r="B70" s="617"/>
      <c r="C70" s="637" t="s">
        <v>1750</v>
      </c>
      <c r="D70" s="617" t="s">
        <v>1787</v>
      </c>
    </row>
    <row r="71" spans="1:4">
      <c r="A71" s="617" t="s">
        <v>777</v>
      </c>
      <c r="B71" s="617"/>
      <c r="C71" s="637" t="s">
        <v>1750</v>
      </c>
      <c r="D71" s="617" t="s">
        <v>1770</v>
      </c>
    </row>
    <row r="72" spans="1:4">
      <c r="A72" s="617" t="s">
        <v>777</v>
      </c>
      <c r="B72" s="617"/>
      <c r="C72" s="637" t="s">
        <v>1750</v>
      </c>
      <c r="D72" s="626" t="s">
        <v>1932</v>
      </c>
    </row>
    <row r="73" spans="1:4">
      <c r="A73" s="617" t="s">
        <v>777</v>
      </c>
      <c r="B73" s="617"/>
      <c r="C73" s="637" t="s">
        <v>1750</v>
      </c>
      <c r="D73" s="617" t="s">
        <v>1788</v>
      </c>
    </row>
    <row r="74" spans="1:4">
      <c r="A74" s="617" t="s">
        <v>777</v>
      </c>
      <c r="B74" s="617"/>
      <c r="C74" s="637" t="s">
        <v>1750</v>
      </c>
      <c r="D74" s="617" t="s">
        <v>1789</v>
      </c>
    </row>
    <row r="75" spans="1:4">
      <c r="A75" s="617" t="s">
        <v>777</v>
      </c>
      <c r="B75" s="617"/>
      <c r="C75" s="637" t="s">
        <v>1750</v>
      </c>
      <c r="D75" s="617" t="s">
        <v>1790</v>
      </c>
    </row>
    <row r="76" spans="1:4">
      <c r="A76" s="617" t="s">
        <v>777</v>
      </c>
      <c r="B76" s="617"/>
      <c r="C76" s="637" t="s">
        <v>1750</v>
      </c>
      <c r="D76" s="617" t="s">
        <v>1791</v>
      </c>
    </row>
    <row r="77" spans="1:4">
      <c r="A77" s="617" t="s">
        <v>777</v>
      </c>
      <c r="B77" s="617"/>
      <c r="C77" s="637" t="s">
        <v>1760</v>
      </c>
      <c r="D77" s="617" t="s">
        <v>1306</v>
      </c>
    </row>
    <row r="78" spans="1:4">
      <c r="A78" s="617" t="s">
        <v>777</v>
      </c>
      <c r="B78" s="617"/>
      <c r="C78" s="637" t="s">
        <v>1760</v>
      </c>
      <c r="D78" s="604" t="s">
        <v>1761</v>
      </c>
    </row>
    <row r="79" spans="1:4">
      <c r="A79" s="617" t="s">
        <v>777</v>
      </c>
      <c r="B79" s="617"/>
      <c r="C79" s="637" t="s">
        <v>1760</v>
      </c>
      <c r="D79" s="604" t="s">
        <v>1762</v>
      </c>
    </row>
    <row r="80" spans="1:4">
      <c r="A80" s="617" t="s">
        <v>777</v>
      </c>
      <c r="B80" s="617"/>
      <c r="C80" s="637" t="s">
        <v>1760</v>
      </c>
      <c r="D80" s="617" t="s">
        <v>1792</v>
      </c>
    </row>
    <row r="81" spans="1:4">
      <c r="A81" s="609" t="s">
        <v>1858</v>
      </c>
      <c r="B81" s="609"/>
      <c r="C81" s="637" t="s">
        <v>1760</v>
      </c>
      <c r="D81" s="601" t="s">
        <v>1942</v>
      </c>
    </row>
    <row r="82" spans="1:4">
      <c r="A82" s="617" t="s">
        <v>777</v>
      </c>
      <c r="B82" s="617"/>
      <c r="C82" s="637" t="s">
        <v>1760</v>
      </c>
      <c r="D82" s="617" t="s">
        <v>71</v>
      </c>
    </row>
    <row r="83" spans="1:4">
      <c r="A83" s="617" t="s">
        <v>777</v>
      </c>
      <c r="B83" s="617"/>
      <c r="C83" s="637" t="s">
        <v>1760</v>
      </c>
      <c r="D83" s="604" t="s">
        <v>1793</v>
      </c>
    </row>
    <row r="84" spans="1:4">
      <c r="A84" s="617" t="s">
        <v>777</v>
      </c>
      <c r="B84" s="617"/>
      <c r="C84" s="637" t="s">
        <v>1760</v>
      </c>
      <c r="D84" s="605" t="s">
        <v>1946</v>
      </c>
    </row>
    <row r="85" spans="1:4">
      <c r="A85" s="617" t="s">
        <v>777</v>
      </c>
      <c r="B85" s="617"/>
      <c r="C85" s="637" t="s">
        <v>1760</v>
      </c>
      <c r="D85" s="604" t="s">
        <v>640</v>
      </c>
    </row>
    <row r="86" spans="1:4">
      <c r="A86" s="617" t="s">
        <v>777</v>
      </c>
      <c r="B86" s="617"/>
      <c r="C86" s="637" t="s">
        <v>1760</v>
      </c>
      <c r="D86" s="603" t="s">
        <v>641</v>
      </c>
    </row>
    <row r="87" spans="1:4">
      <c r="A87" s="617" t="s">
        <v>777</v>
      </c>
      <c r="B87" s="617"/>
      <c r="C87" s="637" t="s">
        <v>1760</v>
      </c>
      <c r="D87" s="604" t="s">
        <v>1794</v>
      </c>
    </row>
    <row r="88" spans="1:4">
      <c r="A88" s="617" t="s">
        <v>777</v>
      </c>
      <c r="B88" s="617"/>
      <c r="C88" s="637" t="s">
        <v>1760</v>
      </c>
      <c r="D88" s="617" t="s">
        <v>1776</v>
      </c>
    </row>
    <row r="89" spans="1:4">
      <c r="A89" s="617" t="s">
        <v>777</v>
      </c>
      <c r="B89" s="617"/>
      <c r="C89" s="637" t="s">
        <v>1760</v>
      </c>
      <c r="D89" s="617" t="s">
        <v>1795</v>
      </c>
    </row>
    <row r="90" spans="1:4">
      <c r="A90" s="617" t="s">
        <v>777</v>
      </c>
      <c r="B90" s="617"/>
      <c r="C90" s="637" t="s">
        <v>1760</v>
      </c>
      <c r="D90" s="617" t="s">
        <v>1796</v>
      </c>
    </row>
    <row r="91" spans="1:4">
      <c r="A91" s="617" t="s">
        <v>777</v>
      </c>
      <c r="B91" s="617"/>
      <c r="C91" s="637" t="s">
        <v>1760</v>
      </c>
      <c r="D91" s="617" t="s">
        <v>1797</v>
      </c>
    </row>
    <row r="92" spans="1:4">
      <c r="A92" s="617" t="s">
        <v>777</v>
      </c>
      <c r="B92" s="617"/>
      <c r="C92" s="637" t="s">
        <v>1760</v>
      </c>
      <c r="D92" s="617" t="s">
        <v>1798</v>
      </c>
    </row>
    <row r="93" spans="1:4">
      <c r="A93" s="617" t="s">
        <v>777</v>
      </c>
      <c r="B93" s="617"/>
      <c r="C93" s="637" t="s">
        <v>1760</v>
      </c>
      <c r="D93" s="617" t="s">
        <v>630</v>
      </c>
    </row>
    <row r="94" spans="1:4">
      <c r="A94" s="617" t="s">
        <v>777</v>
      </c>
      <c r="B94" s="617"/>
      <c r="C94" s="637" t="s">
        <v>1760</v>
      </c>
      <c r="D94" s="617" t="s">
        <v>1402</v>
      </c>
    </row>
    <row r="95" spans="1:4">
      <c r="A95" s="617" t="s">
        <v>777</v>
      </c>
      <c r="B95" s="617"/>
      <c r="C95" s="637" t="s">
        <v>1760</v>
      </c>
      <c r="D95" s="617" t="s">
        <v>1799</v>
      </c>
    </row>
    <row r="96" spans="1:4">
      <c r="A96" s="617" t="s">
        <v>777</v>
      </c>
      <c r="B96" s="617"/>
      <c r="C96" s="637" t="s">
        <v>1760</v>
      </c>
      <c r="D96" s="617" t="s">
        <v>1650</v>
      </c>
    </row>
    <row r="97" spans="1:4">
      <c r="A97" s="617" t="s">
        <v>777</v>
      </c>
      <c r="B97" s="617"/>
      <c r="C97" s="637" t="s">
        <v>1760</v>
      </c>
      <c r="D97" s="605" t="s">
        <v>512</v>
      </c>
    </row>
    <row r="98" spans="1:4">
      <c r="A98" s="617" t="s">
        <v>777</v>
      </c>
      <c r="B98" s="617"/>
      <c r="C98" s="637" t="s">
        <v>1760</v>
      </c>
      <c r="D98" s="605" t="s">
        <v>513</v>
      </c>
    </row>
    <row r="99" spans="1:4">
      <c r="A99" s="617" t="s">
        <v>777</v>
      </c>
      <c r="B99" s="617"/>
      <c r="C99" s="637" t="s">
        <v>1760</v>
      </c>
      <c r="D99" s="605" t="s">
        <v>514</v>
      </c>
    </row>
    <row r="100" spans="1:4">
      <c r="A100" s="617" t="s">
        <v>777</v>
      </c>
      <c r="B100" s="617"/>
      <c r="C100" s="637" t="s">
        <v>1760</v>
      </c>
      <c r="D100" s="605" t="s">
        <v>545</v>
      </c>
    </row>
    <row r="101" spans="1:4">
      <c r="A101" s="617" t="s">
        <v>777</v>
      </c>
      <c r="B101" s="617"/>
      <c r="C101" s="637" t="s">
        <v>1760</v>
      </c>
      <c r="D101" s="605" t="s">
        <v>515</v>
      </c>
    </row>
    <row r="102" spans="1:4">
      <c r="A102" s="617" t="s">
        <v>777</v>
      </c>
      <c r="B102" s="617"/>
      <c r="C102" s="637" t="s">
        <v>1760</v>
      </c>
      <c r="D102" s="605" t="s">
        <v>1091</v>
      </c>
    </row>
    <row r="103" spans="1:4">
      <c r="A103" s="617" t="s">
        <v>777</v>
      </c>
      <c r="B103" s="617"/>
      <c r="C103" s="637" t="s">
        <v>1760</v>
      </c>
      <c r="D103" s="623" t="s">
        <v>1649</v>
      </c>
    </row>
    <row r="104" spans="1:4">
      <c r="A104" s="617" t="s">
        <v>777</v>
      </c>
      <c r="B104" s="617"/>
      <c r="C104" s="637" t="s">
        <v>1760</v>
      </c>
      <c r="D104" s="618" t="s">
        <v>1646</v>
      </c>
    </row>
    <row r="105" spans="1:4">
      <c r="A105" s="617" t="s">
        <v>777</v>
      </c>
      <c r="B105" s="617"/>
      <c r="C105" s="637" t="s">
        <v>1760</v>
      </c>
      <c r="D105" s="624" t="s">
        <v>1647</v>
      </c>
    </row>
    <row r="106" spans="1:4">
      <c r="A106" s="617" t="s">
        <v>777</v>
      </c>
      <c r="B106" s="617"/>
      <c r="C106" s="637" t="s">
        <v>1760</v>
      </c>
      <c r="D106" s="606"/>
    </row>
    <row r="107" spans="1:4">
      <c r="A107" s="617" t="s">
        <v>777</v>
      </c>
      <c r="B107" s="617"/>
      <c r="C107" s="637" t="s">
        <v>1760</v>
      </c>
      <c r="D107" s="617" t="s">
        <v>1678</v>
      </c>
    </row>
    <row r="108" spans="1:4">
      <c r="A108" s="617" t="s">
        <v>777</v>
      </c>
      <c r="B108" s="617"/>
      <c r="C108" s="637" t="s">
        <v>1760</v>
      </c>
      <c r="D108" s="617" t="s">
        <v>1672</v>
      </c>
    </row>
    <row r="109" spans="1:4">
      <c r="A109" s="617" t="s">
        <v>777</v>
      </c>
      <c r="B109" s="617"/>
      <c r="C109" s="637" t="s">
        <v>1760</v>
      </c>
      <c r="D109" s="605" t="s">
        <v>516</v>
      </c>
    </row>
    <row r="110" spans="1:4">
      <c r="A110" s="617" t="s">
        <v>777</v>
      </c>
      <c r="B110" s="617"/>
      <c r="C110" s="637" t="s">
        <v>1760</v>
      </c>
      <c r="D110" s="606" t="s">
        <v>1947</v>
      </c>
    </row>
    <row r="111" spans="1:4">
      <c r="A111" s="617" t="s">
        <v>777</v>
      </c>
      <c r="B111" s="617"/>
      <c r="C111" s="637" t="s">
        <v>1760</v>
      </c>
      <c r="D111" s="617" t="s">
        <v>1678</v>
      </c>
    </row>
    <row r="112" spans="1:4">
      <c r="A112" s="617" t="s">
        <v>1800</v>
      </c>
      <c r="B112" s="617"/>
      <c r="C112" s="637" t="s">
        <v>1459</v>
      </c>
      <c r="D112" s="603" t="s">
        <v>908</v>
      </c>
    </row>
    <row r="113" spans="1:4">
      <c r="A113" s="617" t="s">
        <v>1800</v>
      </c>
      <c r="B113" s="617"/>
      <c r="C113" s="637" t="s">
        <v>1459</v>
      </c>
      <c r="D113" s="603" t="s">
        <v>1801</v>
      </c>
    </row>
    <row r="114" spans="1:4">
      <c r="A114" s="617" t="s">
        <v>1800</v>
      </c>
      <c r="B114" s="617"/>
      <c r="C114" s="637" t="s">
        <v>1459</v>
      </c>
      <c r="D114" s="603" t="s">
        <v>39</v>
      </c>
    </row>
    <row r="115" spans="1:4">
      <c r="A115" s="617" t="s">
        <v>1800</v>
      </c>
      <c r="B115" s="617"/>
      <c r="C115" s="637" t="s">
        <v>1459</v>
      </c>
      <c r="D115" s="603" t="s">
        <v>912</v>
      </c>
    </row>
    <row r="116" spans="1:4">
      <c r="A116" s="617" t="s">
        <v>1800</v>
      </c>
      <c r="B116" s="617"/>
      <c r="C116" s="637" t="s">
        <v>1459</v>
      </c>
      <c r="D116" s="603" t="s">
        <v>1802</v>
      </c>
    </row>
    <row r="117" spans="1:4">
      <c r="A117" s="617" t="s">
        <v>1800</v>
      </c>
      <c r="B117" s="617"/>
      <c r="C117" s="637" t="s">
        <v>1459</v>
      </c>
      <c r="D117" s="603" t="s">
        <v>1803</v>
      </c>
    </row>
    <row r="118" spans="1:4">
      <c r="A118" s="617" t="s">
        <v>1800</v>
      </c>
      <c r="B118" s="617"/>
      <c r="C118" s="637" t="s">
        <v>1459</v>
      </c>
      <c r="D118" s="617" t="s">
        <v>904</v>
      </c>
    </row>
    <row r="119" spans="1:4">
      <c r="A119" s="617" t="s">
        <v>1800</v>
      </c>
      <c r="B119" s="617"/>
      <c r="C119" s="637" t="s">
        <v>1459</v>
      </c>
      <c r="D119" s="617" t="s">
        <v>1714</v>
      </c>
    </row>
    <row r="120" spans="1:4">
      <c r="A120" s="617" t="s">
        <v>1800</v>
      </c>
      <c r="B120" s="617"/>
      <c r="C120" s="637" t="s">
        <v>1459</v>
      </c>
      <c r="D120" s="617" t="s">
        <v>913</v>
      </c>
    </row>
    <row r="121" spans="1:4">
      <c r="A121" s="617" t="s">
        <v>1800</v>
      </c>
      <c r="B121" s="617"/>
      <c r="C121" s="637" t="s">
        <v>1459</v>
      </c>
      <c r="D121" s="617" t="s">
        <v>1804</v>
      </c>
    </row>
    <row r="122" spans="1:4">
      <c r="A122" s="617" t="s">
        <v>1800</v>
      </c>
      <c r="B122" s="617"/>
      <c r="C122" s="637" t="s">
        <v>1750</v>
      </c>
      <c r="D122" s="617" t="s">
        <v>1805</v>
      </c>
    </row>
    <row r="123" spans="1:4">
      <c r="A123" s="617" t="s">
        <v>1800</v>
      </c>
      <c r="B123" s="617"/>
      <c r="C123" s="637" t="s">
        <v>1750</v>
      </c>
      <c r="D123" s="617" t="s">
        <v>1806</v>
      </c>
    </row>
    <row r="124" spans="1:4">
      <c r="A124" s="617" t="s">
        <v>1800</v>
      </c>
      <c r="B124" s="617"/>
      <c r="C124" s="637" t="s">
        <v>1750</v>
      </c>
      <c r="D124" s="617" t="s">
        <v>1807</v>
      </c>
    </row>
    <row r="125" spans="1:4">
      <c r="A125" s="617" t="s">
        <v>1800</v>
      </c>
      <c r="B125" s="617"/>
      <c r="C125" s="637" t="s">
        <v>1750</v>
      </c>
      <c r="D125" s="617" t="s">
        <v>1808</v>
      </c>
    </row>
    <row r="126" spans="1:4">
      <c r="A126" s="617" t="s">
        <v>1800</v>
      </c>
      <c r="B126" s="617"/>
      <c r="C126" s="637" t="s">
        <v>1750</v>
      </c>
      <c r="D126" s="617" t="s">
        <v>1809</v>
      </c>
    </row>
    <row r="127" spans="1:4">
      <c r="A127" s="617" t="s">
        <v>1800</v>
      </c>
      <c r="B127" s="617"/>
      <c r="C127" s="637" t="s">
        <v>1750</v>
      </c>
      <c r="D127" s="617" t="s">
        <v>1810</v>
      </c>
    </row>
    <row r="128" spans="1:4">
      <c r="A128" s="617" t="s">
        <v>1800</v>
      </c>
      <c r="B128" s="617"/>
      <c r="C128" s="637" t="s">
        <v>1750</v>
      </c>
      <c r="D128" s="599" t="s">
        <v>1811</v>
      </c>
    </row>
    <row r="129" spans="1:4">
      <c r="A129" s="617" t="s">
        <v>1800</v>
      </c>
      <c r="B129" s="617"/>
      <c r="C129" s="637" t="s">
        <v>1750</v>
      </c>
      <c r="D129" s="599" t="s">
        <v>1812</v>
      </c>
    </row>
    <row r="130" spans="1:4" ht="30">
      <c r="A130" s="617" t="s">
        <v>1800</v>
      </c>
      <c r="B130" s="617"/>
      <c r="C130" s="637" t="s">
        <v>1750</v>
      </c>
      <c r="D130" s="599" t="s">
        <v>1813</v>
      </c>
    </row>
    <row r="131" spans="1:4">
      <c r="A131" s="617" t="s">
        <v>1800</v>
      </c>
      <c r="B131" s="617"/>
      <c r="C131" s="637" t="s">
        <v>1750</v>
      </c>
      <c r="D131" s="617" t="s">
        <v>1954</v>
      </c>
    </row>
    <row r="132" spans="1:4">
      <c r="A132" s="617" t="s">
        <v>1800</v>
      </c>
      <c r="B132" s="617"/>
      <c r="C132" s="637" t="s">
        <v>1750</v>
      </c>
      <c r="D132" s="599" t="s">
        <v>1814</v>
      </c>
    </row>
    <row r="133" spans="1:4">
      <c r="A133" s="617" t="s">
        <v>1800</v>
      </c>
      <c r="B133" s="617"/>
      <c r="C133" s="637" t="s">
        <v>1750</v>
      </c>
      <c r="D133" s="599" t="s">
        <v>1815</v>
      </c>
    </row>
    <row r="134" spans="1:4">
      <c r="A134" s="617" t="s">
        <v>1800</v>
      </c>
      <c r="B134" s="617"/>
      <c r="C134" s="637" t="s">
        <v>1750</v>
      </c>
      <c r="D134" s="599" t="s">
        <v>1816</v>
      </c>
    </row>
    <row r="135" spans="1:4">
      <c r="A135" s="617" t="s">
        <v>1800</v>
      </c>
      <c r="B135" s="617"/>
      <c r="C135" s="637" t="s">
        <v>1750</v>
      </c>
      <c r="D135" s="599" t="s">
        <v>1817</v>
      </c>
    </row>
    <row r="136" spans="1:4">
      <c r="A136" s="617" t="s">
        <v>1800</v>
      </c>
      <c r="B136" s="617"/>
      <c r="C136" s="637" t="s">
        <v>1760</v>
      </c>
      <c r="D136" s="619" t="s">
        <v>1296</v>
      </c>
    </row>
    <row r="137" spans="1:4">
      <c r="A137" s="617" t="s">
        <v>1800</v>
      </c>
      <c r="B137" s="617"/>
      <c r="C137" s="637" t="s">
        <v>1760</v>
      </c>
      <c r="D137" s="605" t="s">
        <v>17</v>
      </c>
    </row>
    <row r="138" spans="1:4">
      <c r="A138" s="617" t="s">
        <v>1800</v>
      </c>
      <c r="B138" s="617"/>
      <c r="C138" s="637" t="s">
        <v>1760</v>
      </c>
      <c r="D138" s="605" t="s">
        <v>18</v>
      </c>
    </row>
    <row r="139" spans="1:4">
      <c r="A139" s="617" t="s">
        <v>1800</v>
      </c>
      <c r="B139" s="617"/>
      <c r="C139" s="637" t="s">
        <v>1760</v>
      </c>
      <c r="D139" s="605" t="s">
        <v>522</v>
      </c>
    </row>
    <row r="140" spans="1:4">
      <c r="A140" s="617" t="s">
        <v>1800</v>
      </c>
      <c r="B140" s="617"/>
      <c r="C140" s="637" t="s">
        <v>1760</v>
      </c>
      <c r="D140" s="605" t="s">
        <v>1818</v>
      </c>
    </row>
    <row r="141" spans="1:4">
      <c r="A141" s="617" t="s">
        <v>1800</v>
      </c>
      <c r="B141" s="617"/>
      <c r="C141" s="637" t="s">
        <v>1760</v>
      </c>
      <c r="D141" s="605" t="s">
        <v>239</v>
      </c>
    </row>
    <row r="142" spans="1:4">
      <c r="A142" s="617" t="s">
        <v>1800</v>
      </c>
      <c r="B142" s="617"/>
      <c r="C142" s="637" t="s">
        <v>1760</v>
      </c>
      <c r="D142" s="624" t="s">
        <v>1661</v>
      </c>
    </row>
    <row r="143" spans="1:4">
      <c r="A143" s="617" t="s">
        <v>1800</v>
      </c>
      <c r="B143" s="617"/>
      <c r="C143" s="637" t="s">
        <v>1760</v>
      </c>
      <c r="D143" s="617" t="s">
        <v>357</v>
      </c>
    </row>
    <row r="144" spans="1:4">
      <c r="A144" s="617" t="s">
        <v>1800</v>
      </c>
      <c r="B144" s="617"/>
      <c r="C144" s="637" t="s">
        <v>1760</v>
      </c>
      <c r="D144" s="617" t="s">
        <v>1819</v>
      </c>
    </row>
    <row r="145" spans="1:4">
      <c r="A145" s="616" t="s">
        <v>1820</v>
      </c>
      <c r="B145" s="616"/>
      <c r="C145" s="637" t="s">
        <v>1459</v>
      </c>
      <c r="D145" s="608" t="s">
        <v>54</v>
      </c>
    </row>
    <row r="146" spans="1:4">
      <c r="A146" s="616" t="s">
        <v>1820</v>
      </c>
      <c r="B146" s="616"/>
      <c r="C146" s="637" t="s">
        <v>1459</v>
      </c>
      <c r="D146" s="608" t="s">
        <v>35</v>
      </c>
    </row>
    <row r="147" spans="1:4">
      <c r="A147" s="616" t="s">
        <v>1820</v>
      </c>
      <c r="B147" s="616"/>
      <c r="C147" s="637" t="s">
        <v>1459</v>
      </c>
      <c r="D147" s="608" t="s">
        <v>1821</v>
      </c>
    </row>
    <row r="148" spans="1:4">
      <c r="A148" s="616" t="s">
        <v>1820</v>
      </c>
      <c r="B148" s="616"/>
      <c r="C148" s="637" t="s">
        <v>1459</v>
      </c>
      <c r="D148" s="608" t="s">
        <v>1822</v>
      </c>
    </row>
    <row r="149" spans="1:4">
      <c r="A149" s="616" t="s">
        <v>1820</v>
      </c>
      <c r="B149" s="616"/>
      <c r="C149" s="637" t="s">
        <v>1459</v>
      </c>
      <c r="D149" s="608" t="s">
        <v>1823</v>
      </c>
    </row>
    <row r="150" spans="1:4">
      <c r="A150" s="616" t="s">
        <v>1820</v>
      </c>
      <c r="B150" s="616"/>
      <c r="C150" s="637" t="s">
        <v>1459</v>
      </c>
      <c r="D150" s="608" t="s">
        <v>1824</v>
      </c>
    </row>
    <row r="151" spans="1:4">
      <c r="A151" s="616" t="s">
        <v>1820</v>
      </c>
      <c r="B151" s="616"/>
      <c r="C151" s="637" t="s">
        <v>1459</v>
      </c>
      <c r="D151" s="608" t="s">
        <v>1825</v>
      </c>
    </row>
    <row r="152" spans="1:4">
      <c r="A152" s="616" t="s">
        <v>1820</v>
      </c>
      <c r="B152" s="616"/>
      <c r="C152" s="637" t="s">
        <v>1459</v>
      </c>
      <c r="D152" s="607" t="s">
        <v>799</v>
      </c>
    </row>
    <row r="153" spans="1:4">
      <c r="A153" s="616" t="s">
        <v>1820</v>
      </c>
      <c r="B153" s="616"/>
      <c r="C153" s="637" t="s">
        <v>1459</v>
      </c>
      <c r="D153" s="607" t="s">
        <v>1691</v>
      </c>
    </row>
    <row r="154" spans="1:4">
      <c r="A154" s="616" t="s">
        <v>1820</v>
      </c>
      <c r="B154" s="616"/>
      <c r="C154" s="637" t="s">
        <v>1459</v>
      </c>
      <c r="D154" s="608" t="s">
        <v>37</v>
      </c>
    </row>
    <row r="155" spans="1:4">
      <c r="A155" s="616" t="s">
        <v>1820</v>
      </c>
      <c r="B155" s="616"/>
      <c r="C155" s="637" t="s">
        <v>1459</v>
      </c>
      <c r="D155" s="608" t="s">
        <v>36</v>
      </c>
    </row>
    <row r="156" spans="1:4">
      <c r="A156" s="616" t="s">
        <v>1820</v>
      </c>
      <c r="B156" s="616"/>
      <c r="C156" s="637" t="s">
        <v>1459</v>
      </c>
      <c r="D156" s="607" t="s">
        <v>1826</v>
      </c>
    </row>
    <row r="157" spans="1:4">
      <c r="A157" s="616" t="s">
        <v>1820</v>
      </c>
      <c r="B157" s="616"/>
      <c r="C157" s="637" t="s">
        <v>1750</v>
      </c>
      <c r="D157" s="607" t="s">
        <v>1827</v>
      </c>
    </row>
    <row r="158" spans="1:4">
      <c r="A158" s="616" t="s">
        <v>1820</v>
      </c>
      <c r="B158" s="616"/>
      <c r="C158" s="637" t="s">
        <v>1750</v>
      </c>
      <c r="D158" s="607" t="s">
        <v>1938</v>
      </c>
    </row>
    <row r="159" spans="1:4">
      <c r="A159" s="616" t="s">
        <v>1820</v>
      </c>
      <c r="B159" s="616"/>
      <c r="C159" s="637" t="s">
        <v>1750</v>
      </c>
      <c r="D159" s="607" t="s">
        <v>1939</v>
      </c>
    </row>
    <row r="160" spans="1:4">
      <c r="A160" s="616" t="s">
        <v>1820</v>
      </c>
      <c r="B160" s="616"/>
      <c r="C160" s="637" t="s">
        <v>1750</v>
      </c>
      <c r="D160" s="607" t="s">
        <v>1828</v>
      </c>
    </row>
    <row r="161" spans="1:4">
      <c r="A161" s="616" t="s">
        <v>1820</v>
      </c>
      <c r="B161" s="616"/>
      <c r="C161" s="637" t="s">
        <v>1750</v>
      </c>
      <c r="D161" s="607" t="s">
        <v>1829</v>
      </c>
    </row>
    <row r="162" spans="1:4">
      <c r="A162" s="616" t="s">
        <v>1820</v>
      </c>
      <c r="B162" s="616"/>
      <c r="C162" s="637" t="s">
        <v>1750</v>
      </c>
      <c r="D162" s="607" t="s">
        <v>1830</v>
      </c>
    </row>
    <row r="163" spans="1:4">
      <c r="A163" s="616" t="s">
        <v>1820</v>
      </c>
      <c r="B163" s="616"/>
      <c r="C163" s="637" t="s">
        <v>1750</v>
      </c>
      <c r="D163" s="607" t="s">
        <v>1692</v>
      </c>
    </row>
    <row r="164" spans="1:4">
      <c r="A164" s="616" t="s">
        <v>1820</v>
      </c>
      <c r="B164" s="616"/>
      <c r="C164" s="637" t="s">
        <v>1750</v>
      </c>
      <c r="D164" s="607" t="s">
        <v>1831</v>
      </c>
    </row>
    <row r="165" spans="1:4">
      <c r="A165" s="616" t="s">
        <v>1820</v>
      </c>
      <c r="B165" s="616"/>
      <c r="C165" s="637" t="s">
        <v>1750</v>
      </c>
      <c r="D165" s="607" t="s">
        <v>1832</v>
      </c>
    </row>
    <row r="166" spans="1:4">
      <c r="A166" s="616" t="s">
        <v>1820</v>
      </c>
      <c r="B166" s="616"/>
      <c r="C166" s="637" t="s">
        <v>1750</v>
      </c>
      <c r="D166" s="599" t="s">
        <v>1833</v>
      </c>
    </row>
    <row r="167" spans="1:4">
      <c r="A167" s="616" t="s">
        <v>1820</v>
      </c>
      <c r="B167" s="616"/>
      <c r="C167" s="637" t="s">
        <v>1750</v>
      </c>
      <c r="D167" s="599" t="s">
        <v>1834</v>
      </c>
    </row>
    <row r="168" spans="1:4">
      <c r="A168" s="616" t="s">
        <v>1820</v>
      </c>
      <c r="B168" s="616"/>
      <c r="C168" s="637" t="s">
        <v>1750</v>
      </c>
      <c r="D168" s="607" t="s">
        <v>1835</v>
      </c>
    </row>
    <row r="169" spans="1:4">
      <c r="A169" s="616" t="s">
        <v>1820</v>
      </c>
      <c r="B169" s="616"/>
      <c r="C169" s="637" t="s">
        <v>1750</v>
      </c>
      <c r="D169" s="607" t="s">
        <v>1836</v>
      </c>
    </row>
    <row r="170" spans="1:4">
      <c r="A170" s="616" t="s">
        <v>1820</v>
      </c>
      <c r="B170" s="616"/>
      <c r="C170" s="637" t="s">
        <v>1750</v>
      </c>
      <c r="D170" s="607" t="s">
        <v>1837</v>
      </c>
    </row>
    <row r="171" spans="1:4">
      <c r="A171" s="616" t="s">
        <v>1820</v>
      </c>
      <c r="B171" s="616"/>
      <c r="C171" s="637" t="s">
        <v>1750</v>
      </c>
      <c r="D171" s="607" t="s">
        <v>1930</v>
      </c>
    </row>
    <row r="172" spans="1:4">
      <c r="A172" s="616" t="s">
        <v>1820</v>
      </c>
      <c r="B172" s="616"/>
      <c r="C172" s="637" t="s">
        <v>1760</v>
      </c>
      <c r="D172" s="608" t="s">
        <v>1838</v>
      </c>
    </row>
    <row r="173" spans="1:4">
      <c r="A173" s="616" t="s">
        <v>1820</v>
      </c>
      <c r="B173" s="616"/>
      <c r="C173" s="637" t="s">
        <v>1760</v>
      </c>
      <c r="D173" s="608" t="s">
        <v>1839</v>
      </c>
    </row>
    <row r="174" spans="1:4">
      <c r="A174" s="616" t="s">
        <v>1820</v>
      </c>
      <c r="B174" s="616"/>
      <c r="C174" s="637" t="s">
        <v>1760</v>
      </c>
      <c r="D174" s="608" t="s">
        <v>1840</v>
      </c>
    </row>
    <row r="175" spans="1:4">
      <c r="A175" s="616" t="s">
        <v>1820</v>
      </c>
      <c r="B175" s="616"/>
      <c r="C175" s="637" t="s">
        <v>1760</v>
      </c>
      <c r="D175" s="606" t="s">
        <v>1232</v>
      </c>
    </row>
    <row r="176" spans="1:4">
      <c r="A176" s="616" t="s">
        <v>1820</v>
      </c>
      <c r="B176" s="616"/>
      <c r="C176" s="637" t="s">
        <v>1760</v>
      </c>
      <c r="D176" s="606" t="s">
        <v>1400</v>
      </c>
    </row>
    <row r="177" spans="1:4">
      <c r="A177" s="616" t="s">
        <v>1820</v>
      </c>
      <c r="B177" s="616"/>
      <c r="C177" s="637" t="s">
        <v>1760</v>
      </c>
      <c r="D177" s="607" t="s">
        <v>1260</v>
      </c>
    </row>
    <row r="178" spans="1:4">
      <c r="A178" s="616" t="s">
        <v>1820</v>
      </c>
      <c r="B178" s="616"/>
      <c r="C178" s="637" t="s">
        <v>1760</v>
      </c>
      <c r="D178" s="607" t="s">
        <v>1685</v>
      </c>
    </row>
    <row r="179" spans="1:4">
      <c r="A179" s="616" t="s">
        <v>1820</v>
      </c>
      <c r="B179" s="616"/>
      <c r="C179" s="637" t="s">
        <v>1760</v>
      </c>
      <c r="D179" s="608" t="s">
        <v>209</v>
      </c>
    </row>
    <row r="180" spans="1:4">
      <c r="A180" s="616" t="s">
        <v>1820</v>
      </c>
      <c r="B180" s="616"/>
      <c r="C180" s="637" t="s">
        <v>1760</v>
      </c>
      <c r="D180" s="608" t="s">
        <v>532</v>
      </c>
    </row>
    <row r="181" spans="1:4">
      <c r="A181" s="616" t="s">
        <v>1820</v>
      </c>
      <c r="B181" s="616"/>
      <c r="C181" s="637" t="s">
        <v>1760</v>
      </c>
      <c r="D181" s="608" t="s">
        <v>543</v>
      </c>
    </row>
    <row r="182" spans="1:4">
      <c r="A182" s="616" t="s">
        <v>1820</v>
      </c>
      <c r="B182" s="616"/>
      <c r="C182" s="637" t="s">
        <v>1760</v>
      </c>
      <c r="D182" s="608" t="s">
        <v>599</v>
      </c>
    </row>
    <row r="183" spans="1:4">
      <c r="A183" s="616" t="s">
        <v>1820</v>
      </c>
      <c r="B183" s="616"/>
      <c r="C183" s="637" t="s">
        <v>1760</v>
      </c>
      <c r="D183" s="608" t="s">
        <v>567</v>
      </c>
    </row>
    <row r="184" spans="1:4">
      <c r="A184" s="616" t="s">
        <v>1820</v>
      </c>
      <c r="B184" s="616"/>
      <c r="C184" s="637" t="s">
        <v>1760</v>
      </c>
      <c r="D184" s="608" t="s">
        <v>568</v>
      </c>
    </row>
    <row r="185" spans="1:4">
      <c r="A185" s="616" t="s">
        <v>1820</v>
      </c>
      <c r="B185" s="616"/>
      <c r="C185" s="637" t="s">
        <v>1760</v>
      </c>
      <c r="D185" s="608" t="s">
        <v>524</v>
      </c>
    </row>
    <row r="186" spans="1:4">
      <c r="A186" s="616" t="s">
        <v>1820</v>
      </c>
      <c r="B186" s="616"/>
      <c r="C186" s="637" t="s">
        <v>1760</v>
      </c>
      <c r="D186" s="608" t="s">
        <v>1655</v>
      </c>
    </row>
    <row r="187" spans="1:4">
      <c r="A187" s="616" t="s">
        <v>1820</v>
      </c>
      <c r="B187" s="616"/>
      <c r="C187" s="637" t="s">
        <v>1760</v>
      </c>
      <c r="D187" s="608" t="s">
        <v>525</v>
      </c>
    </row>
    <row r="188" spans="1:4">
      <c r="A188" s="616" t="s">
        <v>1820</v>
      </c>
      <c r="B188" s="616"/>
      <c r="C188" s="637" t="s">
        <v>1760</v>
      </c>
      <c r="D188" s="608" t="s">
        <v>526</v>
      </c>
    </row>
    <row r="189" spans="1:4">
      <c r="A189" s="616" t="s">
        <v>1820</v>
      </c>
      <c r="B189" s="616"/>
      <c r="C189" s="637" t="s">
        <v>1760</v>
      </c>
      <c r="D189" s="620" t="s">
        <v>1480</v>
      </c>
    </row>
    <row r="190" spans="1:4">
      <c r="A190" s="616" t="s">
        <v>1820</v>
      </c>
      <c r="B190" s="616"/>
      <c r="C190" s="637" t="s">
        <v>1760</v>
      </c>
      <c r="D190" s="608" t="s">
        <v>527</v>
      </c>
    </row>
    <row r="191" spans="1:4">
      <c r="A191" s="616" t="s">
        <v>1820</v>
      </c>
      <c r="B191" s="616"/>
      <c r="C191" s="637" t="s">
        <v>1760</v>
      </c>
      <c r="D191" s="608" t="s">
        <v>1944</v>
      </c>
    </row>
    <row r="192" spans="1:4">
      <c r="A192" s="616" t="s">
        <v>1820</v>
      </c>
      <c r="B192" s="616"/>
      <c r="C192" s="637" t="s">
        <v>1760</v>
      </c>
      <c r="D192" s="608" t="s">
        <v>528</v>
      </c>
    </row>
    <row r="193" spans="1:4">
      <c r="A193" s="616" t="s">
        <v>1820</v>
      </c>
      <c r="B193" s="616"/>
      <c r="C193" s="637" t="s">
        <v>1760</v>
      </c>
      <c r="D193" s="608" t="s">
        <v>529</v>
      </c>
    </row>
    <row r="194" spans="1:4">
      <c r="A194" s="616" t="s">
        <v>1820</v>
      </c>
      <c r="B194" s="616"/>
      <c r="C194" s="637" t="s">
        <v>1760</v>
      </c>
      <c r="D194" s="599" t="s">
        <v>1644</v>
      </c>
    </row>
    <row r="195" spans="1:4">
      <c r="A195" s="616" t="s">
        <v>1820</v>
      </c>
      <c r="B195" s="616"/>
      <c r="C195" s="637" t="s">
        <v>1760</v>
      </c>
      <c r="D195" s="599" t="s">
        <v>1841</v>
      </c>
    </row>
    <row r="196" spans="1:4">
      <c r="A196" s="616" t="s">
        <v>1820</v>
      </c>
      <c r="B196" s="616"/>
      <c r="C196" s="637" t="s">
        <v>1760</v>
      </c>
      <c r="D196" s="599" t="s">
        <v>1842</v>
      </c>
    </row>
    <row r="197" spans="1:4">
      <c r="A197" s="616" t="s">
        <v>1820</v>
      </c>
      <c r="B197" s="616"/>
      <c r="C197" s="637" t="s">
        <v>1760</v>
      </c>
      <c r="D197" s="608" t="s">
        <v>351</v>
      </c>
    </row>
    <row r="198" spans="1:4">
      <c r="A198" s="616" t="s">
        <v>1820</v>
      </c>
      <c r="B198" s="616"/>
      <c r="C198" s="637" t="s">
        <v>1760</v>
      </c>
      <c r="D198" s="608" t="s">
        <v>298</v>
      </c>
    </row>
    <row r="199" spans="1:4">
      <c r="A199" s="616" t="s">
        <v>1820</v>
      </c>
      <c r="B199" s="616"/>
      <c r="C199" s="637" t="s">
        <v>1760</v>
      </c>
      <c r="D199" s="608" t="s">
        <v>354</v>
      </c>
    </row>
    <row r="200" spans="1:4">
      <c r="A200" s="616" t="s">
        <v>1820</v>
      </c>
      <c r="B200" s="616"/>
      <c r="C200" s="637" t="s">
        <v>1760</v>
      </c>
      <c r="D200" s="608" t="s">
        <v>299</v>
      </c>
    </row>
    <row r="201" spans="1:4">
      <c r="A201" s="616" t="s">
        <v>1820</v>
      </c>
      <c r="B201" s="616"/>
      <c r="C201" s="637" t="s">
        <v>1760</v>
      </c>
      <c r="D201" s="608" t="s">
        <v>305</v>
      </c>
    </row>
    <row r="202" spans="1:4">
      <c r="A202" s="616" t="s">
        <v>1820</v>
      </c>
      <c r="B202" s="616"/>
      <c r="C202" s="637" t="s">
        <v>1760</v>
      </c>
      <c r="D202" s="608" t="s">
        <v>356</v>
      </c>
    </row>
    <row r="203" spans="1:4">
      <c r="A203" s="616" t="s">
        <v>1820</v>
      </c>
      <c r="B203" s="616"/>
      <c r="C203" s="637" t="s">
        <v>1760</v>
      </c>
      <c r="D203" s="608" t="s">
        <v>357</v>
      </c>
    </row>
    <row r="204" spans="1:4">
      <c r="A204" s="616" t="s">
        <v>1820</v>
      </c>
      <c r="B204" s="616"/>
      <c r="C204" s="637" t="s">
        <v>1760</v>
      </c>
      <c r="D204" s="608" t="s">
        <v>358</v>
      </c>
    </row>
    <row r="205" spans="1:4">
      <c r="A205" s="609" t="s">
        <v>1858</v>
      </c>
      <c r="B205" s="609"/>
      <c r="C205" s="637" t="s">
        <v>1459</v>
      </c>
      <c r="D205" s="602" t="s">
        <v>42</v>
      </c>
    </row>
    <row r="206" spans="1:4">
      <c r="A206" s="609" t="s">
        <v>1858</v>
      </c>
      <c r="B206" s="609"/>
      <c r="C206" s="637" t="s">
        <v>1459</v>
      </c>
      <c r="D206" s="602" t="s">
        <v>1843</v>
      </c>
    </row>
    <row r="207" spans="1:4">
      <c r="A207" s="609" t="s">
        <v>1858</v>
      </c>
      <c r="B207" s="609"/>
      <c r="C207" s="637" t="s">
        <v>1459</v>
      </c>
      <c r="D207" s="602" t="s">
        <v>44</v>
      </c>
    </row>
    <row r="208" spans="1:4">
      <c r="A208" s="609" t="s">
        <v>1858</v>
      </c>
      <c r="B208" s="609"/>
      <c r="C208" s="637" t="s">
        <v>1459</v>
      </c>
      <c r="D208" s="602" t="s">
        <v>1844</v>
      </c>
    </row>
    <row r="209" spans="1:4">
      <c r="A209" s="609" t="s">
        <v>1858</v>
      </c>
      <c r="B209" s="609"/>
      <c r="C209" s="637" t="s">
        <v>1459</v>
      </c>
      <c r="D209" s="602" t="s">
        <v>1845</v>
      </c>
    </row>
    <row r="210" spans="1:4">
      <c r="A210" s="609" t="s">
        <v>1858</v>
      </c>
      <c r="B210" s="609"/>
      <c r="C210" s="637" t="s">
        <v>1750</v>
      </c>
      <c r="D210" s="599" t="s">
        <v>1846</v>
      </c>
    </row>
    <row r="211" spans="1:4">
      <c r="A211" s="609" t="s">
        <v>1858</v>
      </c>
      <c r="B211" s="609"/>
      <c r="C211" s="637" t="s">
        <v>1750</v>
      </c>
      <c r="D211" s="599" t="s">
        <v>1847</v>
      </c>
    </row>
    <row r="212" spans="1:4">
      <c r="A212" s="609" t="s">
        <v>1858</v>
      </c>
      <c r="B212" s="609"/>
      <c r="C212" s="637" t="s">
        <v>1750</v>
      </c>
      <c r="D212" s="599" t="s">
        <v>1848</v>
      </c>
    </row>
    <row r="213" spans="1:4">
      <c r="A213" s="609" t="s">
        <v>1858</v>
      </c>
      <c r="B213" s="609"/>
      <c r="C213" s="637" t="s">
        <v>1750</v>
      </c>
      <c r="D213" s="620" t="s">
        <v>1849</v>
      </c>
    </row>
    <row r="214" spans="1:4">
      <c r="A214" s="609" t="s">
        <v>1858</v>
      </c>
      <c r="B214" s="609"/>
      <c r="C214" s="637" t="s">
        <v>1750</v>
      </c>
      <c r="D214" s="620" t="s">
        <v>1850</v>
      </c>
    </row>
    <row r="215" spans="1:4">
      <c r="A215" s="609" t="s">
        <v>1858</v>
      </c>
      <c r="B215" s="609"/>
      <c r="C215" s="637" t="s">
        <v>1750</v>
      </c>
      <c r="D215" s="620" t="s">
        <v>1851</v>
      </c>
    </row>
    <row r="216" spans="1:4">
      <c r="A216" s="609" t="s">
        <v>1858</v>
      </c>
      <c r="B216" s="609"/>
      <c r="C216" s="637" t="s">
        <v>1750</v>
      </c>
      <c r="D216" s="620" t="s">
        <v>1852</v>
      </c>
    </row>
    <row r="217" spans="1:4">
      <c r="A217" s="609" t="s">
        <v>1858</v>
      </c>
      <c r="B217" s="609"/>
      <c r="C217" s="637" t="s">
        <v>1750</v>
      </c>
      <c r="D217" s="620" t="s">
        <v>1853</v>
      </c>
    </row>
    <row r="218" spans="1:4">
      <c r="A218" s="609" t="s">
        <v>1858</v>
      </c>
      <c r="B218" s="609"/>
      <c r="C218" s="637" t="s">
        <v>1750</v>
      </c>
      <c r="D218" s="599" t="s">
        <v>1854</v>
      </c>
    </row>
    <row r="219" spans="1:4">
      <c r="A219" s="609" t="s">
        <v>1858</v>
      </c>
      <c r="B219" s="609"/>
      <c r="C219" s="637" t="s">
        <v>1750</v>
      </c>
      <c r="D219" s="599" t="s">
        <v>1855</v>
      </c>
    </row>
    <row r="220" spans="1:4">
      <c r="A220" s="609" t="s">
        <v>1858</v>
      </c>
      <c r="B220" s="609"/>
      <c r="C220" s="637" t="s">
        <v>1760</v>
      </c>
      <c r="D220" s="610" t="s">
        <v>503</v>
      </c>
    </row>
    <row r="221" spans="1:4">
      <c r="A221" s="609" t="s">
        <v>1858</v>
      </c>
      <c r="B221" s="609"/>
      <c r="C221" s="637" t="s">
        <v>1760</v>
      </c>
      <c r="D221" s="601" t="s">
        <v>292</v>
      </c>
    </row>
    <row r="222" spans="1:4">
      <c r="A222" s="609" t="s">
        <v>1858</v>
      </c>
      <c r="B222" s="609"/>
      <c r="C222" s="637" t="s">
        <v>1760</v>
      </c>
      <c r="D222" s="601" t="s">
        <v>504</v>
      </c>
    </row>
    <row r="223" spans="1:4">
      <c r="A223" s="609" t="s">
        <v>1858</v>
      </c>
      <c r="B223" s="609"/>
      <c r="C223" s="637" t="s">
        <v>1760</v>
      </c>
      <c r="D223" s="601" t="s">
        <v>505</v>
      </c>
    </row>
    <row r="224" spans="1:4">
      <c r="A224" s="609" t="s">
        <v>1858</v>
      </c>
      <c r="B224" s="609"/>
      <c r="C224" s="637" t="s">
        <v>1760</v>
      </c>
      <c r="D224" s="601" t="s">
        <v>1942</v>
      </c>
    </row>
    <row r="225" spans="1:4">
      <c r="A225" s="609" t="s">
        <v>1858</v>
      </c>
      <c r="B225" s="609"/>
      <c r="C225" s="637" t="s">
        <v>1760</v>
      </c>
      <c r="D225" s="611" t="s">
        <v>1660</v>
      </c>
    </row>
    <row r="226" spans="1:4">
      <c r="A226" s="609" t="s">
        <v>1858</v>
      </c>
      <c r="B226" s="609"/>
      <c r="C226" s="637" t="s">
        <v>1760</v>
      </c>
      <c r="D226" s="611" t="s">
        <v>1661</v>
      </c>
    </row>
    <row r="227" spans="1:4">
      <c r="A227" s="609" t="s">
        <v>1858</v>
      </c>
      <c r="B227" s="609"/>
      <c r="C227" s="637" t="s">
        <v>1760</v>
      </c>
      <c r="D227" s="620" t="s">
        <v>1339</v>
      </c>
    </row>
    <row r="228" spans="1:4">
      <c r="A228" s="609" t="s">
        <v>1858</v>
      </c>
      <c r="B228" s="609"/>
      <c r="C228" s="637" t="s">
        <v>1760</v>
      </c>
      <c r="D228" s="617" t="s">
        <v>1678</v>
      </c>
    </row>
    <row r="229" spans="1:4">
      <c r="A229" s="609" t="s">
        <v>1858</v>
      </c>
      <c r="B229" s="609"/>
      <c r="C229" s="637" t="s">
        <v>1760</v>
      </c>
      <c r="D229" s="621" t="s">
        <v>1669</v>
      </c>
    </row>
    <row r="230" spans="1:4">
      <c r="A230" s="609" t="s">
        <v>1858</v>
      </c>
      <c r="B230" s="609"/>
      <c r="C230" s="637" t="s">
        <v>1760</v>
      </c>
      <c r="D230" s="621" t="s">
        <v>1670</v>
      </c>
    </row>
    <row r="231" spans="1:4">
      <c r="A231" s="609" t="s">
        <v>1858</v>
      </c>
      <c r="B231" s="609"/>
      <c r="C231" s="637" t="s">
        <v>1760</v>
      </c>
      <c r="D231" s="616" t="s">
        <v>1672</v>
      </c>
    </row>
    <row r="232" spans="1:4">
      <c r="A232" s="609" t="s">
        <v>1858</v>
      </c>
      <c r="B232" s="609"/>
      <c r="C232" s="637" t="s">
        <v>1760</v>
      </c>
      <c r="D232" s="601" t="s">
        <v>508</v>
      </c>
    </row>
    <row r="233" spans="1:4">
      <c r="A233" s="609" t="s">
        <v>1858</v>
      </c>
      <c r="B233" s="609"/>
      <c r="C233" s="637" t="s">
        <v>1760</v>
      </c>
      <c r="D233" s="608" t="s">
        <v>1428</v>
      </c>
    </row>
    <row r="234" spans="1:4">
      <c r="A234" s="609" t="s">
        <v>1858</v>
      </c>
      <c r="B234" s="609"/>
      <c r="C234" s="637" t="s">
        <v>1760</v>
      </c>
      <c r="D234" s="616" t="s">
        <v>1679</v>
      </c>
    </row>
    <row r="235" spans="1:4">
      <c r="A235" s="609" t="s">
        <v>1858</v>
      </c>
      <c r="B235" s="609"/>
      <c r="C235" s="637" t="s">
        <v>1760</v>
      </c>
      <c r="D235" s="616" t="s">
        <v>1681</v>
      </c>
    </row>
    <row r="236" spans="1:4">
      <c r="A236" s="609" t="s">
        <v>1858</v>
      </c>
      <c r="B236" s="609"/>
      <c r="C236" s="637" t="s">
        <v>1760</v>
      </c>
      <c r="D236" s="621" t="s">
        <v>1664</v>
      </c>
    </row>
    <row r="237" spans="1:4">
      <c r="A237" s="609" t="s">
        <v>1858</v>
      </c>
      <c r="B237" s="609"/>
      <c r="C237" s="637" t="s">
        <v>1760</v>
      </c>
      <c r="D237" s="621" t="s">
        <v>1666</v>
      </c>
    </row>
    <row r="238" spans="1:4">
      <c r="A238" s="609" t="s">
        <v>1858</v>
      </c>
      <c r="B238" s="609"/>
      <c r="C238" s="637" t="s">
        <v>1760</v>
      </c>
      <c r="D238" s="621" t="s">
        <v>1667</v>
      </c>
    </row>
    <row r="239" spans="1:4">
      <c r="A239" s="609" t="s">
        <v>1858</v>
      </c>
      <c r="B239" s="609"/>
      <c r="C239" s="637" t="s">
        <v>1760</v>
      </c>
      <c r="D239" s="611" t="s">
        <v>173</v>
      </c>
    </row>
    <row r="240" spans="1:4">
      <c r="A240" s="609" t="s">
        <v>1858</v>
      </c>
      <c r="B240" s="609"/>
      <c r="C240" s="637" t="s">
        <v>1760</v>
      </c>
      <c r="D240" s="611" t="s">
        <v>1662</v>
      </c>
    </row>
    <row r="241" spans="1:4">
      <c r="A241" s="609" t="s">
        <v>1858</v>
      </c>
      <c r="B241" s="609"/>
      <c r="C241" s="637" t="s">
        <v>1760</v>
      </c>
      <c r="D241" s="611" t="s">
        <v>1663</v>
      </c>
    </row>
    <row r="242" spans="1:4">
      <c r="A242" s="609" t="s">
        <v>1858</v>
      </c>
      <c r="B242" s="609"/>
      <c r="C242" s="637" t="s">
        <v>1760</v>
      </c>
      <c r="D242" s="616" t="s">
        <v>1856</v>
      </c>
    </row>
    <row r="243" spans="1:4">
      <c r="A243" s="609" t="s">
        <v>1858</v>
      </c>
      <c r="B243" s="609"/>
      <c r="C243" s="637" t="s">
        <v>1760</v>
      </c>
      <c r="D243" s="616" t="s">
        <v>1857</v>
      </c>
    </row>
    <row r="244" spans="1:4">
      <c r="A244" s="609" t="s">
        <v>1858</v>
      </c>
      <c r="B244" s="609"/>
      <c r="C244" s="637" t="s">
        <v>1760</v>
      </c>
      <c r="D244" s="616" t="s">
        <v>1655</v>
      </c>
    </row>
    <row r="245" spans="1:4">
      <c r="A245" s="604" t="s">
        <v>1859</v>
      </c>
      <c r="B245" s="604"/>
      <c r="C245" s="637" t="s">
        <v>1459</v>
      </c>
      <c r="D245" s="617" t="s">
        <v>1860</v>
      </c>
    </row>
    <row r="246" spans="1:4">
      <c r="A246" s="604" t="s">
        <v>1859</v>
      </c>
      <c r="B246" s="604"/>
      <c r="C246" s="637" t="s">
        <v>1459</v>
      </c>
      <c r="D246" s="617" t="s">
        <v>1861</v>
      </c>
    </row>
    <row r="247" spans="1:4">
      <c r="A247" s="604" t="s">
        <v>1859</v>
      </c>
      <c r="B247" s="604"/>
      <c r="C247" s="637" t="s">
        <v>1459</v>
      </c>
      <c r="D247" s="617" t="s">
        <v>928</v>
      </c>
    </row>
    <row r="248" spans="1:4">
      <c r="A248" s="604" t="s">
        <v>1859</v>
      </c>
      <c r="B248" s="604"/>
      <c r="C248" s="637" t="s">
        <v>1459</v>
      </c>
      <c r="D248" s="617" t="s">
        <v>929</v>
      </c>
    </row>
    <row r="249" spans="1:4">
      <c r="A249" s="604" t="s">
        <v>1859</v>
      </c>
      <c r="B249" s="604"/>
      <c r="C249" s="637" t="s">
        <v>1459</v>
      </c>
      <c r="D249" s="617" t="s">
        <v>1743</v>
      </c>
    </row>
    <row r="250" spans="1:4">
      <c r="A250" s="604" t="s">
        <v>1859</v>
      </c>
      <c r="B250" s="604"/>
      <c r="C250" s="637" t="s">
        <v>1459</v>
      </c>
      <c r="D250" s="617" t="s">
        <v>1199</v>
      </c>
    </row>
    <row r="251" spans="1:4">
      <c r="A251" s="604" t="s">
        <v>1859</v>
      </c>
      <c r="B251" s="604"/>
      <c r="C251" s="637" t="s">
        <v>1459</v>
      </c>
      <c r="D251" s="617" t="s">
        <v>933</v>
      </c>
    </row>
    <row r="252" spans="1:4">
      <c r="A252" s="604" t="s">
        <v>1859</v>
      </c>
      <c r="B252" s="604"/>
      <c r="C252" s="637" t="s">
        <v>1459</v>
      </c>
      <c r="D252" s="617" t="s">
        <v>1718</v>
      </c>
    </row>
    <row r="253" spans="1:4">
      <c r="A253" s="604" t="s">
        <v>1859</v>
      </c>
      <c r="B253" s="604"/>
      <c r="C253" s="637" t="s">
        <v>1459</v>
      </c>
      <c r="D253" s="617" t="s">
        <v>1717</v>
      </c>
    </row>
    <row r="254" spans="1:4">
      <c r="A254" s="604" t="s">
        <v>1859</v>
      </c>
      <c r="B254" s="604"/>
      <c r="C254" s="637" t="s">
        <v>1459</v>
      </c>
      <c r="D254" s="617" t="s">
        <v>274</v>
      </c>
    </row>
    <row r="255" spans="1:4">
      <c r="A255" s="604" t="s">
        <v>1859</v>
      </c>
      <c r="B255" s="604"/>
      <c r="C255" s="637" t="s">
        <v>1459</v>
      </c>
      <c r="D255" s="617" t="s">
        <v>1294</v>
      </c>
    </row>
    <row r="256" spans="1:4">
      <c r="A256" s="604" t="s">
        <v>1859</v>
      </c>
      <c r="B256" s="604"/>
      <c r="C256" s="637" t="s">
        <v>1750</v>
      </c>
      <c r="D256" s="617" t="s">
        <v>1862</v>
      </c>
    </row>
    <row r="257" spans="1:4">
      <c r="A257" s="604" t="s">
        <v>1859</v>
      </c>
      <c r="B257" s="604"/>
      <c r="C257" s="637" t="s">
        <v>1750</v>
      </c>
      <c r="D257" s="617" t="s">
        <v>1863</v>
      </c>
    </row>
    <row r="258" spans="1:4">
      <c r="A258" s="604" t="s">
        <v>1859</v>
      </c>
      <c r="B258" s="604"/>
      <c r="C258" s="637" t="s">
        <v>1750</v>
      </c>
      <c r="D258" s="617" t="s">
        <v>1864</v>
      </c>
    </row>
    <row r="259" spans="1:4">
      <c r="A259" s="604" t="s">
        <v>1859</v>
      </c>
      <c r="B259" s="604"/>
      <c r="C259" s="637" t="s">
        <v>1750</v>
      </c>
      <c r="D259" s="617" t="s">
        <v>1865</v>
      </c>
    </row>
    <row r="260" spans="1:4">
      <c r="A260" s="604" t="s">
        <v>1859</v>
      </c>
      <c r="B260" s="604"/>
      <c r="C260" s="637" t="s">
        <v>1750</v>
      </c>
      <c r="D260" s="617" t="s">
        <v>1770</v>
      </c>
    </row>
    <row r="261" spans="1:4">
      <c r="A261" s="604" t="s">
        <v>1859</v>
      </c>
      <c r="B261" s="604"/>
      <c r="C261" s="637" t="s">
        <v>1750</v>
      </c>
      <c r="D261" s="617" t="s">
        <v>1790</v>
      </c>
    </row>
    <row r="262" spans="1:4">
      <c r="A262" s="604" t="s">
        <v>1859</v>
      </c>
      <c r="B262" s="604"/>
      <c r="C262" s="637" t="s">
        <v>1750</v>
      </c>
      <c r="D262" s="617" t="s">
        <v>1866</v>
      </c>
    </row>
    <row r="263" spans="1:4">
      <c r="A263" s="604" t="s">
        <v>1859</v>
      </c>
      <c r="B263" s="604"/>
      <c r="C263" s="637" t="s">
        <v>1750</v>
      </c>
      <c r="D263" s="617" t="s">
        <v>1867</v>
      </c>
    </row>
    <row r="264" spans="1:4">
      <c r="A264" s="604" t="s">
        <v>1859</v>
      </c>
      <c r="B264" s="604"/>
      <c r="C264" s="637" t="s">
        <v>1750</v>
      </c>
      <c r="D264" s="617" t="s">
        <v>1768</v>
      </c>
    </row>
    <row r="265" spans="1:4">
      <c r="A265" s="604" t="s">
        <v>1859</v>
      </c>
      <c r="B265" s="604"/>
      <c r="C265" s="637" t="s">
        <v>1750</v>
      </c>
      <c r="D265" s="617" t="s">
        <v>1868</v>
      </c>
    </row>
    <row r="266" spans="1:4">
      <c r="A266" s="604" t="s">
        <v>1859</v>
      </c>
      <c r="B266" s="604"/>
      <c r="C266" s="637" t="s">
        <v>1750</v>
      </c>
      <c r="D266" s="617" t="s">
        <v>1869</v>
      </c>
    </row>
    <row r="267" spans="1:4" ht="30">
      <c r="A267" s="604" t="s">
        <v>1859</v>
      </c>
      <c r="B267" s="604"/>
      <c r="C267" s="637" t="s">
        <v>1750</v>
      </c>
      <c r="D267" s="612" t="s">
        <v>1870</v>
      </c>
    </row>
    <row r="268" spans="1:4">
      <c r="A268" s="604" t="s">
        <v>1859</v>
      </c>
      <c r="B268" s="604"/>
      <c r="C268" s="637" t="s">
        <v>1760</v>
      </c>
      <c r="D268" s="605" t="s">
        <v>520</v>
      </c>
    </row>
    <row r="269" spans="1:4">
      <c r="A269" s="604" t="s">
        <v>1859</v>
      </c>
      <c r="B269" s="604"/>
      <c r="C269" s="637" t="s">
        <v>1760</v>
      </c>
      <c r="D269" s="605" t="s">
        <v>296</v>
      </c>
    </row>
    <row r="270" spans="1:4">
      <c r="A270" s="604" t="s">
        <v>1859</v>
      </c>
      <c r="B270" s="604"/>
      <c r="C270" s="637" t="s">
        <v>1760</v>
      </c>
      <c r="D270" s="605" t="s">
        <v>297</v>
      </c>
    </row>
    <row r="271" spans="1:4" ht="17.25">
      <c r="A271" s="604" t="s">
        <v>1859</v>
      </c>
      <c r="B271" s="604"/>
      <c r="C271" s="637" t="s">
        <v>1760</v>
      </c>
      <c r="D271" s="605" t="s">
        <v>1871</v>
      </c>
    </row>
    <row r="272" spans="1:4" ht="17.25">
      <c r="A272" s="604" t="s">
        <v>1859</v>
      </c>
      <c r="B272" s="604"/>
      <c r="C272" s="637" t="s">
        <v>1760</v>
      </c>
      <c r="D272" s="605" t="s">
        <v>1872</v>
      </c>
    </row>
    <row r="273" spans="1:4" ht="17.25">
      <c r="A273" s="604" t="s">
        <v>1859</v>
      </c>
      <c r="B273" s="604"/>
      <c r="C273" s="637" t="s">
        <v>1760</v>
      </c>
      <c r="D273" s="605" t="s">
        <v>1873</v>
      </c>
    </row>
    <row r="274" spans="1:4" ht="17.25">
      <c r="A274" s="604" t="s">
        <v>1859</v>
      </c>
      <c r="B274" s="604"/>
      <c r="C274" s="637" t="s">
        <v>1760</v>
      </c>
      <c r="D274" s="605" t="s">
        <v>1874</v>
      </c>
    </row>
    <row r="275" spans="1:4" ht="17.25">
      <c r="A275" s="604" t="s">
        <v>1859</v>
      </c>
      <c r="B275" s="604"/>
      <c r="C275" s="637" t="s">
        <v>1760</v>
      </c>
      <c r="D275" s="605" t="s">
        <v>1875</v>
      </c>
    </row>
    <row r="276" spans="1:4" ht="17.25">
      <c r="A276" s="604" t="s">
        <v>1859</v>
      </c>
      <c r="B276" s="604"/>
      <c r="C276" s="637" t="s">
        <v>1760</v>
      </c>
      <c r="D276" s="613" t="s">
        <v>1876</v>
      </c>
    </row>
    <row r="277" spans="1:4" ht="17.25">
      <c r="A277" s="604" t="s">
        <v>1859</v>
      </c>
      <c r="B277" s="604"/>
      <c r="C277" s="637" t="s">
        <v>1760</v>
      </c>
      <c r="D277" s="613" t="s">
        <v>1877</v>
      </c>
    </row>
    <row r="278" spans="1:4">
      <c r="A278" s="604" t="s">
        <v>1859</v>
      </c>
      <c r="B278" s="604"/>
      <c r="C278" s="637" t="s">
        <v>1760</v>
      </c>
      <c r="D278" s="605" t="s">
        <v>8</v>
      </c>
    </row>
    <row r="279" spans="1:4">
      <c r="A279" s="604" t="s">
        <v>1859</v>
      </c>
      <c r="B279" s="604"/>
      <c r="C279" s="637" t="s">
        <v>1760</v>
      </c>
      <c r="D279" s="618" t="s">
        <v>1669</v>
      </c>
    </row>
    <row r="280" spans="1:4">
      <c r="A280" s="604" t="s">
        <v>1859</v>
      </c>
      <c r="B280" s="604"/>
      <c r="C280" s="637" t="s">
        <v>1760</v>
      </c>
      <c r="D280" s="618" t="s">
        <v>1670</v>
      </c>
    </row>
    <row r="281" spans="1:4">
      <c r="A281" s="604" t="s">
        <v>1859</v>
      </c>
      <c r="B281" s="604"/>
      <c r="C281" s="637" t="s">
        <v>1760</v>
      </c>
      <c r="D281" s="617" t="s">
        <v>2151</v>
      </c>
    </row>
    <row r="282" spans="1:4">
      <c r="A282" s="604" t="s">
        <v>1859</v>
      </c>
      <c r="B282" s="604"/>
      <c r="C282" s="637" t="s">
        <v>1760</v>
      </c>
      <c r="D282" s="617" t="s">
        <v>2152</v>
      </c>
    </row>
    <row r="283" spans="1:4">
      <c r="A283" s="604" t="s">
        <v>1859</v>
      </c>
      <c r="B283" s="604"/>
      <c r="C283" s="637" t="s">
        <v>1760</v>
      </c>
      <c r="D283" s="617" t="s">
        <v>1703</v>
      </c>
    </row>
    <row r="284" spans="1:4">
      <c r="A284" s="604" t="s">
        <v>1934</v>
      </c>
      <c r="B284" s="604"/>
      <c r="C284" s="637" t="s">
        <v>1459</v>
      </c>
      <c r="D284" s="366" t="s">
        <v>1878</v>
      </c>
    </row>
    <row r="285" spans="1:4">
      <c r="A285" s="604" t="s">
        <v>1934</v>
      </c>
      <c r="B285" s="604"/>
      <c r="C285" s="637" t="s">
        <v>1459</v>
      </c>
      <c r="D285" s="366" t="s">
        <v>922</v>
      </c>
    </row>
    <row r="286" spans="1:4">
      <c r="A286" s="604" t="s">
        <v>1934</v>
      </c>
      <c r="B286" s="604"/>
      <c r="C286" s="637" t="s">
        <v>1459</v>
      </c>
      <c r="D286" s="366" t="s">
        <v>1294</v>
      </c>
    </row>
    <row r="287" spans="1:4">
      <c r="A287" s="604" t="s">
        <v>1934</v>
      </c>
      <c r="B287" s="604"/>
      <c r="C287" s="637" t="s">
        <v>1459</v>
      </c>
      <c r="D287" s="366" t="s">
        <v>923</v>
      </c>
    </row>
    <row r="288" spans="1:4">
      <c r="A288" s="604" t="s">
        <v>1934</v>
      </c>
      <c r="B288" s="604"/>
      <c r="C288" s="637" t="s">
        <v>1459</v>
      </c>
      <c r="D288" s="366" t="s">
        <v>1879</v>
      </c>
    </row>
    <row r="289" spans="1:4">
      <c r="A289" s="604" t="s">
        <v>1934</v>
      </c>
      <c r="B289" s="604"/>
      <c r="C289" s="637" t="s">
        <v>1459</v>
      </c>
      <c r="D289" s="366" t="s">
        <v>1935</v>
      </c>
    </row>
    <row r="290" spans="1:4">
      <c r="A290" s="604" t="s">
        <v>1934</v>
      </c>
      <c r="B290" s="604"/>
      <c r="C290" s="637" t="s">
        <v>1750</v>
      </c>
      <c r="D290" s="366" t="s">
        <v>1880</v>
      </c>
    </row>
    <row r="291" spans="1:4">
      <c r="A291" s="604" t="s">
        <v>1934</v>
      </c>
      <c r="B291" s="604"/>
      <c r="C291" s="637" t="s">
        <v>1750</v>
      </c>
      <c r="D291" s="599" t="s">
        <v>1881</v>
      </c>
    </row>
    <row r="292" spans="1:4">
      <c r="A292" s="604" t="s">
        <v>1934</v>
      </c>
      <c r="B292" s="604"/>
      <c r="C292" s="637" t="s">
        <v>1750</v>
      </c>
      <c r="D292" s="599" t="s">
        <v>1882</v>
      </c>
    </row>
    <row r="293" spans="1:4">
      <c r="A293" s="604" t="s">
        <v>1934</v>
      </c>
      <c r="B293" s="604"/>
      <c r="C293" s="637" t="s">
        <v>1750</v>
      </c>
      <c r="D293" s="606" t="s">
        <v>1883</v>
      </c>
    </row>
    <row r="294" spans="1:4">
      <c r="A294" s="604" t="s">
        <v>1934</v>
      </c>
      <c r="B294" s="604"/>
      <c r="C294" s="637" t="s">
        <v>1750</v>
      </c>
      <c r="D294" s="606" t="s">
        <v>1936</v>
      </c>
    </row>
    <row r="295" spans="1:4">
      <c r="A295" s="604" t="s">
        <v>1934</v>
      </c>
      <c r="B295" s="604"/>
      <c r="C295" s="637" t="s">
        <v>1750</v>
      </c>
      <c r="D295" s="366" t="s">
        <v>1884</v>
      </c>
    </row>
    <row r="296" spans="1:4">
      <c r="A296" s="604" t="s">
        <v>1934</v>
      </c>
      <c r="B296" s="604"/>
      <c r="C296" s="637" t="s">
        <v>1750</v>
      </c>
      <c r="D296" s="599" t="s">
        <v>1885</v>
      </c>
    </row>
    <row r="297" spans="1:4">
      <c r="A297" s="604" t="s">
        <v>1934</v>
      </c>
      <c r="B297" s="604"/>
      <c r="C297" s="637" t="s">
        <v>1750</v>
      </c>
      <c r="D297" s="599" t="s">
        <v>1886</v>
      </c>
    </row>
    <row r="298" spans="1:4">
      <c r="A298" s="604" t="s">
        <v>1934</v>
      </c>
      <c r="B298" s="604"/>
      <c r="C298" s="637" t="s">
        <v>1750</v>
      </c>
      <c r="D298" s="366" t="s">
        <v>1887</v>
      </c>
    </row>
    <row r="299" spans="1:4">
      <c r="A299" s="604" t="s">
        <v>1934</v>
      </c>
      <c r="B299" s="604"/>
      <c r="C299" s="637" t="s">
        <v>1750</v>
      </c>
      <c r="D299" s="366" t="s">
        <v>1888</v>
      </c>
    </row>
    <row r="300" spans="1:4">
      <c r="A300" s="604" t="s">
        <v>1934</v>
      </c>
      <c r="B300" s="604"/>
      <c r="C300" s="637" t="s">
        <v>1750</v>
      </c>
      <c r="D300" s="366" t="s">
        <v>1889</v>
      </c>
    </row>
    <row r="301" spans="1:4">
      <c r="A301" s="604" t="s">
        <v>1934</v>
      </c>
      <c r="B301" s="604"/>
      <c r="C301" s="637" t="s">
        <v>1750</v>
      </c>
      <c r="D301" s="366" t="s">
        <v>1890</v>
      </c>
    </row>
    <row r="302" spans="1:4">
      <c r="A302" s="604" t="s">
        <v>1934</v>
      </c>
      <c r="B302" s="604"/>
      <c r="C302" s="637" t="s">
        <v>1750</v>
      </c>
      <c r="D302" s="366" t="s">
        <v>1891</v>
      </c>
    </row>
    <row r="303" spans="1:4">
      <c r="A303" s="604" t="s">
        <v>1934</v>
      </c>
      <c r="B303" s="604"/>
      <c r="C303" s="637" t="s">
        <v>1750</v>
      </c>
      <c r="D303" s="366" t="s">
        <v>1791</v>
      </c>
    </row>
    <row r="304" spans="1:4">
      <c r="A304" s="604" t="s">
        <v>1934</v>
      </c>
      <c r="B304" s="604"/>
      <c r="C304" s="637" t="s">
        <v>1750</v>
      </c>
      <c r="D304" s="366" t="s">
        <v>1770</v>
      </c>
    </row>
    <row r="305" spans="1:4">
      <c r="A305" s="604" t="s">
        <v>1934</v>
      </c>
      <c r="B305" s="604"/>
      <c r="C305" s="637" t="s">
        <v>1750</v>
      </c>
      <c r="D305" s="366" t="s">
        <v>1853</v>
      </c>
    </row>
    <row r="306" spans="1:4">
      <c r="A306" s="604" t="s">
        <v>1934</v>
      </c>
      <c r="B306" s="604"/>
      <c r="C306" s="637" t="s">
        <v>1750</v>
      </c>
      <c r="D306" s="366" t="s">
        <v>1892</v>
      </c>
    </row>
    <row r="307" spans="1:4">
      <c r="A307" s="604" t="s">
        <v>1934</v>
      </c>
      <c r="B307" s="604"/>
      <c r="C307" s="637" t="s">
        <v>1760</v>
      </c>
      <c r="D307" s="366" t="s">
        <v>0</v>
      </c>
    </row>
    <row r="308" spans="1:4">
      <c r="A308" s="604" t="s">
        <v>1934</v>
      </c>
      <c r="B308" s="604"/>
      <c r="C308" s="637" t="s">
        <v>1760</v>
      </c>
      <c r="D308" s="366" t="s">
        <v>1893</v>
      </c>
    </row>
    <row r="309" spans="1:4">
      <c r="A309" s="604" t="s">
        <v>1934</v>
      </c>
      <c r="B309" s="604"/>
      <c r="C309" s="637" t="s">
        <v>1760</v>
      </c>
      <c r="D309" s="366" t="s">
        <v>1894</v>
      </c>
    </row>
    <row r="310" spans="1:4">
      <c r="A310" s="604" t="s">
        <v>1934</v>
      </c>
      <c r="B310" s="604"/>
      <c r="C310" s="637" t="s">
        <v>1760</v>
      </c>
      <c r="D310" s="366" t="s">
        <v>1895</v>
      </c>
    </row>
    <row r="311" spans="1:4">
      <c r="A311" s="604" t="s">
        <v>1934</v>
      </c>
      <c r="B311" s="604"/>
      <c r="C311" s="637" t="s">
        <v>1760</v>
      </c>
      <c r="D311" s="366" t="s">
        <v>1668</v>
      </c>
    </row>
    <row r="312" spans="1:4">
      <c r="A312" s="604" t="s">
        <v>1934</v>
      </c>
      <c r="B312" s="604"/>
      <c r="C312" s="637" t="s">
        <v>1760</v>
      </c>
      <c r="D312" s="366" t="s">
        <v>1896</v>
      </c>
    </row>
    <row r="313" spans="1:4">
      <c r="A313" s="604" t="s">
        <v>1934</v>
      </c>
      <c r="B313" s="604"/>
      <c r="C313" s="637" t="s">
        <v>1760</v>
      </c>
      <c r="D313" s="622" t="s">
        <v>1721</v>
      </c>
    </row>
    <row r="314" spans="1:4">
      <c r="A314" s="604" t="s">
        <v>1934</v>
      </c>
      <c r="B314" s="604"/>
      <c r="C314" s="637" t="s">
        <v>1760</v>
      </c>
      <c r="D314" s="622" t="s">
        <v>1722</v>
      </c>
    </row>
    <row r="315" spans="1:4">
      <c r="A315" s="604" t="s">
        <v>1934</v>
      </c>
      <c r="B315" s="604"/>
      <c r="C315" s="637" t="s">
        <v>1760</v>
      </c>
      <c r="D315" s="622" t="s">
        <v>1723</v>
      </c>
    </row>
    <row r="316" spans="1:4">
      <c r="A316" s="604" t="s">
        <v>1934</v>
      </c>
      <c r="B316" s="604"/>
      <c r="C316" s="637" t="s">
        <v>1760</v>
      </c>
      <c r="D316" s="366" t="s">
        <v>1897</v>
      </c>
    </row>
    <row r="317" spans="1:4">
      <c r="A317" s="604" t="s">
        <v>1934</v>
      </c>
      <c r="B317" s="604"/>
      <c r="C317" s="637" t="s">
        <v>1760</v>
      </c>
      <c r="D317" s="366" t="s">
        <v>1898</v>
      </c>
    </row>
    <row r="318" spans="1:4">
      <c r="A318" s="604" t="s">
        <v>966</v>
      </c>
      <c r="B318" s="616" t="s">
        <v>1820</v>
      </c>
      <c r="C318" s="637" t="s">
        <v>1459</v>
      </c>
      <c r="D318" s="366" t="s">
        <v>54</v>
      </c>
    </row>
    <row r="319" spans="1:4">
      <c r="A319" s="604" t="s">
        <v>966</v>
      </c>
      <c r="B319" s="616" t="s">
        <v>1820</v>
      </c>
      <c r="C319" s="637" t="s">
        <v>1459</v>
      </c>
      <c r="D319" s="366" t="s">
        <v>1899</v>
      </c>
    </row>
    <row r="320" spans="1:4">
      <c r="A320" s="604" t="s">
        <v>966</v>
      </c>
      <c r="B320" s="616" t="s">
        <v>1820</v>
      </c>
      <c r="C320" s="637" t="s">
        <v>1459</v>
      </c>
      <c r="D320" s="366" t="s">
        <v>1900</v>
      </c>
    </row>
    <row r="321" spans="1:4">
      <c r="A321" s="604" t="s">
        <v>966</v>
      </c>
      <c r="B321" s="616" t="s">
        <v>1820</v>
      </c>
      <c r="C321" s="637" t="s">
        <v>1459</v>
      </c>
      <c r="D321" s="366" t="s">
        <v>1901</v>
      </c>
    </row>
    <row r="322" spans="1:4">
      <c r="A322" s="604" t="s">
        <v>966</v>
      </c>
      <c r="B322" s="616" t="s">
        <v>1820</v>
      </c>
      <c r="C322" s="637" t="s">
        <v>1459</v>
      </c>
      <c r="D322" s="366" t="s">
        <v>1902</v>
      </c>
    </row>
    <row r="323" spans="1:4">
      <c r="A323" s="604" t="s">
        <v>966</v>
      </c>
      <c r="B323" s="366" t="s">
        <v>1767</v>
      </c>
      <c r="C323" s="637" t="s">
        <v>1459</v>
      </c>
      <c r="D323" s="366" t="s">
        <v>49</v>
      </c>
    </row>
    <row r="324" spans="1:4">
      <c r="A324" s="604" t="s">
        <v>966</v>
      </c>
      <c r="B324" s="617" t="s">
        <v>1800</v>
      </c>
      <c r="C324" s="637" t="s">
        <v>1459</v>
      </c>
      <c r="D324" s="366" t="s">
        <v>1903</v>
      </c>
    </row>
    <row r="325" spans="1:4">
      <c r="A325" s="604" t="s">
        <v>966</v>
      </c>
      <c r="B325" s="617" t="s">
        <v>1800</v>
      </c>
      <c r="C325" s="637" t="s">
        <v>1459</v>
      </c>
      <c r="D325" s="366" t="s">
        <v>1803</v>
      </c>
    </row>
    <row r="326" spans="1:4">
      <c r="A326" s="604" t="s">
        <v>966</v>
      </c>
      <c r="B326" s="617" t="s">
        <v>1800</v>
      </c>
      <c r="C326" s="637" t="s">
        <v>1459</v>
      </c>
      <c r="D326" s="366" t="s">
        <v>904</v>
      </c>
    </row>
    <row r="327" spans="1:4">
      <c r="A327" s="604" t="s">
        <v>966</v>
      </c>
      <c r="B327" s="617" t="s">
        <v>1800</v>
      </c>
      <c r="C327" s="637" t="s">
        <v>1459</v>
      </c>
      <c r="D327" s="366" t="s">
        <v>1714</v>
      </c>
    </row>
    <row r="328" spans="1:4">
      <c r="A328" s="604" t="s">
        <v>966</v>
      </c>
      <c r="B328" s="604" t="s">
        <v>1934</v>
      </c>
      <c r="C328" s="637" t="s">
        <v>1459</v>
      </c>
      <c r="D328" s="366" t="s">
        <v>902</v>
      </c>
    </row>
    <row r="329" spans="1:4">
      <c r="A329" s="604" t="s">
        <v>966</v>
      </c>
      <c r="B329" s="616" t="s">
        <v>1820</v>
      </c>
      <c r="C329" s="637" t="s">
        <v>1459</v>
      </c>
      <c r="D329" s="366" t="s">
        <v>898</v>
      </c>
    </row>
    <row r="330" spans="1:4">
      <c r="A330" s="604" t="s">
        <v>966</v>
      </c>
      <c r="B330" s="609" t="s">
        <v>1858</v>
      </c>
      <c r="C330" s="637" t="s">
        <v>1750</v>
      </c>
      <c r="D330" s="366" t="s">
        <v>1904</v>
      </c>
    </row>
    <row r="331" spans="1:4">
      <c r="A331" s="604" t="s">
        <v>966</v>
      </c>
      <c r="B331" s="609" t="s">
        <v>1858</v>
      </c>
      <c r="C331" s="637" t="s">
        <v>1750</v>
      </c>
      <c r="D331" s="599" t="s">
        <v>1881</v>
      </c>
    </row>
    <row r="332" spans="1:4">
      <c r="A332" s="604" t="s">
        <v>966</v>
      </c>
      <c r="B332" s="604"/>
      <c r="C332" s="637" t="s">
        <v>1750</v>
      </c>
      <c r="D332" s="599" t="s">
        <v>1882</v>
      </c>
    </row>
    <row r="333" spans="1:4">
      <c r="A333" s="604" t="s">
        <v>966</v>
      </c>
      <c r="B333" s="366" t="s">
        <v>1767</v>
      </c>
      <c r="C333" s="637" t="s">
        <v>1750</v>
      </c>
      <c r="D333" s="366" t="s">
        <v>1770</v>
      </c>
    </row>
    <row r="334" spans="1:4">
      <c r="A334" s="604" t="s">
        <v>966</v>
      </c>
      <c r="B334" s="366" t="s">
        <v>1767</v>
      </c>
      <c r="C334" s="637" t="s">
        <v>1750</v>
      </c>
      <c r="D334" s="626" t="s">
        <v>1932</v>
      </c>
    </row>
    <row r="335" spans="1:4">
      <c r="A335" s="604" t="s">
        <v>966</v>
      </c>
      <c r="B335" s="617" t="s">
        <v>1800</v>
      </c>
      <c r="C335" s="637" t="s">
        <v>1750</v>
      </c>
      <c r="D335" s="366" t="s">
        <v>1905</v>
      </c>
    </row>
    <row r="336" spans="1:4">
      <c r="A336" s="604" t="s">
        <v>966</v>
      </c>
      <c r="B336" s="609" t="s">
        <v>1858</v>
      </c>
      <c r="C336" s="637" t="s">
        <v>1750</v>
      </c>
      <c r="D336" s="366" t="s">
        <v>1906</v>
      </c>
    </row>
    <row r="337" spans="1:4">
      <c r="A337" s="604" t="s">
        <v>966</v>
      </c>
      <c r="B337" s="609" t="s">
        <v>1858</v>
      </c>
      <c r="C337" s="637" t="s">
        <v>1750</v>
      </c>
      <c r="D337" s="366" t="s">
        <v>1853</v>
      </c>
    </row>
    <row r="338" spans="1:4">
      <c r="A338" s="604" t="s">
        <v>966</v>
      </c>
      <c r="B338" s="366"/>
      <c r="C338" s="637" t="s">
        <v>1750</v>
      </c>
      <c r="D338" s="366" t="s">
        <v>1866</v>
      </c>
    </row>
    <row r="339" spans="1:4">
      <c r="A339" s="604" t="s">
        <v>966</v>
      </c>
      <c r="B339" s="604"/>
      <c r="C339" s="637" t="s">
        <v>1750</v>
      </c>
      <c r="D339" s="366" t="s">
        <v>1907</v>
      </c>
    </row>
    <row r="340" spans="1:4">
      <c r="A340" s="604" t="s">
        <v>966</v>
      </c>
      <c r="B340" s="616" t="s">
        <v>1820</v>
      </c>
      <c r="C340" s="637" t="s">
        <v>1750</v>
      </c>
      <c r="D340" s="366" t="s">
        <v>1908</v>
      </c>
    </row>
    <row r="341" spans="1:4">
      <c r="A341" s="604" t="s">
        <v>966</v>
      </c>
      <c r="B341" s="604"/>
      <c r="C341" s="637" t="s">
        <v>1750</v>
      </c>
      <c r="D341" s="366" t="s">
        <v>1909</v>
      </c>
    </row>
    <row r="342" spans="1:4">
      <c r="A342" s="604" t="s">
        <v>966</v>
      </c>
      <c r="B342" s="604"/>
      <c r="C342" s="637" t="s">
        <v>1750</v>
      </c>
      <c r="D342" s="366" t="s">
        <v>1910</v>
      </c>
    </row>
    <row r="343" spans="1:4">
      <c r="A343" s="604" t="s">
        <v>966</v>
      </c>
      <c r="B343" s="617" t="s">
        <v>1800</v>
      </c>
      <c r="C343" s="637" t="s">
        <v>1750</v>
      </c>
      <c r="D343" s="366" t="s">
        <v>1911</v>
      </c>
    </row>
    <row r="344" spans="1:4">
      <c r="A344" s="604" t="s">
        <v>966</v>
      </c>
      <c r="B344" s="617" t="s">
        <v>1800</v>
      </c>
      <c r="C344" s="637" t="s">
        <v>1750</v>
      </c>
      <c r="D344" s="366" t="s">
        <v>1912</v>
      </c>
    </row>
    <row r="345" spans="1:4">
      <c r="A345" s="604" t="s">
        <v>966</v>
      </c>
      <c r="B345" s="617" t="s">
        <v>1800</v>
      </c>
      <c r="C345" s="637" t="s">
        <v>1750</v>
      </c>
      <c r="D345" s="366" t="s">
        <v>1913</v>
      </c>
    </row>
    <row r="346" spans="1:4">
      <c r="A346" s="604" t="s">
        <v>966</v>
      </c>
      <c r="B346" s="617" t="s">
        <v>1800</v>
      </c>
      <c r="C346" s="637" t="s">
        <v>1750</v>
      </c>
      <c r="D346" s="366" t="s">
        <v>1595</v>
      </c>
    </row>
    <row r="347" spans="1:4">
      <c r="A347" s="604" t="s">
        <v>966</v>
      </c>
      <c r="B347" s="366" t="s">
        <v>1767</v>
      </c>
      <c r="C347" s="637" t="s">
        <v>1750</v>
      </c>
      <c r="D347" s="366" t="s">
        <v>1914</v>
      </c>
    </row>
    <row r="348" spans="1:4">
      <c r="A348" s="604" t="s">
        <v>966</v>
      </c>
      <c r="B348" s="617" t="s">
        <v>1800</v>
      </c>
      <c r="C348" s="637" t="s">
        <v>1750</v>
      </c>
      <c r="D348" s="366" t="s">
        <v>1915</v>
      </c>
    </row>
    <row r="349" spans="1:4">
      <c r="A349" s="604" t="s">
        <v>966</v>
      </c>
      <c r="B349" s="617" t="s">
        <v>1800</v>
      </c>
      <c r="C349" s="637" t="s">
        <v>1750</v>
      </c>
      <c r="D349" s="366" t="s">
        <v>1807</v>
      </c>
    </row>
    <row r="350" spans="1:4">
      <c r="A350" s="604" t="s">
        <v>966</v>
      </c>
      <c r="B350" s="604" t="s">
        <v>1934</v>
      </c>
      <c r="C350" s="637" t="s">
        <v>1750</v>
      </c>
      <c r="D350" s="366" t="s">
        <v>1916</v>
      </c>
    </row>
    <row r="351" spans="1:4">
      <c r="A351" s="604" t="s">
        <v>966</v>
      </c>
      <c r="B351" s="616" t="s">
        <v>1820</v>
      </c>
      <c r="C351" s="637" t="s">
        <v>1750</v>
      </c>
      <c r="D351" s="366" t="s">
        <v>1917</v>
      </c>
    </row>
    <row r="352" spans="1:4">
      <c r="A352" s="604" t="s">
        <v>966</v>
      </c>
      <c r="B352" s="616" t="s">
        <v>1820</v>
      </c>
      <c r="C352" s="637" t="s">
        <v>1750</v>
      </c>
      <c r="D352" s="366" t="s">
        <v>1918</v>
      </c>
    </row>
    <row r="353" spans="1:4">
      <c r="A353" s="604" t="s">
        <v>966</v>
      </c>
      <c r="B353" s="617" t="s">
        <v>1800</v>
      </c>
      <c r="C353" s="637" t="s">
        <v>1750</v>
      </c>
      <c r="D353" s="366" t="s">
        <v>1919</v>
      </c>
    </row>
    <row r="354" spans="1:4">
      <c r="A354" s="604" t="s">
        <v>966</v>
      </c>
      <c r="B354" s="616" t="s">
        <v>1820</v>
      </c>
      <c r="C354" s="637" t="s">
        <v>1750</v>
      </c>
      <c r="D354" s="366" t="s">
        <v>1920</v>
      </c>
    </row>
    <row r="355" spans="1:4">
      <c r="A355" s="604" t="s">
        <v>966</v>
      </c>
      <c r="B355" s="366" t="s">
        <v>1767</v>
      </c>
      <c r="C355" s="637" t="s">
        <v>1750</v>
      </c>
      <c r="D355" s="366" t="s">
        <v>1921</v>
      </c>
    </row>
    <row r="356" spans="1:4">
      <c r="A356" s="604" t="s">
        <v>966</v>
      </c>
      <c r="B356" s="616" t="s">
        <v>1820</v>
      </c>
      <c r="C356" s="637" t="s">
        <v>1750</v>
      </c>
      <c r="D356" s="366" t="s">
        <v>1922</v>
      </c>
    </row>
    <row r="357" spans="1:4">
      <c r="A357" s="604" t="s">
        <v>966</v>
      </c>
      <c r="B357" s="616" t="s">
        <v>1820</v>
      </c>
      <c r="C357" s="637" t="s">
        <v>1750</v>
      </c>
      <c r="D357" s="366" t="s">
        <v>1940</v>
      </c>
    </row>
    <row r="358" spans="1:4">
      <c r="A358" s="604" t="s">
        <v>966</v>
      </c>
      <c r="B358" s="616" t="s">
        <v>1820</v>
      </c>
      <c r="C358" s="637" t="s">
        <v>1750</v>
      </c>
      <c r="D358" s="607" t="s">
        <v>1930</v>
      </c>
    </row>
    <row r="359" spans="1:4">
      <c r="A359" s="604" t="s">
        <v>966</v>
      </c>
      <c r="B359" s="616" t="s">
        <v>1820</v>
      </c>
      <c r="C359" s="637" t="s">
        <v>1760</v>
      </c>
      <c r="D359" s="366" t="s">
        <v>1923</v>
      </c>
    </row>
    <row r="360" spans="1:4">
      <c r="A360" s="604" t="s">
        <v>966</v>
      </c>
      <c r="B360" s="616" t="s">
        <v>1820</v>
      </c>
      <c r="C360" s="637" t="s">
        <v>1760</v>
      </c>
      <c r="D360" s="366" t="s">
        <v>58</v>
      </c>
    </row>
    <row r="361" spans="1:4">
      <c r="A361" s="604" t="s">
        <v>966</v>
      </c>
      <c r="B361" s="616" t="s">
        <v>1820</v>
      </c>
      <c r="C361" s="637" t="s">
        <v>1760</v>
      </c>
      <c r="D361" s="366" t="s">
        <v>1924</v>
      </c>
    </row>
    <row r="362" spans="1:4">
      <c r="A362" s="604" t="s">
        <v>966</v>
      </c>
      <c r="B362" s="616" t="s">
        <v>1820</v>
      </c>
      <c r="C362" s="637" t="s">
        <v>1760</v>
      </c>
      <c r="D362" s="366" t="s">
        <v>1685</v>
      </c>
    </row>
    <row r="363" spans="1:4">
      <c r="A363" s="604" t="s">
        <v>966</v>
      </c>
      <c r="B363" s="617" t="s">
        <v>1800</v>
      </c>
      <c r="C363" s="637" t="s">
        <v>1760</v>
      </c>
      <c r="D363" s="366" t="s">
        <v>1700</v>
      </c>
    </row>
    <row r="364" spans="1:4">
      <c r="A364" s="604" t="s">
        <v>966</v>
      </c>
      <c r="B364" s="617" t="s">
        <v>1800</v>
      </c>
      <c r="C364" s="637" t="s">
        <v>1760</v>
      </c>
      <c r="D364" s="366" t="s">
        <v>1925</v>
      </c>
    </row>
    <row r="365" spans="1:4">
      <c r="A365" s="604" t="s">
        <v>966</v>
      </c>
      <c r="B365" s="604" t="s">
        <v>1859</v>
      </c>
      <c r="C365" s="637" t="s">
        <v>1760</v>
      </c>
      <c r="D365" s="366" t="s">
        <v>1926</v>
      </c>
    </row>
    <row r="366" spans="1:4">
      <c r="A366" s="604" t="s">
        <v>966</v>
      </c>
      <c r="B366" s="604" t="s">
        <v>1859</v>
      </c>
      <c r="C366" s="637" t="s">
        <v>1760</v>
      </c>
      <c r="D366" s="366" t="s">
        <v>152</v>
      </c>
    </row>
    <row r="367" spans="1:4">
      <c r="A367" s="604" t="s">
        <v>966</v>
      </c>
      <c r="B367" s="604" t="s">
        <v>1859</v>
      </c>
      <c r="C367" s="637" t="s">
        <v>1760</v>
      </c>
      <c r="D367" s="366" t="s">
        <v>156</v>
      </c>
    </row>
    <row r="368" spans="1:4">
      <c r="A368" s="604" t="s">
        <v>966</v>
      </c>
      <c r="B368" s="604" t="s">
        <v>1859</v>
      </c>
      <c r="C368" s="637" t="s">
        <v>1760</v>
      </c>
      <c r="D368" s="366" t="s">
        <v>1927</v>
      </c>
    </row>
    <row r="369" spans="1:4">
      <c r="A369" s="604" t="s">
        <v>966</v>
      </c>
      <c r="B369" s="604" t="s">
        <v>1859</v>
      </c>
      <c r="C369" s="637" t="s">
        <v>1760</v>
      </c>
      <c r="D369" s="366" t="s">
        <v>1928</v>
      </c>
    </row>
    <row r="370" spans="1:4">
      <c r="A370" s="604" t="s">
        <v>966</v>
      </c>
      <c r="B370" s="604" t="s">
        <v>1859</v>
      </c>
      <c r="C370" s="637" t="s">
        <v>1760</v>
      </c>
      <c r="D370" s="366" t="s">
        <v>1929</v>
      </c>
    </row>
    <row r="371" spans="1:4">
      <c r="A371" s="604" t="s">
        <v>966</v>
      </c>
      <c r="B371" s="616" t="s">
        <v>1820</v>
      </c>
      <c r="C371" s="637" t="s">
        <v>1760</v>
      </c>
      <c r="D371" s="366" t="s">
        <v>602</v>
      </c>
    </row>
    <row r="372" spans="1:4">
      <c r="A372" s="604" t="s">
        <v>966</v>
      </c>
      <c r="B372" s="604" t="s">
        <v>1859</v>
      </c>
      <c r="C372" s="637" t="s">
        <v>1760</v>
      </c>
      <c r="D372" s="366" t="s">
        <v>1294</v>
      </c>
    </row>
    <row r="373" spans="1:4">
      <c r="A373" s="604" t="s">
        <v>966</v>
      </c>
      <c r="B373" s="609" t="s">
        <v>1858</v>
      </c>
      <c r="C373" s="637" t="s">
        <v>1760</v>
      </c>
      <c r="D373" s="366" t="s">
        <v>1428</v>
      </c>
    </row>
    <row r="374" spans="1:4">
      <c r="A374" s="604" t="s">
        <v>966</v>
      </c>
      <c r="B374" s="609" t="s">
        <v>1858</v>
      </c>
      <c r="C374" s="637" t="s">
        <v>1760</v>
      </c>
      <c r="D374" s="366" t="s">
        <v>1668</v>
      </c>
    </row>
  </sheetData>
  <conditionalFormatting sqref="A1:B1048576">
    <cfRule type="containsText" dxfId="12" priority="5" operator="containsText" text="Loco">
      <formula>NOT(ISERROR(SEARCH("Loco",A1)))</formula>
    </cfRule>
    <cfRule type="containsText" dxfId="11" priority="6" operator="containsText" text="Cancer">
      <formula>NOT(ISERROR(SEARCH("Cancer",A1)))</formula>
    </cfRule>
    <cfRule type="containsText" dxfId="10" priority="7" operator="containsText" text="immuno">
      <formula>NOT(ISERROR(SEARCH("immuno",A1)))</formula>
    </cfRule>
    <cfRule type="containsText" dxfId="9" priority="8" operator="containsText" text="Endocrinologie">
      <formula>NOT(ISERROR(SEARCH("Endocrinologie",A1)))</formula>
    </cfRule>
    <cfRule type="containsText" dxfId="8" priority="9" operator="containsText" text="urinaire">
      <formula>NOT(ISERROR(SEARCH("urinaire",A1)))</formula>
    </cfRule>
    <cfRule type="containsText" dxfId="7" priority="10" operator="containsText" text="digestif">
      <formula>NOT(ISERROR(SEARCH("digestif",A1)))</formula>
    </cfRule>
    <cfRule type="containsText" dxfId="6" priority="11" operator="containsText" text="cardio">
      <formula>NOT(ISERROR(SEARCH("cardio",A1)))</formula>
    </cfRule>
    <cfRule type="containsText" dxfId="5" priority="12" operator="containsText" text="Voies">
      <formula>NOT(ISERROR(SEARCH("Voies",A1)))</formula>
    </cfRule>
    <cfRule type="containsText" dxfId="4" priority="13" operator="containsText" text="nerveux">
      <formula>NOT(ISERROR(SEARCH("nerveux",A1)))</formula>
    </cfRule>
  </conditionalFormatting>
  <conditionalFormatting sqref="C1:C1048576">
    <cfRule type="containsText" dxfId="3" priority="14" operator="containsText" text="analyses">
      <formula>NOT(ISERROR(SEARCH("analyses",C1)))</formula>
    </cfRule>
    <cfRule type="containsText" dxfId="2" priority="15" operator="containsText" text="Autoévaluation">
      <formula>NOT(ISERROR(SEARCH("Autoévaluation",C1)))</formula>
    </cfRule>
    <cfRule type="containsText" dxfId="1" priority="16" operator="containsText" text="Axes">
      <formula>NOT(ISERROR(SEARCH("Axes",C1)))</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60D91-E4C3-4D0D-BAF8-342174EFBB94}">
  <sheetPr codeName="Feuil15"/>
  <dimension ref="A1:I61"/>
  <sheetViews>
    <sheetView topLeftCell="C1" zoomScale="66" zoomScaleNormal="66" workbookViewId="0">
      <pane xSplit="1" ySplit="1" topLeftCell="D29" activePane="bottomRight" state="frozen"/>
      <selection activeCell="C1" sqref="C1"/>
      <selection pane="topRight" activeCell="D1" sqref="D1"/>
      <selection pane="bottomLeft" activeCell="C2" sqref="C2"/>
      <selection pane="bottomRight" activeCell="D35" sqref="D35:D37"/>
    </sheetView>
  </sheetViews>
  <sheetFormatPr baseColWidth="10" defaultColWidth="97.5703125" defaultRowHeight="18.75"/>
  <cols>
    <col min="1" max="1" width="82.7109375" style="384" bestFit="1" customWidth="1"/>
    <col min="2" max="2" width="25.7109375" style="72" bestFit="1" customWidth="1"/>
    <col min="3" max="3" width="16.5703125" style="70" customWidth="1"/>
    <col min="4" max="4" width="95.85546875" style="116" bestFit="1" customWidth="1"/>
    <col min="5" max="5" width="70.28515625" style="76" bestFit="1" customWidth="1"/>
    <col min="6" max="6" width="11" style="90" bestFit="1" customWidth="1"/>
    <col min="7" max="7" width="19.7109375" style="72" bestFit="1" customWidth="1"/>
    <col min="8" max="8" width="18.140625" style="72" bestFit="1" customWidth="1"/>
    <col min="9" max="9" width="72.28515625" style="72" bestFit="1" customWidth="1"/>
    <col min="10" max="16384" width="97.5703125" style="72"/>
  </cols>
  <sheetData>
    <row r="1" spans="1:8">
      <c r="B1" s="97"/>
      <c r="D1" s="114"/>
      <c r="E1" s="98" t="s">
        <v>85</v>
      </c>
      <c r="G1" s="79" t="s">
        <v>86</v>
      </c>
      <c r="H1" s="99">
        <f ca="1">TODAY()</f>
        <v>46189</v>
      </c>
    </row>
    <row r="2" spans="1:8" ht="36.75">
      <c r="A2" s="245" t="s">
        <v>772</v>
      </c>
      <c r="B2" s="103" t="s">
        <v>1042</v>
      </c>
      <c r="D2" s="115" t="s">
        <v>1156</v>
      </c>
      <c r="E2" s="88">
        <v>180</v>
      </c>
      <c r="F2" s="395" t="s">
        <v>0</v>
      </c>
      <c r="G2" s="90">
        <f>(E3*100)/(E2*E2)</f>
        <v>0.24382716049382716</v>
      </c>
    </row>
    <row r="3" spans="1:8">
      <c r="A3" s="245" t="s">
        <v>773</v>
      </c>
      <c r="D3" s="115" t="s">
        <v>1157</v>
      </c>
      <c r="E3" s="88">
        <v>79</v>
      </c>
    </row>
    <row r="4" spans="1:8" ht="37.5">
      <c r="A4" s="385" t="s">
        <v>827</v>
      </c>
      <c r="B4" s="103"/>
      <c r="D4" s="115" t="s">
        <v>1174</v>
      </c>
      <c r="E4" s="88">
        <v>89</v>
      </c>
    </row>
    <row r="5" spans="1:8" ht="36.75">
      <c r="A5" s="386" t="s">
        <v>828</v>
      </c>
      <c r="D5" s="115" t="s">
        <v>1175</v>
      </c>
      <c r="E5" s="91">
        <v>120</v>
      </c>
    </row>
    <row r="6" spans="1:8" ht="36.75">
      <c r="A6" s="386" t="s">
        <v>829</v>
      </c>
      <c r="D6" s="115" t="s">
        <v>1176</v>
      </c>
      <c r="E6" s="91">
        <v>70</v>
      </c>
    </row>
    <row r="7" spans="1:8">
      <c r="A7" s="387" t="s">
        <v>833</v>
      </c>
      <c r="D7" s="393" t="s">
        <v>615</v>
      </c>
      <c r="E7" s="88">
        <v>120</v>
      </c>
    </row>
    <row r="8" spans="1:8">
      <c r="A8" s="245" t="s">
        <v>772</v>
      </c>
      <c r="D8" s="393" t="s">
        <v>616</v>
      </c>
      <c r="E8" s="88">
        <v>125</v>
      </c>
    </row>
    <row r="9" spans="1:8">
      <c r="A9" s="245" t="s">
        <v>773</v>
      </c>
      <c r="D9" s="393" t="s">
        <v>651</v>
      </c>
      <c r="E9" s="88">
        <v>75</v>
      </c>
    </row>
    <row r="10" spans="1:8">
      <c r="A10" s="245" t="s">
        <v>818</v>
      </c>
      <c r="D10" s="393" t="s">
        <v>652</v>
      </c>
      <c r="E10" s="88">
        <v>120</v>
      </c>
    </row>
    <row r="11" spans="1:8" ht="37.5">
      <c r="A11" s="388" t="s">
        <v>1027</v>
      </c>
      <c r="D11" s="393" t="s">
        <v>653</v>
      </c>
      <c r="E11" s="88">
        <v>120</v>
      </c>
    </row>
    <row r="12" spans="1:8">
      <c r="A12" s="245" t="s">
        <v>1028</v>
      </c>
      <c r="D12" s="393" t="s">
        <v>621</v>
      </c>
      <c r="E12" s="88">
        <v>70</v>
      </c>
    </row>
    <row r="13" spans="1:8">
      <c r="A13" s="245" t="s">
        <v>1029</v>
      </c>
      <c r="D13" s="393" t="s">
        <v>617</v>
      </c>
      <c r="E13" s="88">
        <v>80</v>
      </c>
    </row>
    <row r="14" spans="1:8">
      <c r="A14" s="245" t="s">
        <v>1024</v>
      </c>
      <c r="D14" s="393" t="s">
        <v>622</v>
      </c>
      <c r="E14" s="88">
        <v>80</v>
      </c>
    </row>
    <row r="15" spans="1:8">
      <c r="A15" s="245" t="s">
        <v>1005</v>
      </c>
      <c r="D15" s="393" t="s">
        <v>654</v>
      </c>
      <c r="E15" s="88">
        <v>75</v>
      </c>
    </row>
    <row r="16" spans="1:8" ht="37.5">
      <c r="A16" s="388" t="s">
        <v>1030</v>
      </c>
      <c r="D16" s="393" t="s">
        <v>618</v>
      </c>
      <c r="E16" s="88">
        <v>96</v>
      </c>
    </row>
    <row r="17" spans="1:8">
      <c r="A17" s="247" t="s">
        <v>856</v>
      </c>
      <c r="D17" s="393" t="s">
        <v>619</v>
      </c>
      <c r="E17" s="88">
        <v>96</v>
      </c>
    </row>
    <row r="18" spans="1:8">
      <c r="A18" s="245" t="s">
        <v>772</v>
      </c>
      <c r="D18" s="393" t="s">
        <v>642</v>
      </c>
      <c r="E18" s="88" t="s">
        <v>644</v>
      </c>
    </row>
    <row r="19" spans="1:8">
      <c r="A19" s="245" t="s">
        <v>773</v>
      </c>
      <c r="D19" s="393" t="s">
        <v>643</v>
      </c>
      <c r="E19" s="88" t="s">
        <v>644</v>
      </c>
    </row>
    <row r="20" spans="1:8" ht="56.25">
      <c r="A20" s="247" t="s">
        <v>857</v>
      </c>
      <c r="D20" s="389" t="s">
        <v>750</v>
      </c>
      <c r="E20" s="208">
        <v>0</v>
      </c>
    </row>
    <row r="21" spans="1:8">
      <c r="A21" s="245" t="s">
        <v>772</v>
      </c>
      <c r="D21" s="210" t="s">
        <v>745</v>
      </c>
    </row>
    <row r="22" spans="1:8">
      <c r="A22" s="245" t="s">
        <v>773</v>
      </c>
      <c r="D22" s="210" t="s">
        <v>752</v>
      </c>
      <c r="E22" s="76">
        <v>0</v>
      </c>
      <c r="G22" s="72">
        <f>E22/20</f>
        <v>0</v>
      </c>
    </row>
    <row r="23" spans="1:8" ht="37.5">
      <c r="A23" s="247" t="s">
        <v>858</v>
      </c>
      <c r="D23" s="210" t="s">
        <v>753</v>
      </c>
      <c r="E23" s="76" t="s">
        <v>796</v>
      </c>
      <c r="G23" s="72">
        <f>IF(E23="Normale",1,0)</f>
        <v>0</v>
      </c>
    </row>
    <row r="24" spans="1:8">
      <c r="A24" s="245" t="s">
        <v>772</v>
      </c>
      <c r="D24" s="210" t="s">
        <v>754</v>
      </c>
      <c r="E24" s="76" t="s">
        <v>796</v>
      </c>
      <c r="G24" s="72">
        <f>IF(E24="Normale",1,0)</f>
        <v>0</v>
      </c>
      <c r="H24" s="218" t="s">
        <v>119</v>
      </c>
    </row>
    <row r="25" spans="1:8">
      <c r="A25" s="245" t="s">
        <v>773</v>
      </c>
      <c r="D25" s="390" t="s">
        <v>758</v>
      </c>
      <c r="E25" s="324" t="s">
        <v>755</v>
      </c>
      <c r="F25" s="347" t="s">
        <v>759</v>
      </c>
      <c r="G25" s="329"/>
      <c r="H25" s="329"/>
    </row>
    <row r="26" spans="1:8">
      <c r="A26" s="245" t="s">
        <v>831</v>
      </c>
      <c r="D26" s="394" t="s">
        <v>756</v>
      </c>
      <c r="E26" s="324"/>
      <c r="F26" s="347"/>
      <c r="G26" s="329"/>
      <c r="H26" s="219" t="s">
        <v>119</v>
      </c>
    </row>
    <row r="27" spans="1:8">
      <c r="A27" s="391" t="s">
        <v>1031</v>
      </c>
      <c r="D27" s="365" t="s">
        <v>755</v>
      </c>
      <c r="E27" s="324"/>
      <c r="F27" s="347"/>
      <c r="G27" s="329"/>
      <c r="H27" s="329"/>
    </row>
    <row r="28" spans="1:8">
      <c r="A28" s="392" t="s">
        <v>859</v>
      </c>
      <c r="D28" s="394" t="s">
        <v>757</v>
      </c>
      <c r="E28" s="324"/>
      <c r="F28" s="347"/>
      <c r="G28" s="329"/>
      <c r="H28" s="329"/>
    </row>
    <row r="29" spans="1:8">
      <c r="A29" s="384" t="s">
        <v>860</v>
      </c>
      <c r="D29" s="116" t="s">
        <v>1440</v>
      </c>
    </row>
    <row r="33" spans="1:9" ht="36">
      <c r="A33" s="72"/>
      <c r="B33" s="70"/>
      <c r="D33" s="116" t="s">
        <v>703</v>
      </c>
      <c r="E33" s="124">
        <v>0</v>
      </c>
    </row>
    <row r="35" spans="1:9">
      <c r="D35" s="116" t="s">
        <v>1114</v>
      </c>
    </row>
    <row r="36" spans="1:9">
      <c r="D36" s="116" t="s">
        <v>1115</v>
      </c>
    </row>
    <row r="37" spans="1:9">
      <c r="D37" s="116" t="s">
        <v>1116</v>
      </c>
    </row>
    <row r="38" spans="1:9">
      <c r="D38" s="116" t="s">
        <v>1117</v>
      </c>
    </row>
    <row r="39" spans="1:9" ht="37.5">
      <c r="D39" s="398" t="s">
        <v>1283</v>
      </c>
      <c r="E39" s="398"/>
      <c r="F39" s="397"/>
      <c r="G39" s="398" t="s">
        <v>1205</v>
      </c>
      <c r="H39" s="398" t="s">
        <v>1206</v>
      </c>
      <c r="I39" s="398" t="s">
        <v>1207</v>
      </c>
    </row>
    <row r="40" spans="1:9" ht="206.25">
      <c r="D40" s="398" t="s">
        <v>1275</v>
      </c>
      <c r="E40" s="398"/>
      <c r="F40" s="397" t="s">
        <v>1195</v>
      </c>
      <c r="G40" s="399" t="s">
        <v>1208</v>
      </c>
      <c r="H40" s="399" t="s">
        <v>1223</v>
      </c>
      <c r="I40" s="399" t="s">
        <v>1224</v>
      </c>
    </row>
    <row r="41" spans="1:9" ht="112.5">
      <c r="D41" s="398" t="s">
        <v>1276</v>
      </c>
      <c r="E41" s="398"/>
      <c r="F41" s="397"/>
      <c r="G41" s="399" t="s">
        <v>1209</v>
      </c>
      <c r="H41" s="399" t="s">
        <v>1225</v>
      </c>
      <c r="I41" s="399" t="s">
        <v>1210</v>
      </c>
    </row>
    <row r="42" spans="1:9" ht="243.75">
      <c r="D42" s="398" t="s">
        <v>1277</v>
      </c>
      <c r="E42" s="398"/>
      <c r="F42" s="397"/>
      <c r="G42" s="399" t="s">
        <v>1211</v>
      </c>
      <c r="H42" s="399" t="s">
        <v>1226</v>
      </c>
      <c r="I42" s="399" t="s">
        <v>1212</v>
      </c>
    </row>
    <row r="43" spans="1:9" ht="206.25">
      <c r="D43" s="398" t="s">
        <v>1278</v>
      </c>
      <c r="E43" s="398"/>
      <c r="F43" s="397"/>
      <c r="G43" s="399" t="s">
        <v>1213</v>
      </c>
      <c r="H43" s="399" t="s">
        <v>1214</v>
      </c>
      <c r="I43" s="399" t="s">
        <v>1227</v>
      </c>
    </row>
    <row r="44" spans="1:9" ht="150">
      <c r="D44" s="398" t="s">
        <v>1279</v>
      </c>
      <c r="E44" s="398"/>
      <c r="F44" s="397"/>
      <c r="G44" s="399" t="s">
        <v>1215</v>
      </c>
      <c r="H44" s="399" t="s">
        <v>1216</v>
      </c>
      <c r="I44" s="399" t="s">
        <v>1217</v>
      </c>
    </row>
    <row r="45" spans="1:9" ht="168.75">
      <c r="D45" s="398" t="s">
        <v>1280</v>
      </c>
      <c r="E45" s="398"/>
      <c r="F45" s="397"/>
      <c r="G45" s="399" t="s">
        <v>1218</v>
      </c>
      <c r="H45" s="399" t="s">
        <v>1219</v>
      </c>
      <c r="I45" s="399" t="s">
        <v>1228</v>
      </c>
    </row>
    <row r="46" spans="1:9" ht="206.25">
      <c r="D46" s="398" t="s">
        <v>1281</v>
      </c>
      <c r="E46" s="398"/>
      <c r="F46" s="397"/>
      <c r="G46" s="399" t="s">
        <v>1229</v>
      </c>
      <c r="H46" s="399" t="s">
        <v>1230</v>
      </c>
      <c r="I46" s="399" t="s">
        <v>1231</v>
      </c>
    </row>
    <row r="47" spans="1:9" ht="93.75">
      <c r="D47" s="398" t="s">
        <v>1282</v>
      </c>
      <c r="E47" s="398"/>
      <c r="F47" s="397"/>
      <c r="G47" s="399" t="s">
        <v>1220</v>
      </c>
      <c r="H47" s="399" t="s">
        <v>1221</v>
      </c>
      <c r="I47" s="399" t="s">
        <v>1222</v>
      </c>
    </row>
    <row r="48" spans="1:9">
      <c r="E48" s="116"/>
      <c r="F48" s="396"/>
    </row>
    <row r="49" spans="5:6">
      <c r="E49" s="116"/>
      <c r="F49" s="396"/>
    </row>
    <row r="50" spans="5:6">
      <c r="E50" s="116"/>
      <c r="F50" s="396"/>
    </row>
    <row r="51" spans="5:6">
      <c r="E51" s="116"/>
      <c r="F51" s="396"/>
    </row>
    <row r="52" spans="5:6">
      <c r="E52" s="116"/>
      <c r="F52" s="396"/>
    </row>
    <row r="53" spans="5:6">
      <c r="E53" s="116"/>
      <c r="F53" s="396"/>
    </row>
    <row r="54" spans="5:6">
      <c r="E54" s="116"/>
      <c r="F54" s="396"/>
    </row>
    <row r="55" spans="5:6">
      <c r="E55" s="116"/>
      <c r="F55" s="396"/>
    </row>
    <row r="56" spans="5:6">
      <c r="E56" s="116"/>
      <c r="F56" s="396"/>
    </row>
    <row r="57" spans="5:6">
      <c r="E57" s="116"/>
      <c r="F57" s="396"/>
    </row>
    <row r="58" spans="5:6">
      <c r="E58" s="116"/>
      <c r="F58" s="396"/>
    </row>
    <row r="59" spans="5:6">
      <c r="E59" s="116"/>
      <c r="F59" s="396"/>
    </row>
    <row r="60" spans="5:6">
      <c r="E60" s="116"/>
      <c r="F60" s="396"/>
    </row>
    <row r="61" spans="5:6">
      <c r="E61" s="116"/>
      <c r="F61" s="396"/>
    </row>
  </sheetData>
  <dataValidations count="2">
    <dataValidation type="list" allowBlank="1" showInputMessage="1" showErrorMessage="1" sqref="E25" xr:uid="{52F40673-28B9-4745-9315-B378427E0C61}">
      <formula1>$D$26:$D$28</formula1>
    </dataValidation>
    <dataValidation type="list" allowBlank="1" showInputMessage="1" showErrorMessage="1" sqref="F40" xr:uid="{D29EBC73-DF55-4B50-A5F8-D89D4A62C106}">
      <formula1>"A,B,C"</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E33E5-CFE2-4A24-9F58-06FE13044415}">
  <sheetPr codeName="Feuil16"/>
  <dimension ref="A1:R107"/>
  <sheetViews>
    <sheetView topLeftCell="I1" workbookViewId="0">
      <selection activeCell="K98" sqref="K98"/>
    </sheetView>
  </sheetViews>
  <sheetFormatPr baseColWidth="10" defaultColWidth="10.85546875" defaultRowHeight="15.75"/>
  <cols>
    <col min="1" max="1" width="40.42578125" style="154" bestFit="1" customWidth="1"/>
    <col min="2" max="2" width="17.28515625" style="185" customWidth="1"/>
    <col min="3" max="3" width="13.140625" style="69" customWidth="1"/>
    <col min="4" max="4" width="10.85546875" style="155"/>
    <col min="5" max="6" width="10.85546875" style="156"/>
    <col min="7" max="7" width="22.85546875" style="26" customWidth="1"/>
    <col min="8" max="8" width="8.140625" style="26" customWidth="1"/>
    <col min="9" max="11" width="10.85546875" style="157"/>
    <col min="12" max="12" width="30.28515625" style="157" customWidth="1"/>
    <col min="13" max="13" width="10.85546875" style="157"/>
    <col min="14" max="14" width="14.85546875" style="156" customWidth="1"/>
    <col min="15" max="15" width="16.85546875" style="156" customWidth="1"/>
    <col min="16" max="16384" width="10.85546875" style="156"/>
  </cols>
  <sheetData>
    <row r="1" spans="1:18">
      <c r="A1" s="68" t="s">
        <v>129</v>
      </c>
      <c r="B1" s="258" t="s">
        <v>130</v>
      </c>
      <c r="C1" s="154" t="s">
        <v>131</v>
      </c>
    </row>
    <row r="2" spans="1:18">
      <c r="A2" s="123" t="s">
        <v>132</v>
      </c>
      <c r="B2" s="259" t="s">
        <v>133</v>
      </c>
      <c r="C2" s="49">
        <v>1.19</v>
      </c>
      <c r="I2" s="26">
        <v>0</v>
      </c>
      <c r="J2" s="26">
        <v>1</v>
      </c>
      <c r="K2" s="26">
        <v>2</v>
      </c>
    </row>
    <row r="3" spans="1:18" ht="17.25">
      <c r="A3" s="104" t="s">
        <v>134</v>
      </c>
      <c r="B3" s="259" t="s">
        <v>135</v>
      </c>
      <c r="C3" s="50">
        <v>1</v>
      </c>
      <c r="D3" s="158">
        <f>C3*2.59</f>
        <v>2.59</v>
      </c>
      <c r="E3" s="156" t="s">
        <v>225</v>
      </c>
      <c r="F3" s="156" t="s">
        <v>337</v>
      </c>
      <c r="G3" s="51" t="s">
        <v>1</v>
      </c>
      <c r="H3" s="52">
        <f>C11</f>
        <v>5</v>
      </c>
      <c r="J3" s="157">
        <f>C3*2.58</f>
        <v>2.58</v>
      </c>
      <c r="K3" s="157" t="s">
        <v>311</v>
      </c>
      <c r="N3" s="159" t="s">
        <v>203</v>
      </c>
      <c r="O3" s="160">
        <f>C56</f>
        <v>65</v>
      </c>
    </row>
    <row r="4" spans="1:18" ht="17.25">
      <c r="A4" s="104" t="s">
        <v>136</v>
      </c>
      <c r="B4" s="259" t="s">
        <v>135</v>
      </c>
      <c r="C4" s="50">
        <v>0.56000000000000005</v>
      </c>
      <c r="D4" s="158">
        <f t="shared" ref="D4:D5" si="0">C4*2.59</f>
        <v>1.4504000000000001</v>
      </c>
      <c r="E4" s="156" t="s">
        <v>225</v>
      </c>
      <c r="F4" s="156" t="s">
        <v>336</v>
      </c>
      <c r="G4" s="51" t="s">
        <v>2</v>
      </c>
      <c r="H4" s="52">
        <f>C33</f>
        <v>510</v>
      </c>
      <c r="J4" s="157">
        <f>C4*2.58</f>
        <v>1.4448000000000001</v>
      </c>
      <c r="K4" s="157" t="s">
        <v>311</v>
      </c>
      <c r="N4" s="159" t="s">
        <v>307</v>
      </c>
      <c r="O4" s="156">
        <f>IF(ImportQuestion!F82="N",0,1)</f>
        <v>1</v>
      </c>
    </row>
    <row r="5" spans="1:18" ht="17.25">
      <c r="A5" s="104" t="s">
        <v>137</v>
      </c>
      <c r="B5" s="259" t="s">
        <v>135</v>
      </c>
      <c r="C5" s="50">
        <v>1.89</v>
      </c>
      <c r="D5" s="158">
        <f t="shared" si="0"/>
        <v>4.8950999999999993</v>
      </c>
      <c r="E5" s="156" t="s">
        <v>225</v>
      </c>
      <c r="F5" s="156" t="s">
        <v>335</v>
      </c>
      <c r="G5" s="126" t="s">
        <v>3</v>
      </c>
      <c r="H5" s="134">
        <f>C8</f>
        <v>2.2000000000000002</v>
      </c>
      <c r="N5" s="156" t="s">
        <v>308</v>
      </c>
      <c r="O5" s="156">
        <f>ImportQuestion!F80</f>
        <v>110</v>
      </c>
      <c r="P5" s="159"/>
    </row>
    <row r="6" spans="1:18" ht="17.25">
      <c r="A6" s="104" t="s">
        <v>138</v>
      </c>
      <c r="B6" s="259" t="s">
        <v>135</v>
      </c>
      <c r="C6" s="50">
        <v>0.64</v>
      </c>
      <c r="D6" s="51">
        <f>C6*1.13</f>
        <v>0.72319999999999995</v>
      </c>
      <c r="E6" s="156" t="s">
        <v>225</v>
      </c>
      <c r="G6" s="51" t="s">
        <v>4</v>
      </c>
      <c r="H6" s="54">
        <f>D3</f>
        <v>2.59</v>
      </c>
      <c r="N6" s="156" t="s">
        <v>309</v>
      </c>
      <c r="O6" s="156">
        <f>H6</f>
        <v>2.59</v>
      </c>
      <c r="P6" s="159"/>
    </row>
    <row r="7" spans="1:18" ht="17.25">
      <c r="A7" s="104" t="s">
        <v>139</v>
      </c>
      <c r="B7" s="259" t="s">
        <v>140</v>
      </c>
      <c r="C7" s="49">
        <v>1.1000000000000001</v>
      </c>
      <c r="G7" s="51" t="s">
        <v>84</v>
      </c>
      <c r="H7" s="106">
        <f>C7</f>
        <v>1.1000000000000001</v>
      </c>
      <c r="N7" s="156" t="s">
        <v>310</v>
      </c>
      <c r="O7" s="156">
        <f>H8</f>
        <v>1.4504000000000001</v>
      </c>
      <c r="P7" s="159"/>
    </row>
    <row r="8" spans="1:18" ht="17.25">
      <c r="A8" s="161" t="s">
        <v>339</v>
      </c>
      <c r="B8" s="260" t="s">
        <v>341</v>
      </c>
      <c r="C8" s="113">
        <v>2.2000000000000002</v>
      </c>
      <c r="D8" s="162">
        <f>C8*4</f>
        <v>8.8000000000000007</v>
      </c>
      <c r="E8" s="163" t="s">
        <v>342</v>
      </c>
      <c r="F8" s="156" t="s">
        <v>340</v>
      </c>
      <c r="G8" s="51" t="s">
        <v>5</v>
      </c>
      <c r="H8" s="54">
        <f>D4</f>
        <v>1.4504000000000001</v>
      </c>
      <c r="N8" s="156" t="s">
        <v>219</v>
      </c>
      <c r="O8" s="156">
        <f>ImportQuestion!H3</f>
        <v>0</v>
      </c>
      <c r="P8" s="159"/>
    </row>
    <row r="9" spans="1:18">
      <c r="A9" s="104" t="s">
        <v>141</v>
      </c>
      <c r="B9" s="259" t="s">
        <v>133</v>
      </c>
      <c r="C9" s="49">
        <v>0.95</v>
      </c>
      <c r="D9" s="164">
        <f>C9*5.5</f>
        <v>5.2249999999999996</v>
      </c>
      <c r="E9" s="156" t="s">
        <v>225</v>
      </c>
      <c r="G9" s="51" t="s">
        <v>6</v>
      </c>
      <c r="H9" s="52">
        <f>C10</f>
        <v>6.4</v>
      </c>
      <c r="K9" s="157" t="s">
        <v>106</v>
      </c>
      <c r="O9" s="160"/>
    </row>
    <row r="10" spans="1:18">
      <c r="A10" s="104" t="s">
        <v>142</v>
      </c>
      <c r="B10" s="259" t="s">
        <v>143</v>
      </c>
      <c r="C10" s="50">
        <v>6.4</v>
      </c>
      <c r="G10" s="51" t="s">
        <v>79</v>
      </c>
      <c r="H10" s="107">
        <f>C2</f>
        <v>1.19</v>
      </c>
      <c r="I10" s="157">
        <v>0.3</v>
      </c>
      <c r="K10" s="157" t="s">
        <v>100</v>
      </c>
      <c r="L10" s="165">
        <f>(ImportQuestion!F6*H25)/((H22*(SQRT(H24))))</f>
        <v>2.2335251842817749</v>
      </c>
    </row>
    <row r="11" spans="1:18">
      <c r="A11" s="104" t="s">
        <v>144</v>
      </c>
      <c r="B11" s="259" t="s">
        <v>145</v>
      </c>
      <c r="C11" s="50">
        <v>5</v>
      </c>
      <c r="G11" s="51" t="s">
        <v>7</v>
      </c>
      <c r="H11" s="56">
        <f>D6</f>
        <v>0.72319999999999995</v>
      </c>
      <c r="L11" s="157" t="s">
        <v>101</v>
      </c>
    </row>
    <row r="12" spans="1:18">
      <c r="A12" s="104" t="s">
        <v>146</v>
      </c>
      <c r="B12" s="259" t="s">
        <v>147</v>
      </c>
      <c r="C12" s="50">
        <v>14</v>
      </c>
      <c r="G12" s="51" t="s">
        <v>128</v>
      </c>
      <c r="H12" s="52">
        <f>C5</f>
        <v>1.89</v>
      </c>
    </row>
    <row r="13" spans="1:18">
      <c r="A13" s="104" t="s">
        <v>148</v>
      </c>
      <c r="B13" s="259" t="s">
        <v>149</v>
      </c>
      <c r="C13" s="50">
        <v>92</v>
      </c>
      <c r="G13" s="51" t="s">
        <v>8</v>
      </c>
      <c r="H13" s="52">
        <f>C21</f>
        <v>250</v>
      </c>
      <c r="K13" s="157" t="s">
        <v>236</v>
      </c>
      <c r="L13" s="51">
        <f>(-0.38+L16*1.37)/100</f>
        <v>0.15032500000000001</v>
      </c>
      <c r="M13" s="51">
        <f xml:space="preserve"> (-0.148+0.89*M16)/100</f>
        <v>7.8620000000000023E-2</v>
      </c>
    </row>
    <row r="14" spans="1:18">
      <c r="A14" s="104" t="s">
        <v>150</v>
      </c>
      <c r="B14" s="259" t="s">
        <v>151</v>
      </c>
      <c r="C14" s="50">
        <v>5</v>
      </c>
      <c r="D14" s="155" t="s">
        <v>257</v>
      </c>
      <c r="G14" s="51" t="s">
        <v>9</v>
      </c>
      <c r="H14" s="56">
        <f>C35</f>
        <v>52</v>
      </c>
      <c r="N14" s="156" t="s">
        <v>306</v>
      </c>
    </row>
    <row r="15" spans="1:18" ht="16.5">
      <c r="A15" s="104" t="s">
        <v>152</v>
      </c>
      <c r="B15" s="57" t="s">
        <v>153</v>
      </c>
      <c r="C15" s="166">
        <v>6.3</v>
      </c>
      <c r="D15" s="155" t="s">
        <v>256</v>
      </c>
      <c r="G15" s="126" t="s">
        <v>10</v>
      </c>
      <c r="H15" s="127">
        <f>C30</f>
        <v>150</v>
      </c>
      <c r="K15" s="26" t="s">
        <v>102</v>
      </c>
      <c r="L15" s="26" t="s">
        <v>61</v>
      </c>
      <c r="M15" s="26" t="s">
        <v>62</v>
      </c>
      <c r="N15" s="156" t="s">
        <v>61</v>
      </c>
      <c r="O15" s="156" t="s">
        <v>62</v>
      </c>
      <c r="P15" s="167"/>
      <c r="R15" s="168"/>
    </row>
    <row r="16" spans="1:18" ht="17.25">
      <c r="A16" s="104" t="s">
        <v>154</v>
      </c>
      <c r="B16" s="57" t="s">
        <v>153</v>
      </c>
      <c r="C16" s="50">
        <v>3.7</v>
      </c>
      <c r="D16" s="155" t="s">
        <v>259</v>
      </c>
      <c r="G16" s="51" t="s">
        <v>104</v>
      </c>
      <c r="H16" s="53">
        <f>D36</f>
        <v>88.4</v>
      </c>
      <c r="K16" s="26" t="s">
        <v>27</v>
      </c>
      <c r="L16" s="26">
        <f>-10.2+0.33*ImportQuestion!F6</f>
        <v>11.25</v>
      </c>
      <c r="M16" s="51">
        <f xml:space="preserve"> -7.9+0.26*ImportQuestion!F6</f>
        <v>9.0000000000000018</v>
      </c>
      <c r="P16" s="159"/>
    </row>
    <row r="17" spans="1:16" ht="17.25">
      <c r="A17" s="104" t="s">
        <v>155</v>
      </c>
      <c r="B17" s="57" t="s">
        <v>153</v>
      </c>
      <c r="C17" s="50">
        <v>0.06</v>
      </c>
      <c r="D17" s="155">
        <v>0.1</v>
      </c>
      <c r="G17" s="51" t="s">
        <v>11</v>
      </c>
      <c r="H17" s="52">
        <f>C25</f>
        <v>60</v>
      </c>
      <c r="K17" s="26" t="s">
        <v>63</v>
      </c>
      <c r="L17" s="26">
        <f>-12.3+0.09*ImportQuestion!F80</f>
        <v>-2.4000000000000004</v>
      </c>
      <c r="M17" s="51">
        <f>-20.4+0.15*ImportQuestion!F80</f>
        <v>-3.8999999999999986</v>
      </c>
      <c r="P17" s="159"/>
    </row>
    <row r="18" spans="1:16" ht="17.25">
      <c r="A18" s="104" t="s">
        <v>156</v>
      </c>
      <c r="B18" s="57" t="s">
        <v>153</v>
      </c>
      <c r="C18" s="50">
        <v>2</v>
      </c>
      <c r="D18" s="155" t="s">
        <v>260</v>
      </c>
      <c r="G18" s="51" t="s">
        <v>12</v>
      </c>
      <c r="H18" s="52">
        <f>C12</f>
        <v>14</v>
      </c>
      <c r="K18" s="26" t="s">
        <v>64</v>
      </c>
      <c r="L18" s="26">
        <f>IF(ImportQuestion!F104="Y",1,0)</f>
        <v>0</v>
      </c>
      <c r="M18" s="51">
        <f>IF(ImportQuestion!F104="Y",1,0)</f>
        <v>0</v>
      </c>
      <c r="P18" s="159"/>
    </row>
    <row r="19" spans="1:16" ht="17.25">
      <c r="A19" s="104" t="s">
        <v>157</v>
      </c>
      <c r="B19" s="57" t="s">
        <v>153</v>
      </c>
      <c r="C19" s="50">
        <v>267</v>
      </c>
      <c r="D19" s="155" t="s">
        <v>258</v>
      </c>
      <c r="G19" s="51" t="s">
        <v>13</v>
      </c>
      <c r="H19" s="58">
        <f>C15</f>
        <v>6.3</v>
      </c>
      <c r="K19" s="26" t="s">
        <v>65</v>
      </c>
      <c r="L19" s="26">
        <f>-4+2.5*(H6*0.386)</f>
        <v>-1.5006500000000003</v>
      </c>
      <c r="M19" s="51">
        <f xml:space="preserve"> -5.27+3.29*(H6*0.386)</f>
        <v>-1.9808553999999998</v>
      </c>
      <c r="P19" s="159"/>
    </row>
    <row r="20" spans="1:16" ht="17.25">
      <c r="A20" s="104" t="s">
        <v>158</v>
      </c>
      <c r="B20" s="57" t="s">
        <v>159</v>
      </c>
      <c r="C20" s="49"/>
      <c r="G20" s="51" t="s">
        <v>559</v>
      </c>
      <c r="H20" s="52">
        <f>C16</f>
        <v>3.7</v>
      </c>
      <c r="K20" s="26" t="s">
        <v>66</v>
      </c>
      <c r="L20" s="26">
        <f>IF(ImportQuestion!F95="Y",1,0)</f>
        <v>0</v>
      </c>
      <c r="M20" s="51">
        <f>IF(ImportQuestion!F95="Y",1,0)</f>
        <v>0</v>
      </c>
      <c r="P20" s="159"/>
    </row>
    <row r="21" spans="1:16" ht="17.25">
      <c r="A21" s="104" t="s">
        <v>160</v>
      </c>
      <c r="B21" s="57" t="s">
        <v>161</v>
      </c>
      <c r="C21" s="50">
        <v>250</v>
      </c>
      <c r="G21" s="51" t="s">
        <v>14</v>
      </c>
      <c r="H21" s="52">
        <f>C18</f>
        <v>2</v>
      </c>
      <c r="K21" s="26" t="s">
        <v>67</v>
      </c>
      <c r="L21" s="26">
        <f>IF(ImportQuestion!F82="Y",1,0)</f>
        <v>1</v>
      </c>
      <c r="M21" s="51">
        <f>IF(ImportQuestion!F82="Y",1,0)</f>
        <v>1</v>
      </c>
      <c r="P21" s="159"/>
    </row>
    <row r="22" spans="1:16" ht="17.25">
      <c r="A22" s="104" t="s">
        <v>162</v>
      </c>
      <c r="B22" s="57" t="s">
        <v>143</v>
      </c>
      <c r="C22" s="49"/>
      <c r="G22" s="51" t="s">
        <v>15</v>
      </c>
      <c r="H22" s="52">
        <f>C19</f>
        <v>267</v>
      </c>
      <c r="K22" s="26" t="s">
        <v>68</v>
      </c>
      <c r="L22" s="51">
        <f>SUM(L16:L21)</f>
        <v>8.3493499999999994</v>
      </c>
      <c r="M22" s="51">
        <f>SUM(M16:M21)</f>
        <v>4.1191446000000038</v>
      </c>
      <c r="P22" s="159"/>
    </row>
    <row r="23" spans="1:16">
      <c r="A23" s="104" t="s">
        <v>163</v>
      </c>
      <c r="B23" s="57" t="s">
        <v>164</v>
      </c>
      <c r="C23" s="50">
        <v>23</v>
      </c>
      <c r="G23" s="133" t="s">
        <v>16</v>
      </c>
      <c r="H23" s="55"/>
      <c r="K23" s="26" t="s">
        <v>116</v>
      </c>
      <c r="L23" s="51">
        <f>(-0.38+L22*1.37)/100</f>
        <v>0.110586095</v>
      </c>
      <c r="M23" s="51">
        <f xml:space="preserve"> (-0.148+0.89*M22)/100</f>
        <v>3.5180386940000037E-2</v>
      </c>
    </row>
    <row r="24" spans="1:16">
      <c r="A24" s="104" t="s">
        <v>165</v>
      </c>
      <c r="B24" s="57" t="s">
        <v>164</v>
      </c>
      <c r="C24" s="50">
        <v>44</v>
      </c>
      <c r="G24" s="51" t="s">
        <v>17</v>
      </c>
      <c r="H24" s="52">
        <f>C23</f>
        <v>23</v>
      </c>
      <c r="K24" s="26"/>
      <c r="L24" s="51"/>
      <c r="M24" s="51"/>
    </row>
    <row r="25" spans="1:16">
      <c r="A25" s="104" t="s">
        <v>166</v>
      </c>
      <c r="B25" s="57" t="s">
        <v>167</v>
      </c>
      <c r="C25" s="50">
        <v>60</v>
      </c>
      <c r="G25" s="51" t="s">
        <v>18</v>
      </c>
      <c r="H25" s="52">
        <f>C24</f>
        <v>44</v>
      </c>
      <c r="K25" s="26" t="s">
        <v>118</v>
      </c>
      <c r="L25" s="26">
        <f>-10.2+0.33*((ImportQuestion!F6)+5)</f>
        <v>12.900000000000002</v>
      </c>
      <c r="M25" s="51">
        <f>-7.9+0.26*((ImportQuestion!F6)+5)</f>
        <v>10.299999999999999</v>
      </c>
    </row>
    <row r="26" spans="1:16">
      <c r="A26" s="57" t="s">
        <v>535</v>
      </c>
      <c r="B26" s="57" t="s">
        <v>168</v>
      </c>
      <c r="C26" s="49"/>
      <c r="G26" s="51" t="s">
        <v>273</v>
      </c>
      <c r="H26" s="59">
        <f>(C53+C54)/12</f>
        <v>0.7583333333333333</v>
      </c>
      <c r="K26" s="26" t="s">
        <v>119</v>
      </c>
      <c r="L26" s="51">
        <f>(L17+L18+L19+L20+L21+L25)</f>
        <v>9.9993500000000015</v>
      </c>
      <c r="M26" s="51">
        <f>(M17+M18+M19+M20+M21+M25)</f>
        <v>5.419144600000001</v>
      </c>
    </row>
    <row r="27" spans="1:16">
      <c r="A27" s="57" t="s">
        <v>533</v>
      </c>
      <c r="B27" s="57" t="s">
        <v>169</v>
      </c>
      <c r="C27" s="49"/>
      <c r="G27" s="51" t="s">
        <v>274</v>
      </c>
      <c r="H27" s="60" t="str">
        <f>IF(C55&lt;8,"L",(IF(C55&gt;14,"H","N")))</f>
        <v>N</v>
      </c>
      <c r="K27" s="26" t="s">
        <v>117</v>
      </c>
      <c r="L27" s="51">
        <f>(-0.38+L26*1.37)/100</f>
        <v>0.13319109500000001</v>
      </c>
      <c r="M27" s="51">
        <f xml:space="preserve"> (-0.148+0.89*M26)/100</f>
        <v>4.6750386940000013E-2</v>
      </c>
    </row>
    <row r="28" spans="1:16">
      <c r="A28" s="57" t="s">
        <v>170</v>
      </c>
      <c r="B28" s="57" t="s">
        <v>171</v>
      </c>
      <c r="C28" s="49"/>
      <c r="G28" s="51" t="s">
        <v>19</v>
      </c>
      <c r="H28" s="52">
        <f>C31</f>
        <v>0.65</v>
      </c>
    </row>
    <row r="29" spans="1:16">
      <c r="A29" s="57" t="s">
        <v>172</v>
      </c>
      <c r="B29" s="57" t="s">
        <v>145</v>
      </c>
      <c r="C29" s="49"/>
      <c r="G29" s="169" t="s">
        <v>330</v>
      </c>
      <c r="H29" s="169">
        <f>ImportQuestion!F229</f>
        <v>0</v>
      </c>
      <c r="I29" s="170" t="s">
        <v>331</v>
      </c>
      <c r="J29" s="171" t="e">
        <f>H3/H29</f>
        <v>#DIV/0!</v>
      </c>
      <c r="K29" s="172" t="s">
        <v>120</v>
      </c>
      <c r="L29" s="26">
        <f>IF(ImportQuestion!F3="H",1.23,1.04)</f>
        <v>1.04</v>
      </c>
    </row>
    <row r="30" spans="1:16">
      <c r="A30" s="125" t="s">
        <v>497</v>
      </c>
      <c r="B30" s="57" t="s">
        <v>164</v>
      </c>
      <c r="C30" s="128">
        <v>150</v>
      </c>
      <c r="G30" s="61" t="s">
        <v>114</v>
      </c>
      <c r="H30" s="62">
        <f>(ImportQuestion!F6*H25)/((H22*(SQRT(H24))))</f>
        <v>2.2335251842817749</v>
      </c>
      <c r="I30" s="173">
        <f>IF(H30&lt;2,0,1.5)</f>
        <v>1.5</v>
      </c>
    </row>
    <row r="31" spans="1:16">
      <c r="A31" s="104" t="s">
        <v>173</v>
      </c>
      <c r="B31" s="57" t="s">
        <v>174</v>
      </c>
      <c r="C31" s="50">
        <v>0.65</v>
      </c>
      <c r="G31" s="61" t="s">
        <v>103</v>
      </c>
      <c r="H31" s="62">
        <f>MAX(0.01,IF(ImportQuestion!F3="H",ImportBiologie!L23,ImportBiologie!M23))</f>
        <v>0.18154732163999998</v>
      </c>
      <c r="I31" s="157" t="s">
        <v>115</v>
      </c>
      <c r="J31" s="48">
        <f>IF(ImportQuestion!F3="H",ImportBiologie!L27,ImportBiologie!M27)</f>
        <v>0.19311732163999998</v>
      </c>
      <c r="K31" s="157">
        <v>8.5</v>
      </c>
    </row>
    <row r="32" spans="1:16">
      <c r="A32" s="57" t="s">
        <v>175</v>
      </c>
      <c r="B32" s="57" t="s">
        <v>176</v>
      </c>
      <c r="C32" s="50"/>
      <c r="D32" s="174">
        <f>C32*0.03624502</f>
        <v>0</v>
      </c>
      <c r="E32" s="156" t="s">
        <v>229</v>
      </c>
      <c r="G32" s="108" t="s">
        <v>58</v>
      </c>
      <c r="H32" s="108">
        <f>IF(H3=0,0,(IF(ImportQuestion!F110="Y",(H3*1.5),H3))*G40)</f>
        <v>5</v>
      </c>
      <c r="K32" s="157">
        <f>2/8.5</f>
        <v>0.23529411764705882</v>
      </c>
    </row>
    <row r="33" spans="1:14">
      <c r="A33" s="104" t="s">
        <v>178</v>
      </c>
      <c r="B33" s="57" t="s">
        <v>159</v>
      </c>
      <c r="C33" s="50">
        <v>510</v>
      </c>
      <c r="D33" s="51">
        <f>C33*0.168</f>
        <v>85.68</v>
      </c>
      <c r="E33" s="156" t="s">
        <v>135</v>
      </c>
      <c r="F33" s="163" t="s">
        <v>338</v>
      </c>
      <c r="G33" s="108" t="s">
        <v>69</v>
      </c>
      <c r="H33" s="108">
        <f>MAX(IF(H6&gt;5.2,1.2,0),(IF(H11&gt;1.8,1.2,0)),(IF(H6=0,1,0)),(IF(H11&gt;5,2,0)))</f>
        <v>0</v>
      </c>
      <c r="I33" s="161"/>
    </row>
    <row r="34" spans="1:14">
      <c r="A34" s="57" t="s">
        <v>179</v>
      </c>
      <c r="B34" s="57" t="s">
        <v>180</v>
      </c>
      <c r="C34" s="49">
        <v>65</v>
      </c>
      <c r="G34" s="108" t="s">
        <v>70</v>
      </c>
      <c r="H34" s="108">
        <f>MAX(IF(H9&gt;6,2,0),IF(H9=0,1,0))</f>
        <v>2</v>
      </c>
      <c r="I34" s="161"/>
    </row>
    <row r="35" spans="1:14">
      <c r="A35" s="104" t="s">
        <v>327</v>
      </c>
      <c r="B35" s="57" t="s">
        <v>161</v>
      </c>
      <c r="C35" s="50">
        <v>52</v>
      </c>
      <c r="G35" s="61" t="s">
        <v>60</v>
      </c>
      <c r="H35" s="61">
        <f>MAX(IF(H5&gt;2.6,2,1),IF(H4&gt;420,2,1),IF(C44&gt;850,2,1),IF(C42&gt;7.5,2,1))</f>
        <v>2</v>
      </c>
      <c r="I35" s="26"/>
      <c r="K35" s="157" t="s">
        <v>580</v>
      </c>
      <c r="L35" s="26"/>
      <c r="N35" s="160"/>
    </row>
    <row r="36" spans="1:14">
      <c r="A36" s="57" t="s">
        <v>181</v>
      </c>
      <c r="B36" s="57" t="s">
        <v>140</v>
      </c>
      <c r="C36" s="50">
        <v>10</v>
      </c>
      <c r="D36" s="155">
        <f>C36*8.84</f>
        <v>88.4</v>
      </c>
      <c r="E36" s="156" t="s">
        <v>169</v>
      </c>
      <c r="G36" s="61" t="s">
        <v>59</v>
      </c>
      <c r="H36" s="64">
        <f>(0.0393+(0.042*H32)-(0.00055*H32^2))/3</f>
        <v>7.8516666666666665E-2</v>
      </c>
      <c r="I36" s="157" t="s">
        <v>243</v>
      </c>
      <c r="J36" s="64">
        <f>(0.0393+(0.042*(H32+1))-(0.00055*(H32+1)^2))/3</f>
        <v>9.0500000000000011E-2</v>
      </c>
    </row>
    <row r="37" spans="1:14" ht="18.75">
      <c r="A37" s="104" t="s">
        <v>182</v>
      </c>
      <c r="B37" s="57" t="s">
        <v>183</v>
      </c>
      <c r="C37" s="50">
        <v>81</v>
      </c>
      <c r="D37" s="155" t="s">
        <v>177</v>
      </c>
      <c r="E37" s="175" t="s">
        <v>334</v>
      </c>
      <c r="F37" s="175">
        <f>IF(C37&lt;30,2,IF(C37&gt;60,1,1.5))+IF(C37=0,-1,0)</f>
        <v>1</v>
      </c>
      <c r="G37" s="63" t="s">
        <v>120</v>
      </c>
      <c r="H37" s="65" t="e">
        <f>((140-ImportQuestion!F6)*(ImportQuestion!F78)*L29/(ImportBiologie!H16))</f>
        <v>#DIV/0!</v>
      </c>
      <c r="J37" s="176"/>
    </row>
    <row r="38" spans="1:14">
      <c r="A38" s="129" t="s">
        <v>348</v>
      </c>
      <c r="B38" s="261" t="s">
        <v>185</v>
      </c>
      <c r="C38" s="113"/>
      <c r="D38" s="155" t="s">
        <v>346</v>
      </c>
      <c r="E38" s="156" t="s">
        <v>347</v>
      </c>
      <c r="G38" s="61" t="s">
        <v>121</v>
      </c>
      <c r="H38" s="61">
        <f>SUM(J38:J42)</f>
        <v>0</v>
      </c>
      <c r="I38" s="157" t="s">
        <v>0</v>
      </c>
      <c r="J38" s="161">
        <f>IF(ImportQuestion!H77&gt;0.3,2,0)</f>
        <v>0</v>
      </c>
      <c r="L38" s="157">
        <v>2</v>
      </c>
    </row>
    <row r="39" spans="1:14">
      <c r="A39" s="130" t="s">
        <v>349</v>
      </c>
      <c r="B39" s="261" t="s">
        <v>185</v>
      </c>
      <c r="C39" s="113" t="s">
        <v>346</v>
      </c>
      <c r="I39" s="157" t="s">
        <v>71</v>
      </c>
      <c r="J39" s="157">
        <f>IF(ImportQuestion!F79&gt;ImportBiologie!K39,1.5,0)</f>
        <v>0</v>
      </c>
      <c r="K39" s="177">
        <v>102</v>
      </c>
      <c r="L39" s="157">
        <v>1.5</v>
      </c>
    </row>
    <row r="40" spans="1:14">
      <c r="A40" s="131" t="s">
        <v>350</v>
      </c>
      <c r="B40" s="261" t="s">
        <v>185</v>
      </c>
      <c r="C40" s="113"/>
      <c r="F40" s="178" t="s">
        <v>255</v>
      </c>
      <c r="G40" s="179">
        <f>IF(ImportQuestion!H77&gt;0.3,1.5,1)</f>
        <v>1</v>
      </c>
      <c r="I40" s="157" t="s">
        <v>122</v>
      </c>
      <c r="J40" s="157">
        <f>L20</f>
        <v>0</v>
      </c>
      <c r="L40" s="157">
        <v>1</v>
      </c>
    </row>
    <row r="41" spans="1:14">
      <c r="A41" s="67" t="s">
        <v>186</v>
      </c>
      <c r="B41" s="57" t="s">
        <v>187</v>
      </c>
      <c r="C41" s="50">
        <v>1900</v>
      </c>
      <c r="I41" s="157" t="s">
        <v>123</v>
      </c>
      <c r="J41" s="157">
        <f>H33</f>
        <v>0</v>
      </c>
      <c r="L41" s="157">
        <v>1</v>
      </c>
    </row>
    <row r="42" spans="1:14">
      <c r="A42" s="66" t="s">
        <v>188</v>
      </c>
      <c r="B42" s="57" t="s">
        <v>189</v>
      </c>
      <c r="C42" s="50">
        <v>2.39</v>
      </c>
      <c r="D42" s="155">
        <f>C42*40</f>
        <v>95.600000000000009</v>
      </c>
      <c r="E42" s="156" t="s">
        <v>192</v>
      </c>
      <c r="I42" s="157" t="s">
        <v>124</v>
      </c>
      <c r="J42" s="157">
        <f>MAX(IF(ImportQuestion!F104="Y",1,0),IF(ImportQuestion!F80&gt;140,1,0))</f>
        <v>0</v>
      </c>
      <c r="L42" s="157">
        <v>1</v>
      </c>
    </row>
    <row r="43" spans="1:14">
      <c r="A43" s="66" t="s">
        <v>190</v>
      </c>
      <c r="B43" s="57" t="s">
        <v>189</v>
      </c>
      <c r="C43" s="50">
        <v>309.39</v>
      </c>
      <c r="L43" s="157">
        <f>SUM(L38:L42)</f>
        <v>6.5</v>
      </c>
    </row>
    <row r="44" spans="1:14">
      <c r="A44" s="66" t="s">
        <v>191</v>
      </c>
      <c r="B44" s="57" t="s">
        <v>192</v>
      </c>
      <c r="C44" s="50">
        <v>367</v>
      </c>
      <c r="D44" s="155">
        <f>C44*0.168</f>
        <v>61.656000000000006</v>
      </c>
    </row>
    <row r="45" spans="1:14">
      <c r="A45" s="66" t="s">
        <v>193</v>
      </c>
      <c r="B45" s="57"/>
      <c r="C45" s="50"/>
      <c r="I45" s="157" t="s">
        <v>314</v>
      </c>
      <c r="K45" s="157" t="e">
        <f>IF(H37&lt;75,2,(IF(H37&gt;100,0,1)))</f>
        <v>#DIV/0!</v>
      </c>
    </row>
    <row r="46" spans="1:14">
      <c r="A46" s="66" t="s">
        <v>194</v>
      </c>
      <c r="B46" s="57" t="s">
        <v>488</v>
      </c>
      <c r="C46" s="49"/>
      <c r="M46" s="149"/>
    </row>
    <row r="47" spans="1:14">
      <c r="A47" s="66" t="s">
        <v>195</v>
      </c>
      <c r="B47" s="57" t="s">
        <v>225</v>
      </c>
      <c r="C47" s="50">
        <v>5.76</v>
      </c>
      <c r="D47" s="155">
        <f>(C47*1000)/8.84</f>
        <v>651.58371040723978</v>
      </c>
      <c r="E47" s="156" t="s">
        <v>230</v>
      </c>
      <c r="G47" s="180" t="s">
        <v>602</v>
      </c>
      <c r="H47" s="181">
        <f>IF(C38="Positive",3,1)</f>
        <v>1</v>
      </c>
      <c r="M47" s="156"/>
    </row>
    <row r="48" spans="1:14">
      <c r="A48" s="66" t="s">
        <v>195</v>
      </c>
      <c r="B48" s="57" t="s">
        <v>189</v>
      </c>
      <c r="C48" s="50">
        <v>10.94</v>
      </c>
      <c r="D48" s="155">
        <f>(C48*1000)/8.84</f>
        <v>1237.5565610859728</v>
      </c>
      <c r="E48" s="156" t="s">
        <v>192</v>
      </c>
      <c r="K48" s="150" t="s">
        <v>203</v>
      </c>
      <c r="L48" s="151">
        <f>C56</f>
        <v>65</v>
      </c>
      <c r="M48" s="156"/>
      <c r="N48" s="182" t="str">
        <f>IF(L59&lt;2.5,"Faible",IF(L59&gt;7.5,"Elevé","intermédiare"))</f>
        <v>intermédiare</v>
      </c>
    </row>
    <row r="49" spans="1:14">
      <c r="A49" s="66" t="s">
        <v>196</v>
      </c>
      <c r="B49" s="57" t="s">
        <v>189</v>
      </c>
      <c r="C49" s="50">
        <v>92</v>
      </c>
      <c r="E49" s="156" t="s">
        <v>231</v>
      </c>
      <c r="K49" s="150" t="s">
        <v>610</v>
      </c>
      <c r="L49" s="152">
        <f>ImportQuestion!H3</f>
        <v>0</v>
      </c>
      <c r="M49" s="156"/>
      <c r="N49" s="182" t="str">
        <f>IF(L59&lt;5,"Faible",IF(L59&gt;10,"Elevé","intermédiare"))</f>
        <v>Faible</v>
      </c>
    </row>
    <row r="50" spans="1:14">
      <c r="A50" s="132" t="s">
        <v>197</v>
      </c>
      <c r="B50" s="261" t="s">
        <v>198</v>
      </c>
      <c r="C50" s="113"/>
      <c r="K50" s="150" t="s">
        <v>611</v>
      </c>
      <c r="L50" s="152">
        <f>IF(ImportQuestion!F82="Y",1,0)</f>
        <v>1</v>
      </c>
      <c r="M50" s="156"/>
      <c r="N50" s="182" t="str">
        <f>IF(L59&lt;7.5,"Faible",IF(L59&gt;15,"Elevé","intermédiare"))</f>
        <v>Faible</v>
      </c>
    </row>
    <row r="51" spans="1:14">
      <c r="A51" s="132" t="s">
        <v>199</v>
      </c>
      <c r="B51" s="261" t="s">
        <v>198</v>
      </c>
      <c r="C51" s="113"/>
      <c r="K51" s="153" t="s">
        <v>612</v>
      </c>
      <c r="L51" s="152">
        <f>ImportQuestion!F80</f>
        <v>110</v>
      </c>
      <c r="M51" s="156"/>
      <c r="N51" s="183"/>
    </row>
    <row r="52" spans="1:14">
      <c r="A52" s="132" t="s">
        <v>200</v>
      </c>
      <c r="B52" s="261" t="s">
        <v>198</v>
      </c>
      <c r="C52" s="113"/>
      <c r="K52" s="150" t="s">
        <v>613</v>
      </c>
      <c r="L52" s="152">
        <f>H6-H8</f>
        <v>1.1395999999999997</v>
      </c>
      <c r="M52" s="156"/>
      <c r="N52" s="184" t="str">
        <f>IF(L48&lt;50,N48,(IF(L48&gt;70,N50,N49)))</f>
        <v>Faible</v>
      </c>
    </row>
    <row r="53" spans="1:14">
      <c r="A53" s="105" t="s">
        <v>268</v>
      </c>
      <c r="B53" s="68" t="s">
        <v>135</v>
      </c>
      <c r="C53" s="69">
        <v>2.8</v>
      </c>
      <c r="D53" s="155" t="s">
        <v>271</v>
      </c>
      <c r="M53" s="156"/>
    </row>
    <row r="54" spans="1:14">
      <c r="A54" s="105" t="s">
        <v>269</v>
      </c>
      <c r="B54" s="68" t="s">
        <v>135</v>
      </c>
      <c r="C54" s="69">
        <v>6.3</v>
      </c>
      <c r="D54" s="155" t="s">
        <v>272</v>
      </c>
    </row>
    <row r="55" spans="1:14">
      <c r="A55" s="104" t="s">
        <v>270</v>
      </c>
      <c r="B55" s="68" t="s">
        <v>135</v>
      </c>
      <c r="C55" s="69">
        <v>8.1</v>
      </c>
    </row>
    <row r="56" spans="1:14">
      <c r="A56" s="157" t="s">
        <v>203</v>
      </c>
      <c r="C56" s="186">
        <f>ImportQuestion!F6</f>
        <v>65</v>
      </c>
    </row>
    <row r="57" spans="1:14">
      <c r="A57" s="157" t="s">
        <v>204</v>
      </c>
      <c r="C57" s="187">
        <f>ImportQuestion!F78</f>
        <v>65</v>
      </c>
      <c r="D57" s="155" t="s">
        <v>261</v>
      </c>
      <c r="E57" s="188">
        <f>C58-100-((C58-150)/4)</f>
        <v>72.5</v>
      </c>
      <c r="F57" s="176" t="s">
        <v>265</v>
      </c>
      <c r="G57" s="176" t="s">
        <v>264</v>
      </c>
      <c r="H57" s="189">
        <f>((10*C57)+(6.25*C58)-(5*C56)+5)/1000</f>
        <v>1.4550000000000001</v>
      </c>
    </row>
    <row r="58" spans="1:14">
      <c r="A58" s="157" t="s">
        <v>205</v>
      </c>
      <c r="C58" s="187">
        <f>ImportQuestion!F77</f>
        <v>180</v>
      </c>
      <c r="F58" s="156" t="s">
        <v>267</v>
      </c>
      <c r="G58" s="176" t="s">
        <v>266</v>
      </c>
      <c r="H58" s="189">
        <f>((10*C57)+(C58*6.25)-(5*C56)-161)/1000</f>
        <v>1.2889999999999999</v>
      </c>
      <c r="L58" s="190" t="s">
        <v>614</v>
      </c>
    </row>
    <row r="59" spans="1:14">
      <c r="A59" s="157" t="s">
        <v>206</v>
      </c>
      <c r="C59" s="191">
        <f>100*C57/C58^2</f>
        <v>0.20061728395061729</v>
      </c>
      <c r="D59" s="155" t="s">
        <v>201</v>
      </c>
      <c r="K59" s="157" t="s">
        <v>609</v>
      </c>
      <c r="L59" s="192">
        <f xml:space="preserve"> -25.7140130071773+0.267011088709677*L48+2.55729166666666*L49+2.97395833333333*L50+0.0753386699507389*L51+0.576041666666669*L52</f>
        <v>3.5593768701996491</v>
      </c>
    </row>
    <row r="60" spans="1:14">
      <c r="A60" s="157" t="s">
        <v>207</v>
      </c>
      <c r="B60" s="193"/>
      <c r="C60" s="194">
        <f>C16/C18</f>
        <v>1.85</v>
      </c>
      <c r="D60" s="155" t="s">
        <v>202</v>
      </c>
    </row>
    <row r="61" spans="1:14">
      <c r="A61" s="157" t="s">
        <v>208</v>
      </c>
      <c r="B61" s="193"/>
      <c r="C61" s="194">
        <f>IF(C29&lt;0.8,1.1,1)</f>
        <v>1.1000000000000001</v>
      </c>
    </row>
    <row r="62" spans="1:14">
      <c r="A62" s="157" t="s">
        <v>209</v>
      </c>
      <c r="B62" s="193"/>
      <c r="C62" s="195" t="e">
        <f>C27/C28</f>
        <v>#DIV/0!</v>
      </c>
    </row>
    <row r="63" spans="1:14">
      <c r="A63" s="157" t="s">
        <v>210</v>
      </c>
      <c r="B63" s="193"/>
      <c r="C63" s="195" t="e">
        <f>C32/C26</f>
        <v>#DIV/0!</v>
      </c>
    </row>
    <row r="64" spans="1:14">
      <c r="A64" s="157" t="s">
        <v>211</v>
      </c>
      <c r="B64" s="193"/>
      <c r="C64" s="194">
        <f>IF(C35&lt;30,1.2,1)</f>
        <v>1</v>
      </c>
    </row>
    <row r="65" spans="1:6">
      <c r="A65" s="157" t="s">
        <v>212</v>
      </c>
      <c r="B65" s="193">
        <f>C42/C57</f>
        <v>3.6769230769230769E-2</v>
      </c>
      <c r="C65" s="194">
        <f>IF(B65&gt;0.1,1,0)</f>
        <v>0</v>
      </c>
    </row>
    <row r="66" spans="1:6">
      <c r="A66" s="157" t="s">
        <v>213</v>
      </c>
      <c r="B66" s="193"/>
      <c r="C66" s="194">
        <f>IF(C44&gt;1000,1,0)</f>
        <v>0</v>
      </c>
    </row>
    <row r="67" spans="1:6">
      <c r="A67" s="157" t="s">
        <v>214</v>
      </c>
      <c r="B67" s="193"/>
      <c r="C67" s="194">
        <f>IF(C49&gt;150,1,0)</f>
        <v>0</v>
      </c>
    </row>
    <row r="68" spans="1:6">
      <c r="A68" s="157" t="s">
        <v>215</v>
      </c>
      <c r="B68" s="193"/>
      <c r="C68" s="194">
        <f>IF(C41&lt;2,1,0)</f>
        <v>0</v>
      </c>
      <c r="D68" s="196" t="e">
        <f>IF(C63&lt;0.1,1.2,1)</f>
        <v>#DIV/0!</v>
      </c>
    </row>
    <row r="69" spans="1:6">
      <c r="A69" s="157" t="s">
        <v>216</v>
      </c>
      <c r="B69" s="193"/>
      <c r="C69" s="195">
        <f>C49/17</f>
        <v>5.4117647058823533</v>
      </c>
    </row>
    <row r="70" spans="1:6">
      <c r="A70" s="157" t="s">
        <v>218</v>
      </c>
      <c r="B70" s="193"/>
      <c r="C70" s="195">
        <f>C43/5</f>
        <v>61.878</v>
      </c>
      <c r="D70" s="155" t="s">
        <v>262</v>
      </c>
      <c r="E70" s="188">
        <f>E57*0.8</f>
        <v>58</v>
      </c>
    </row>
    <row r="71" spans="1:6">
      <c r="A71" s="157" t="s">
        <v>219</v>
      </c>
      <c r="B71" s="193"/>
      <c r="C71" s="197">
        <v>1</v>
      </c>
    </row>
    <row r="72" spans="1:6">
      <c r="A72" s="198" t="s">
        <v>235</v>
      </c>
      <c r="B72" s="193"/>
      <c r="C72" s="194">
        <f>23*(C48/8.84)</f>
        <v>28.463800904977376</v>
      </c>
      <c r="D72" s="155" t="s">
        <v>263</v>
      </c>
    </row>
    <row r="73" spans="1:6">
      <c r="A73" s="198" t="s">
        <v>233</v>
      </c>
      <c r="B73" s="193"/>
      <c r="C73" s="194">
        <f xml:space="preserve"> (30+0.275*C56-0.00375*C56^2)</f>
        <v>32.03125</v>
      </c>
      <c r="D73" s="158" t="s">
        <v>301</v>
      </c>
      <c r="E73" s="199">
        <f>(0.407*C57)+(0.267*C58)-9.2</f>
        <v>65.314999999999998</v>
      </c>
      <c r="F73" s="200" t="s">
        <v>304</v>
      </c>
    </row>
    <row r="74" spans="1:6">
      <c r="A74" s="198" t="s">
        <v>234</v>
      </c>
      <c r="B74" s="193"/>
      <c r="C74" s="194">
        <f>( (42-0.5*C56+0.0025*C56^2))</f>
        <v>20.0625</v>
      </c>
      <c r="D74" s="155" t="s">
        <v>217</v>
      </c>
    </row>
    <row r="75" spans="1:6">
      <c r="A75" s="198" t="s">
        <v>220</v>
      </c>
      <c r="B75" s="193"/>
      <c r="C75" s="201">
        <f>(C72/C73)*(IF(ImportQuestion!H3=1,1,0))</f>
        <v>0</v>
      </c>
      <c r="D75" s="158" t="s">
        <v>302</v>
      </c>
    </row>
    <row r="76" spans="1:6">
      <c r="A76" s="198" t="s">
        <v>221</v>
      </c>
      <c r="B76" s="193"/>
      <c r="C76" s="195">
        <f>(C72/C74)*(IF(ImportQuestion!H3=0,1,0))</f>
        <v>1.4187564314007415</v>
      </c>
    </row>
    <row r="77" spans="1:6">
      <c r="A77" s="68" t="s">
        <v>222</v>
      </c>
      <c r="C77" s="202">
        <f>IF(C7&gt;3,1.2,1)</f>
        <v>1</v>
      </c>
    </row>
    <row r="78" spans="1:6">
      <c r="A78" s="157" t="s">
        <v>186</v>
      </c>
      <c r="B78" s="193"/>
      <c r="C78" s="194">
        <f>IF(C41&lt;1800,1,0)</f>
        <v>0</v>
      </c>
    </row>
    <row r="79" spans="1:6">
      <c r="A79" s="157" t="s">
        <v>223</v>
      </c>
      <c r="B79" s="193"/>
      <c r="C79" s="194">
        <f>IF(C12&lt;10,1,0) + IF(C16&lt;4,1,0) + IF(C18&lt;1,1,0) + IF(C19&lt;50,1,0)</f>
        <v>1</v>
      </c>
    </row>
    <row r="80" spans="1:6">
      <c r="A80" s="157" t="s">
        <v>146</v>
      </c>
      <c r="B80" s="193"/>
      <c r="C80" s="194">
        <f>IF(C12&gt;17,1,0)</f>
        <v>0</v>
      </c>
    </row>
    <row r="81" spans="1:7">
      <c r="A81" s="157" t="s">
        <v>152</v>
      </c>
      <c r="B81" s="193"/>
      <c r="C81" s="194">
        <f>IF(C16&gt;70,1,0)</f>
        <v>0</v>
      </c>
    </row>
    <row r="82" spans="1:7">
      <c r="A82" s="157" t="s">
        <v>156</v>
      </c>
      <c r="B82" s="193"/>
      <c r="C82" s="194">
        <f>IF(C18&gt;5,1,0)</f>
        <v>0</v>
      </c>
    </row>
    <row r="83" spans="1:7">
      <c r="A83" s="157" t="s">
        <v>157</v>
      </c>
      <c r="B83" s="193"/>
      <c r="C83" s="194">
        <f>IF(C19&gt;600,1,0)</f>
        <v>0</v>
      </c>
    </row>
    <row r="84" spans="1:7">
      <c r="A84" s="157"/>
      <c r="B84" s="193"/>
      <c r="C84" s="194"/>
    </row>
    <row r="85" spans="1:7">
      <c r="A85" s="157" t="s">
        <v>184</v>
      </c>
      <c r="B85" s="193"/>
      <c r="C85" s="194">
        <f>IF(C38="positive",1.5,1)</f>
        <v>1</v>
      </c>
    </row>
    <row r="86" spans="1:7">
      <c r="A86" s="203" t="s">
        <v>224</v>
      </c>
      <c r="B86" s="193"/>
      <c r="C86" s="204">
        <f>(((C67+C68+C66+C65+C78)*2)/10)+1</f>
        <v>1</v>
      </c>
    </row>
    <row r="87" spans="1:7">
      <c r="A87" s="69"/>
      <c r="C87" s="185"/>
    </row>
    <row r="88" spans="1:7">
      <c r="A88" s="69" t="s">
        <v>226</v>
      </c>
      <c r="C88" s="193">
        <f>C3/C4</f>
        <v>1.7857142857142856</v>
      </c>
      <c r="D88" s="155" t="s">
        <v>227</v>
      </c>
      <c r="E88" s="156" t="s">
        <v>228</v>
      </c>
    </row>
    <row r="89" spans="1:7">
      <c r="A89" s="69"/>
      <c r="C89" s="185"/>
    </row>
    <row r="90" spans="1:7">
      <c r="A90" s="69" t="s">
        <v>1152</v>
      </c>
      <c r="B90" s="193"/>
      <c r="C90" s="193"/>
    </row>
    <row r="91" spans="1:7">
      <c r="A91" s="69" t="s">
        <v>1153</v>
      </c>
      <c r="B91" s="193"/>
      <c r="C91" s="185"/>
    </row>
    <row r="92" spans="1:7">
      <c r="A92" s="69" t="s">
        <v>1154</v>
      </c>
      <c r="B92" s="193"/>
      <c r="C92" s="185"/>
    </row>
    <row r="93" spans="1:7">
      <c r="A93" s="69"/>
      <c r="B93" s="193"/>
      <c r="C93" s="185"/>
    </row>
    <row r="94" spans="1:7">
      <c r="A94" s="69" t="s">
        <v>1232</v>
      </c>
      <c r="B94" s="193"/>
      <c r="C94" s="377" t="s">
        <v>1236</v>
      </c>
      <c r="D94" s="377" t="s">
        <v>1237</v>
      </c>
      <c r="E94" s="377" t="s">
        <v>1238</v>
      </c>
      <c r="F94" s="377" t="s">
        <v>1239</v>
      </c>
      <c r="G94" s="376"/>
    </row>
    <row r="95" spans="1:7">
      <c r="A95" s="69" t="s">
        <v>1233</v>
      </c>
      <c r="B95" s="193"/>
      <c r="C95" s="377" t="s">
        <v>1240</v>
      </c>
      <c r="D95" s="377" t="s">
        <v>1241</v>
      </c>
      <c r="E95" s="377" t="s">
        <v>1242</v>
      </c>
      <c r="F95" s="377" t="s">
        <v>1243</v>
      </c>
      <c r="G95" s="377" t="s">
        <v>1244</v>
      </c>
    </row>
    <row r="96" spans="1:7">
      <c r="A96" s="69" t="s">
        <v>1234</v>
      </c>
      <c r="B96" s="193"/>
      <c r="C96" s="377" t="s">
        <v>1245</v>
      </c>
      <c r="D96" s="377" t="s">
        <v>1246</v>
      </c>
      <c r="E96" s="377" t="s">
        <v>1247</v>
      </c>
      <c r="F96" s="377" t="s">
        <v>1248</v>
      </c>
      <c r="G96" s="377" t="s">
        <v>1249</v>
      </c>
    </row>
    <row r="97" spans="1:7">
      <c r="A97" s="69" t="s">
        <v>1235</v>
      </c>
      <c r="B97" s="193"/>
      <c r="C97" s="377" t="s">
        <v>1250</v>
      </c>
      <c r="D97" s="377" t="s">
        <v>1251</v>
      </c>
      <c r="E97" s="377" t="s">
        <v>1252</v>
      </c>
      <c r="F97" s="377" t="s">
        <v>1253</v>
      </c>
      <c r="G97" s="377" t="s">
        <v>1254</v>
      </c>
    </row>
    <row r="98" spans="1:7">
      <c r="A98" s="378" t="s">
        <v>1260</v>
      </c>
      <c r="B98" s="193"/>
      <c r="C98" s="377" t="s">
        <v>1255</v>
      </c>
      <c r="D98" s="377" t="s">
        <v>1256</v>
      </c>
      <c r="E98" s="377" t="s">
        <v>1257</v>
      </c>
      <c r="F98" s="377" t="s">
        <v>1258</v>
      </c>
      <c r="G98" s="377" t="s">
        <v>1259</v>
      </c>
    </row>
    <row r="99" spans="1:7">
      <c r="A99" s="69"/>
      <c r="C99" s="185" t="s">
        <v>1261</v>
      </c>
    </row>
    <row r="100" spans="1:7">
      <c r="A100" t="s">
        <v>1262</v>
      </c>
      <c r="B100" t="s">
        <v>1263</v>
      </c>
      <c r="C100" s="185"/>
    </row>
    <row r="101" spans="1:7" ht="25.5">
      <c r="A101" s="379" t="s">
        <v>1264</v>
      </c>
      <c r="B101" s="381" t="s">
        <v>1265</v>
      </c>
      <c r="C101" s="381" t="s">
        <v>1266</v>
      </c>
      <c r="D101" s="376"/>
    </row>
    <row r="102" spans="1:7" ht="25.5">
      <c r="A102" s="69"/>
      <c r="B102" s="381" t="s">
        <v>1267</v>
      </c>
      <c r="C102" s="382" t="s">
        <v>1268</v>
      </c>
      <c r="D102" s="382" t="s">
        <v>1269</v>
      </c>
    </row>
    <row r="103" spans="1:7" ht="25.5">
      <c r="B103" s="1014" t="s">
        <v>1270</v>
      </c>
      <c r="C103" s="1016" t="s">
        <v>1271</v>
      </c>
      <c r="D103" s="383" t="s">
        <v>1272</v>
      </c>
    </row>
    <row r="104" spans="1:7">
      <c r="B104" s="1014"/>
      <c r="C104" s="1016"/>
      <c r="D104" s="380"/>
    </row>
    <row r="105" spans="1:7" ht="25.5">
      <c r="B105" s="1014"/>
      <c r="C105" s="1016"/>
      <c r="D105" s="383" t="s">
        <v>1273</v>
      </c>
    </row>
    <row r="106" spans="1:7">
      <c r="B106" s="1014"/>
      <c r="C106" s="1016"/>
      <c r="D106" s="380"/>
    </row>
    <row r="107" spans="1:7" ht="25.5">
      <c r="B107" s="1015"/>
      <c r="C107" s="1017"/>
      <c r="D107" s="383" t="s">
        <v>1274</v>
      </c>
    </row>
  </sheetData>
  <mergeCells count="2">
    <mergeCell ref="B103:B107"/>
    <mergeCell ref="C103:C107"/>
  </mergeCells>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384C5DC-7D22-46FC-BBB0-200584B49A46}">
      <formula1>$D$38:$F$38</formula1>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42FA8-EB59-42E7-82F5-60954EF37609}">
  <sheetPr codeName="Feuil17">
    <pageSetUpPr fitToPage="1"/>
  </sheetPr>
  <dimension ref="B1:O37"/>
  <sheetViews>
    <sheetView workbookViewId="0">
      <pane xSplit="1" ySplit="1" topLeftCell="B2" activePane="bottomRight" state="frozen"/>
      <selection pane="topRight" activeCell="B1" sqref="B1"/>
      <selection pane="bottomLeft" activeCell="A3" sqref="A3"/>
      <selection pane="bottomRight" activeCell="B30" sqref="B30"/>
    </sheetView>
  </sheetViews>
  <sheetFormatPr baseColWidth="10" defaultColWidth="10.7109375" defaultRowHeight="15"/>
  <cols>
    <col min="1" max="1" width="10.7109375" style="149"/>
    <col min="2" max="2" width="25.7109375" style="149" bestFit="1" customWidth="1"/>
    <col min="3" max="3" width="32.85546875" style="149" bestFit="1" customWidth="1"/>
    <col min="4" max="4" width="34.7109375" style="149" bestFit="1" customWidth="1"/>
    <col min="5" max="5" width="41.5703125" style="149" bestFit="1" customWidth="1"/>
    <col min="6" max="6" width="46.28515625" style="149" bestFit="1" customWidth="1"/>
    <col min="7" max="7" width="22" style="149" bestFit="1" customWidth="1"/>
    <col min="8" max="8" width="7.42578125" style="149" bestFit="1" customWidth="1"/>
    <col min="9" max="9" width="11.42578125" style="149" bestFit="1" customWidth="1"/>
    <col min="10" max="10" width="26.7109375" style="149" bestFit="1" customWidth="1"/>
    <col min="11" max="11" width="13.140625" style="149" bestFit="1" customWidth="1"/>
    <col min="12" max="12" width="9.5703125" style="149" bestFit="1" customWidth="1"/>
    <col min="13" max="13" width="8.85546875" style="149" bestFit="1" customWidth="1"/>
    <col min="14" max="14" width="12.7109375" style="149" bestFit="1" customWidth="1"/>
    <col min="15" max="15" width="15.5703125" style="149" bestFit="1" customWidth="1"/>
    <col min="16" max="16384" width="10.7109375" style="149"/>
  </cols>
  <sheetData>
    <row r="1" spans="2:15">
      <c r="B1" s="406" t="s">
        <v>1047</v>
      </c>
    </row>
    <row r="2" spans="2:15">
      <c r="B2" s="25" t="s">
        <v>1049</v>
      </c>
      <c r="C2" s="149" t="s">
        <v>1050</v>
      </c>
      <c r="G2" s="405"/>
    </row>
    <row r="3" spans="2:15">
      <c r="B3" s="25" t="s">
        <v>1051</v>
      </c>
      <c r="C3" s="405" t="s">
        <v>134</v>
      </c>
      <c r="D3" s="405" t="s">
        <v>136</v>
      </c>
      <c r="E3" s="405" t="s">
        <v>137</v>
      </c>
      <c r="F3" s="405" t="s">
        <v>138</v>
      </c>
      <c r="G3" s="405" t="s">
        <v>333</v>
      </c>
      <c r="H3" s="405" t="s">
        <v>142</v>
      </c>
      <c r="I3" s="405" t="s">
        <v>1052</v>
      </c>
      <c r="J3" s="407" t="s">
        <v>1053</v>
      </c>
      <c r="K3" s="149" t="s">
        <v>1301</v>
      </c>
    </row>
    <row r="4" spans="2:15">
      <c r="B4" s="25" t="s">
        <v>1054</v>
      </c>
      <c r="C4" s="405" t="s">
        <v>139</v>
      </c>
      <c r="D4" s="149" t="s">
        <v>1055</v>
      </c>
      <c r="E4" s="149" t="s">
        <v>1295</v>
      </c>
      <c r="F4" s="405" t="s">
        <v>1056</v>
      </c>
      <c r="G4" s="149" t="s">
        <v>1057</v>
      </c>
    </row>
    <row r="5" spans="2:15">
      <c r="B5" s="25" t="s">
        <v>1058</v>
      </c>
      <c r="C5" s="405" t="s">
        <v>1059</v>
      </c>
      <c r="D5" s="405" t="s">
        <v>1060</v>
      </c>
      <c r="E5" s="405" t="s">
        <v>1061</v>
      </c>
      <c r="K5" s="405"/>
    </row>
    <row r="6" spans="2:15">
      <c r="B6" s="25" t="s">
        <v>1062</v>
      </c>
      <c r="C6" s="405" t="s">
        <v>1063</v>
      </c>
      <c r="D6" s="405" t="s">
        <v>1064</v>
      </c>
      <c r="E6" s="405" t="s">
        <v>1065</v>
      </c>
      <c r="F6" s="405" t="s">
        <v>1066</v>
      </c>
      <c r="G6" s="405" t="s">
        <v>1067</v>
      </c>
      <c r="H6" s="149" t="s">
        <v>1068</v>
      </c>
      <c r="I6" s="149" t="s">
        <v>1069</v>
      </c>
      <c r="K6" s="405"/>
    </row>
    <row r="7" spans="2:15">
      <c r="B7" s="25" t="s">
        <v>1070</v>
      </c>
      <c r="C7" s="405" t="s">
        <v>1071</v>
      </c>
      <c r="D7" s="405" t="s">
        <v>1072</v>
      </c>
      <c r="E7" s="405" t="s">
        <v>1073</v>
      </c>
      <c r="F7" s="149" t="s">
        <v>1074</v>
      </c>
      <c r="K7" s="405"/>
    </row>
    <row r="8" spans="2:15">
      <c r="B8" s="25" t="s">
        <v>1075</v>
      </c>
      <c r="C8" s="149" t="s">
        <v>144</v>
      </c>
      <c r="D8" s="149" t="s">
        <v>1076</v>
      </c>
      <c r="E8" s="149" t="s">
        <v>1077</v>
      </c>
      <c r="G8" s="405" t="s">
        <v>339</v>
      </c>
    </row>
    <row r="9" spans="2:15">
      <c r="B9" s="25" t="s">
        <v>1078</v>
      </c>
      <c r="C9" s="405" t="s">
        <v>1079</v>
      </c>
      <c r="D9" s="405" t="s">
        <v>1056</v>
      </c>
      <c r="E9" s="405" t="s">
        <v>162</v>
      </c>
    </row>
    <row r="10" spans="2:15">
      <c r="B10" s="25" t="s">
        <v>1080</v>
      </c>
      <c r="C10" s="405" t="s">
        <v>497</v>
      </c>
      <c r="G10" s="405"/>
      <c r="K10" s="405"/>
    </row>
    <row r="11" spans="2:15">
      <c r="B11" s="25" t="s">
        <v>1048</v>
      </c>
      <c r="C11" s="149" t="s">
        <v>1081</v>
      </c>
      <c r="D11" s="405" t="s">
        <v>1082</v>
      </c>
      <c r="E11" s="405" t="s">
        <v>1083</v>
      </c>
      <c r="F11" s="149" t="s">
        <v>1084</v>
      </c>
      <c r="G11" s="408" t="s">
        <v>1085</v>
      </c>
      <c r="L11" s="405"/>
    </row>
    <row r="12" spans="2:15">
      <c r="B12" s="25" t="s">
        <v>1086</v>
      </c>
      <c r="C12" s="405" t="s">
        <v>1087</v>
      </c>
      <c r="D12" s="149" t="s">
        <v>1088</v>
      </c>
      <c r="E12" s="149" t="s">
        <v>1300</v>
      </c>
      <c r="K12" s="405"/>
    </row>
    <row r="13" spans="2:15">
      <c r="B13" s="25" t="s">
        <v>1089</v>
      </c>
      <c r="C13" s="405" t="s">
        <v>1090</v>
      </c>
      <c r="D13" s="149" t="s">
        <v>1091</v>
      </c>
      <c r="E13" s="409" t="s">
        <v>1092</v>
      </c>
      <c r="F13" s="149" t="s">
        <v>1299</v>
      </c>
      <c r="K13" s="405"/>
    </row>
    <row r="14" spans="2:15">
      <c r="B14" s="25" t="s">
        <v>1093</v>
      </c>
      <c r="C14" s="405" t="s">
        <v>1094</v>
      </c>
      <c r="D14" s="405" t="s">
        <v>1095</v>
      </c>
      <c r="E14" s="405" t="s">
        <v>188</v>
      </c>
      <c r="F14" s="405" t="s">
        <v>1096</v>
      </c>
      <c r="G14" s="405" t="s">
        <v>1097</v>
      </c>
      <c r="H14" s="405" t="s">
        <v>193</v>
      </c>
      <c r="I14" s="405" t="s">
        <v>1098</v>
      </c>
      <c r="J14" s="405" t="s">
        <v>1099</v>
      </c>
      <c r="K14" s="405" t="s">
        <v>1100</v>
      </c>
      <c r="L14" s="405" t="s">
        <v>358</v>
      </c>
      <c r="M14" s="405" t="s">
        <v>1101</v>
      </c>
      <c r="N14" s="405" t="s">
        <v>1102</v>
      </c>
      <c r="O14" s="149" t="s">
        <v>1103</v>
      </c>
    </row>
    <row r="15" spans="2:15">
      <c r="B15" s="25" t="s">
        <v>1104</v>
      </c>
      <c r="C15" s="149" t="s">
        <v>1105</v>
      </c>
      <c r="K15" s="405"/>
    </row>
    <row r="16" spans="2:15">
      <c r="B16" s="25" t="s">
        <v>1109</v>
      </c>
      <c r="C16" s="149" t="s">
        <v>1110</v>
      </c>
      <c r="K16" s="405"/>
    </row>
    <row r="17" spans="2:11">
      <c r="B17" s="25" t="s">
        <v>1106</v>
      </c>
      <c r="C17" s="149" t="s">
        <v>1107</v>
      </c>
      <c r="K17" s="405"/>
    </row>
    <row r="18" spans="2:11">
      <c r="B18" s="25" t="s">
        <v>1111</v>
      </c>
      <c r="C18" s="149" t="s">
        <v>1297</v>
      </c>
      <c r="D18" s="149" t="s">
        <v>1296</v>
      </c>
      <c r="E18" s="149" t="s">
        <v>1298</v>
      </c>
      <c r="K18" s="405"/>
    </row>
    <row r="19" spans="2:11">
      <c r="B19" s="25" t="s">
        <v>1108</v>
      </c>
      <c r="K19" s="405"/>
    </row>
    <row r="20" spans="2:11">
      <c r="B20" s="25"/>
    </row>
    <row r="21" spans="2:11">
      <c r="B21" s="316" t="s">
        <v>1112</v>
      </c>
    </row>
    <row r="22" spans="2:11">
      <c r="B22" s="316" t="s">
        <v>921</v>
      </c>
    </row>
    <row r="23" spans="2:11">
      <c r="B23" s="25" t="s">
        <v>1113</v>
      </c>
    </row>
    <row r="24" spans="2:11">
      <c r="B24" s="25" t="s">
        <v>42</v>
      </c>
    </row>
    <row r="25" spans="2:11">
      <c r="B25" s="25" t="s">
        <v>1197</v>
      </c>
    </row>
    <row r="26" spans="2:11">
      <c r="B26" s="25" t="s">
        <v>919</v>
      </c>
    </row>
    <row r="27" spans="2:11">
      <c r="B27" s="25" t="s">
        <v>928</v>
      </c>
    </row>
    <row r="28" spans="2:11">
      <c r="B28" s="25" t="s">
        <v>929</v>
      </c>
    </row>
    <row r="29" spans="2:11">
      <c r="B29" s="25" t="s">
        <v>1403</v>
      </c>
    </row>
    <row r="30" spans="2:11">
      <c r="B30" s="25" t="s">
        <v>1198</v>
      </c>
    </row>
    <row r="31" spans="2:11">
      <c r="B31" s="25" t="s">
        <v>1199</v>
      </c>
    </row>
    <row r="32" spans="2:11">
      <c r="B32" s="25" t="s">
        <v>931</v>
      </c>
    </row>
    <row r="33" spans="2:2">
      <c r="B33" s="25" t="s">
        <v>930</v>
      </c>
    </row>
    <row r="34" spans="2:2">
      <c r="B34" s="25" t="s">
        <v>1293</v>
      </c>
    </row>
    <row r="35" spans="2:2">
      <c r="B35" s="25" t="s">
        <v>1200</v>
      </c>
    </row>
    <row r="36" spans="2:2">
      <c r="B36" s="25" t="s">
        <v>1201</v>
      </c>
    </row>
    <row r="37" spans="2:2">
      <c r="B37" s="25" t="s">
        <v>1294</v>
      </c>
    </row>
  </sheetData>
  <pageMargins left="0.7" right="0.7" top="0.75" bottom="0.75" header="0.3" footer="0.3"/>
  <pageSetup scale="3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zoomScale="75" zoomScaleNormal="75" zoomScaleSheetLayoutView="75" workbookViewId="0">
      <selection activeCell="C37" sqref="C37"/>
    </sheetView>
  </sheetViews>
  <sheetFormatPr baseColWidth="10" defaultColWidth="10.85546875" defaultRowHeight="26.25"/>
  <cols>
    <col min="1" max="1" width="72.7109375" style="231" customWidth="1"/>
    <col min="2" max="2" width="54" style="232" customWidth="1"/>
    <col min="3" max="3" width="255.7109375" style="42" bestFit="1" customWidth="1"/>
    <col min="4" max="16384" width="10.85546875" style="220"/>
  </cols>
  <sheetData>
    <row r="1" spans="1:3">
      <c r="A1" s="43" t="s">
        <v>238</v>
      </c>
      <c r="B1" s="37" t="s">
        <v>244</v>
      </c>
      <c r="C1" s="40" t="s">
        <v>549</v>
      </c>
    </row>
    <row r="2" spans="1:3" ht="93">
      <c r="A2" s="841" t="s">
        <v>54</v>
      </c>
      <c r="B2" s="262">
        <f>calculRISKS!V2</f>
        <v>0</v>
      </c>
      <c r="C2" s="41" t="s">
        <v>582</v>
      </c>
    </row>
    <row r="3" spans="1:3" ht="116.25">
      <c r="A3" s="841" t="s">
        <v>35</v>
      </c>
      <c r="B3" s="39">
        <f>calculRISKS!V3</f>
        <v>0</v>
      </c>
      <c r="C3" s="41" t="s">
        <v>570</v>
      </c>
    </row>
    <row r="4" spans="1:3" ht="46.5">
      <c r="A4" s="44" t="s">
        <v>36</v>
      </c>
      <c r="B4" s="39">
        <f>calculRISKS!V4</f>
        <v>6.9822857142856937E-2</v>
      </c>
      <c r="C4" s="41" t="s">
        <v>583</v>
      </c>
    </row>
    <row r="5" spans="1:3" ht="93">
      <c r="A5" s="44" t="s">
        <v>37</v>
      </c>
      <c r="B5" s="39">
        <f>calculRISKS!V5</f>
        <v>7.9650000000001678E-2</v>
      </c>
      <c r="C5" s="41" t="s">
        <v>581</v>
      </c>
    </row>
    <row r="6" spans="1:3" ht="93">
      <c r="A6" s="44" t="s">
        <v>38</v>
      </c>
      <c r="B6" s="39">
        <f>calculRISKS!V6</f>
        <v>2.7126857142857119E-2</v>
      </c>
      <c r="C6" s="41" t="s">
        <v>571</v>
      </c>
    </row>
    <row r="7" spans="1:3" ht="93">
      <c r="A7" s="44" t="s">
        <v>248</v>
      </c>
      <c r="B7" s="39">
        <f>calculRISKS!V7</f>
        <v>1.9266368008553577E-2</v>
      </c>
      <c r="C7" s="41" t="s">
        <v>584</v>
      </c>
    </row>
    <row r="8" spans="1:3" ht="93">
      <c r="A8" s="44" t="s">
        <v>250</v>
      </c>
      <c r="B8" s="39" t="e">
        <f>calculRISKS!V8</f>
        <v>#DIV/0!</v>
      </c>
      <c r="C8" s="41" t="s">
        <v>572</v>
      </c>
    </row>
    <row r="9" spans="1:3" ht="93">
      <c r="A9" s="44" t="s">
        <v>41</v>
      </c>
      <c r="B9" s="39">
        <f>calculRISKS!V9</f>
        <v>8.0000000000000016E-2</v>
      </c>
      <c r="C9" s="42" t="s">
        <v>573</v>
      </c>
    </row>
    <row r="10" spans="1:3" ht="93">
      <c r="A10" s="44" t="s">
        <v>42</v>
      </c>
      <c r="B10" s="39">
        <f>calculRISKS!V10</f>
        <v>1</v>
      </c>
      <c r="C10" s="42" t="s">
        <v>576</v>
      </c>
    </row>
    <row r="11" spans="1:3" ht="116.25">
      <c r="A11" s="44" t="s">
        <v>246</v>
      </c>
      <c r="B11" s="39">
        <f>calculRISKS!V11</f>
        <v>2.59714285714286E-2</v>
      </c>
      <c r="C11" s="42" t="s">
        <v>575</v>
      </c>
    </row>
    <row r="12" spans="1:3" ht="93">
      <c r="A12" s="44" t="s">
        <v>44</v>
      </c>
      <c r="B12" s="39">
        <f>calculRISKS!V12</f>
        <v>9.2142857142857165E-2</v>
      </c>
      <c r="C12" s="221" t="s">
        <v>574</v>
      </c>
    </row>
    <row r="13" spans="1:3" ht="139.5">
      <c r="A13" s="44" t="s">
        <v>45</v>
      </c>
      <c r="B13" s="39">
        <f>calculRISKS!V13</f>
        <v>2.1600000000000001E-2</v>
      </c>
      <c r="C13" s="222" t="s">
        <v>585</v>
      </c>
    </row>
    <row r="14" spans="1:3" ht="116.25">
      <c r="A14" s="44" t="s">
        <v>46</v>
      </c>
      <c r="B14" s="39">
        <f>calculRISKS!V14</f>
        <v>4.3200000000000002E-2</v>
      </c>
      <c r="C14" s="223" t="s">
        <v>586</v>
      </c>
    </row>
    <row r="15" spans="1:3" ht="139.5">
      <c r="A15" s="44" t="s">
        <v>47</v>
      </c>
      <c r="B15" s="39">
        <f>calculRISKS!V15</f>
        <v>6.4372440546666659E-2</v>
      </c>
      <c r="C15" s="221" t="s">
        <v>587</v>
      </c>
    </row>
    <row r="16" spans="1:3" ht="139.5">
      <c r="A16" s="44" t="s">
        <v>48</v>
      </c>
      <c r="B16" s="39">
        <f>calculRISKS!V16</f>
        <v>0.19311732163999998</v>
      </c>
      <c r="C16" s="222" t="s">
        <v>577</v>
      </c>
    </row>
    <row r="17" spans="1:3" ht="69.75">
      <c r="A17" s="44" t="s">
        <v>49</v>
      </c>
      <c r="B17" s="39">
        <f>calculRISKS!V17</f>
        <v>2.6452381196887587E-2</v>
      </c>
      <c r="C17" s="222" t="s">
        <v>588</v>
      </c>
    </row>
    <row r="18" spans="1:3" ht="69.75">
      <c r="A18" s="224" t="s">
        <v>247</v>
      </c>
      <c r="B18" s="39">
        <f>calculRISKS!V18</f>
        <v>5.2767361561490589E-2</v>
      </c>
      <c r="C18" s="222" t="s">
        <v>578</v>
      </c>
    </row>
    <row r="19" spans="1:3" ht="139.5">
      <c r="A19" s="44" t="s">
        <v>51</v>
      </c>
      <c r="B19" s="39">
        <f>calculRISKS!V19</f>
        <v>6.4799999999999996E-2</v>
      </c>
      <c r="C19" s="222" t="s">
        <v>589</v>
      </c>
    </row>
    <row r="20" spans="1:3" ht="93">
      <c r="A20" s="44" t="s">
        <v>52</v>
      </c>
      <c r="B20" s="39">
        <f>calculRISKS!V20</f>
        <v>2.7037635371791112E-3</v>
      </c>
      <c r="C20" s="222" t="s">
        <v>579</v>
      </c>
    </row>
    <row r="21" spans="1:3" ht="162.75">
      <c r="A21" s="44" t="s">
        <v>96</v>
      </c>
      <c r="B21" s="38">
        <f>calculRISKS!V21</f>
        <v>5.0128597402597529E-2</v>
      </c>
      <c r="C21" s="221" t="s">
        <v>590</v>
      </c>
    </row>
    <row r="22" spans="1:3" ht="69.75">
      <c r="A22" s="44" t="s">
        <v>607</v>
      </c>
      <c r="B22" s="39">
        <f>calculRISKS!V22</f>
        <v>1.5806989436639652E-2</v>
      </c>
      <c r="C22" s="148" t="s">
        <v>606</v>
      </c>
    </row>
    <row r="23" spans="1:3" s="227" customFormat="1">
      <c r="A23" s="225" t="s">
        <v>240</v>
      </c>
      <c r="B23" s="45" t="s">
        <v>245</v>
      </c>
      <c r="C23" s="226"/>
    </row>
    <row r="24" spans="1:3">
      <c r="A24" s="44" t="s">
        <v>251</v>
      </c>
      <c r="B24" s="228">
        <f>1-(ImportQuestion!H125/9)</f>
        <v>0.66666666666666674</v>
      </c>
      <c r="C24" s="229" t="s">
        <v>760</v>
      </c>
    </row>
    <row r="25" spans="1:3">
      <c r="A25" s="250" t="s">
        <v>776</v>
      </c>
      <c r="B25" s="228">
        <f>1-((ImportQuestion!F209+ImportQuestion!G267)/4)</f>
        <v>1</v>
      </c>
      <c r="C25" s="229" t="s">
        <v>761</v>
      </c>
    </row>
    <row r="26" spans="1:3">
      <c r="A26" s="44" t="s">
        <v>252</v>
      </c>
      <c r="B26" s="228">
        <f>1-(ImportQuestion!F214/3)</f>
        <v>0.66666666666666674</v>
      </c>
      <c r="C26" s="229" t="s">
        <v>762</v>
      </c>
    </row>
    <row r="27" spans="1:3">
      <c r="A27" s="44" t="s">
        <v>253</v>
      </c>
      <c r="B27" s="228">
        <f>1-(ImportQuestion!F219/3)</f>
        <v>1</v>
      </c>
      <c r="C27" s="229" t="s">
        <v>763</v>
      </c>
    </row>
    <row r="28" spans="1:3">
      <c r="A28" s="44" t="s">
        <v>254</v>
      </c>
      <c r="B28" s="228">
        <f>1-(ImportQuestion!F224+ImportQuestion!G270)/4</f>
        <v>1</v>
      </c>
      <c r="C28" s="229" t="s">
        <v>764</v>
      </c>
    </row>
    <row r="29" spans="1:3">
      <c r="A29" s="250" t="s">
        <v>783</v>
      </c>
      <c r="B29" s="228">
        <f>1-(ImportQuestion!H140/6)</f>
        <v>0</v>
      </c>
      <c r="C29" s="229" t="s">
        <v>765</v>
      </c>
    </row>
    <row r="30" spans="1:3" ht="46.5">
      <c r="A30" s="230" t="s">
        <v>745</v>
      </c>
      <c r="B30" s="228">
        <f>1-ImportQuestion!G261</f>
        <v>1</v>
      </c>
      <c r="C30" s="252" t="s">
        <v>785</v>
      </c>
    </row>
    <row r="31" spans="1:3">
      <c r="A31" s="230" t="s">
        <v>746</v>
      </c>
      <c r="B31" s="228">
        <f>1-ImportQuestion!G264</f>
        <v>1</v>
      </c>
      <c r="C31" s="253" t="s">
        <v>784</v>
      </c>
    </row>
    <row r="32" spans="1:3">
      <c r="A32" s="251" t="s">
        <v>775</v>
      </c>
      <c r="B32" s="228">
        <f>1-((ImportQuestion!G122+ImportQuestion!G258)/2)</f>
        <v>1</v>
      </c>
    </row>
    <row r="33" spans="1:2">
      <c r="A33" s="251" t="s">
        <v>777</v>
      </c>
      <c r="B33" s="228">
        <f>1-(ImportQuestion!G273+ImportQuestion!G122)/2</f>
        <v>1</v>
      </c>
    </row>
    <row r="34" spans="1:2">
      <c r="A34" s="44"/>
      <c r="B34" s="38"/>
    </row>
    <row r="35" spans="1:2">
      <c r="A35" s="44"/>
      <c r="B35" s="38"/>
    </row>
    <row r="36" spans="1:2">
      <c r="A36" s="44"/>
      <c r="B36" s="38"/>
    </row>
    <row r="37" spans="1:2">
      <c r="A37" s="44"/>
      <c r="B37" s="38"/>
    </row>
    <row r="38" spans="1:2">
      <c r="A38" s="44"/>
      <c r="B38" s="38"/>
    </row>
    <row r="39" spans="1:2">
      <c r="A39" s="44"/>
      <c r="B39" s="38"/>
    </row>
    <row r="40" spans="1:2">
      <c r="A40" s="44"/>
      <c r="B40" s="38"/>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AEA31-949A-4CE5-A9D3-8099A1BC7B77}">
  <sheetPr codeName="Feuil13"/>
  <dimension ref="A1:C41"/>
  <sheetViews>
    <sheetView zoomScale="85" zoomScaleNormal="85" workbookViewId="0">
      <selection activeCell="C5" sqref="C5"/>
    </sheetView>
  </sheetViews>
  <sheetFormatPr baseColWidth="10" defaultColWidth="10.7109375" defaultRowHeight="15"/>
  <cols>
    <col min="1" max="1" width="32.28515625" style="316" bestFit="1" customWidth="1"/>
    <col min="2" max="2" width="131.140625" style="435" bestFit="1" customWidth="1"/>
    <col min="3" max="3" width="60.28515625" style="374" customWidth="1"/>
    <col min="4" max="16384" width="10.7109375" style="366"/>
  </cols>
  <sheetData>
    <row r="1" spans="1:3">
      <c r="A1" s="871" t="s">
        <v>2675</v>
      </c>
      <c r="B1" s="872" t="s">
        <v>2676</v>
      </c>
      <c r="C1" s="873" t="s">
        <v>2677</v>
      </c>
    </row>
    <row r="2" spans="1:3" ht="54.6" customHeight="1">
      <c r="A2" s="316" t="s">
        <v>1344</v>
      </c>
      <c r="B2" s="891"/>
      <c r="C2" s="874" t="str">
        <f>AFaire!AF208&amp;AFaire!AG208&amp;AFaire!AH208&amp;AFaire!AE208</f>
        <v xml:space="preserve">Questionnaire AUDIT, Questionnaire CAST (Cannabis), Questionnaire Santé mental, Questionnaire Nutritionnel, </v>
      </c>
    </row>
    <row r="3" spans="1:3" ht="120">
      <c r="A3" s="316" t="s">
        <v>1343</v>
      </c>
      <c r="B3" s="892"/>
      <c r="C3" s="868" t="str">
        <f>AFaire!E208&amp;AFaire!G208&amp;AFaire!H208&amp;AFaire!I208&amp;AFaire!J208&amp;AFaire!K208&amp;AFaire!L208&amp;AFaire!M208&amp;AFaire!N208&amp;AFaire!O208&amp;AFaire!P208&amp;AFaire!Q208&amp;AFaire!R208&amp;AFaire!S208&amp;AFaire!T208&amp;AFaire!U208&amp;AFaire!V208&amp;AFaire!W208&amp;AFaire!X208&amp;AFaire!Y208&amp;AFaire!Z208&amp;AFaire!AA208&amp;AFaire!AB208&amp;AFaire!AC208&amp;AFaire!BS208</f>
        <v xml:space="preserve">Glycémie, Hb1Ac, Insuline et indice HOMA-IR, Cholestérol Total et fractions HDL et LDL, Triglycérides, Electrophorèse des protéinesASAT, ALAT, GGT Oestradiol FSH; Cortisol; Sulfate DHEA, Vitamine D2-D3, Vitamine B6; Magnésium sang,  Fer sérique, Ferritine, Coefficient saturation, CPK, TSH,  Créatininémie, DFG,  ECBU,  Cytologie urinaire avec recherche d'atypie celllaire,  test immunochimique fécal (TIF), IgE spécifique, Cotinurie, Methylation AHRR, -Lipoproteine a, Score ROMA (Ovaire), </v>
      </c>
    </row>
    <row r="4" spans="1:3" ht="55.9" customHeight="1">
      <c r="A4" s="316" t="s">
        <v>1369</v>
      </c>
      <c r="B4" s="892"/>
      <c r="C4" s="874" t="str">
        <f>AFaire!AX208&amp;AFaire!AY208&amp;AFaire!AZ208&amp;AFaire!BA208</f>
        <v>Supplémentation VitaD, Supplémentation Vitamine B12, Supplémentation Vitamine B6, Supplémentation Ubiquinol,</v>
      </c>
    </row>
    <row r="5" spans="1:3" ht="45">
      <c r="A5" s="316" t="s">
        <v>1380</v>
      </c>
      <c r="B5" s="892"/>
      <c r="C5" s="874" t="str">
        <f>AFaire!AI208&amp;AFaire!AJ208&amp;AFaire!AK208&amp;AFaire!AL208&amp;AFaire!AM208&amp;AFaire!AN208&amp;AFaire!AO208&amp;AFaire!AP208&amp;AFaire!AQ208&amp;AFaire!AR208&amp;AFaire!AS208&amp;AFaire!AV208</f>
        <v xml:space="preserve">Cs Trouble du sommeil, Cs Addictologie, Cs Bucco-dentaire,  Cs Cardiologie, Cs Pneumo-allergologie, Cs Gynécologie,    Cs Ophtalmologie, </v>
      </c>
    </row>
    <row r="6" spans="1:3" ht="30">
      <c r="A6" s="316" t="s">
        <v>1368</v>
      </c>
      <c r="B6" s="891"/>
      <c r="C6" s="874" t="str">
        <f>AFaire!BG208&amp;AFaire!BN208&amp;AFaire!BO208&amp;AFaire!BP208&amp;AFaire!BQ208&amp;AFaire!BG169&amp;AFaire!AT208</f>
        <v xml:space="preserve">Prévention cancer du col utérin, Dépistage  cancer du sein, Dépistage  cancer du colon,  Dépistage cancer du poumon,  </v>
      </c>
    </row>
    <row r="7" spans="1:3" ht="30">
      <c r="A7" s="316" t="s">
        <v>1425</v>
      </c>
      <c r="B7" s="891"/>
      <c r="C7" s="868" t="str">
        <f>AFaire!BB208&amp;AFaire!BC208&amp;AFaire!BD208</f>
        <v xml:space="preserve"> Vaccination Tetanos (diphtérie, coqueluche, polio), ou Test IgG,  Vaccination grippe, </v>
      </c>
    </row>
    <row r="8" spans="1:3" ht="30">
      <c r="A8" s="316" t="s">
        <v>2230</v>
      </c>
      <c r="B8" s="892"/>
      <c r="C8" s="874" t="str">
        <f>AFaire!BU208&amp;AFaire!BV208&amp;AFaire!BW208&amp;AFaire!BX208&amp;AFaire!BY208&amp;AFaire!BZ208&amp;AFaire!CA208&amp;AFaire!CB208&amp;AFaire!CC208&amp;AFaire!CD208&amp;AFaire!CE208&amp;AFaire!CF208&amp;AFaire!CG208&amp;AFaire!CH208&amp;AFaire!CI208&amp;AFaire!CJ208&amp;AFaire!CK208&amp;AFaire!CL208</f>
        <v xml:space="preserve">          Echographie hépatique (splénique) Scanner CoronnaireEcho-doppler vasculaire artériel    </v>
      </c>
    </row>
    <row r="9" spans="1:3">
      <c r="A9" s="425" t="s">
        <v>503</v>
      </c>
      <c r="B9" s="434" t="s">
        <v>313</v>
      </c>
      <c r="C9" s="438">
        <f>AUTOQUESTIONNAIRE!F6-100-((AUTOQUESTIONNAIRE!F6-150)/4)</f>
        <v>72.5</v>
      </c>
    </row>
    <row r="10" spans="1:3">
      <c r="A10" s="425" t="s">
        <v>1964</v>
      </c>
      <c r="B10" s="434" t="s">
        <v>1966</v>
      </c>
      <c r="C10" s="438">
        <f>CommentairesAnalyses!B115</f>
        <v>68</v>
      </c>
    </row>
    <row r="11" spans="1:3" ht="30">
      <c r="A11" s="426" t="s">
        <v>594</v>
      </c>
      <c r="B11" s="434" t="s">
        <v>278</v>
      </c>
      <c r="C11" s="438">
        <f>((10*AUTOQUESTIONNAIRE!F7)+(6.25*AUTOQUESTIONNAIRE!F6)-(5*AUTOQUESTIONNAIRE!F4+5))/1000</f>
        <v>1.4450000000000001</v>
      </c>
    </row>
    <row r="12" spans="1:3" ht="30">
      <c r="A12" s="426" t="s">
        <v>598</v>
      </c>
      <c r="B12" s="434" t="s">
        <v>279</v>
      </c>
      <c r="C12" s="438">
        <f>C11*0.86</f>
        <v>1.2427000000000001</v>
      </c>
    </row>
    <row r="13" spans="1:3" ht="30">
      <c r="A13" s="426" t="s">
        <v>595</v>
      </c>
      <c r="B13" s="434" t="s">
        <v>280</v>
      </c>
      <c r="C13" s="438">
        <f>C11*1.14</f>
        <v>1.6473</v>
      </c>
    </row>
    <row r="14" spans="1:3" ht="30">
      <c r="A14" s="427" t="s">
        <v>1455</v>
      </c>
      <c r="B14" s="432" t="s">
        <v>538</v>
      </c>
      <c r="C14" s="438">
        <v>3.8</v>
      </c>
    </row>
    <row r="15" spans="1:3" ht="45">
      <c r="A15" s="427" t="s">
        <v>568</v>
      </c>
      <c r="B15" s="432" t="s">
        <v>539</v>
      </c>
      <c r="C15" s="438">
        <f>0.8*C9</f>
        <v>58</v>
      </c>
    </row>
    <row r="16" spans="1:3" ht="60">
      <c r="A16" s="427" t="s">
        <v>1470</v>
      </c>
      <c r="B16" s="433" t="s">
        <v>385</v>
      </c>
      <c r="C16" s="438">
        <f>IF(AUTOQUESTIONNAIRE!H3=1,2,1.8)</f>
        <v>1.8</v>
      </c>
    </row>
    <row r="17" spans="1:3" ht="30">
      <c r="A17" s="427" t="s">
        <v>1456</v>
      </c>
      <c r="B17" s="436" t="s">
        <v>1457</v>
      </c>
      <c r="C17" s="438" t="s">
        <v>2697</v>
      </c>
    </row>
    <row r="18" spans="1:3" ht="30">
      <c r="A18" s="428" t="s">
        <v>1304</v>
      </c>
      <c r="B18" s="429" t="s">
        <v>1309</v>
      </c>
      <c r="C18" s="438">
        <f>207.5-(0.78*AUTOQUESTIONNAIRE!F4)</f>
        <v>156.80000000000001</v>
      </c>
    </row>
    <row r="19" spans="1:3" ht="30">
      <c r="A19" s="428" t="s">
        <v>1305</v>
      </c>
      <c r="B19" s="429" t="s">
        <v>1308</v>
      </c>
      <c r="C19" s="438">
        <f>208.3-(0.74*AUTOQUESTIONNAIRE!F4)</f>
        <v>160.20000000000002</v>
      </c>
    </row>
    <row r="20" spans="1:3" ht="30">
      <c r="A20" s="428" t="s">
        <v>1376</v>
      </c>
      <c r="B20" s="430" t="s">
        <v>1307</v>
      </c>
      <c r="C20" s="438">
        <f>70%*(C18-F183)+F183</f>
        <v>109.76</v>
      </c>
    </row>
    <row r="21" spans="1:3" ht="30">
      <c r="A21" s="428" t="s">
        <v>1377</v>
      </c>
      <c r="B21" s="431" t="s">
        <v>1307</v>
      </c>
      <c r="C21" s="438">
        <f>70%*(C19-F183)+F183</f>
        <v>112.14</v>
      </c>
    </row>
    <row r="22" spans="1:3" ht="45">
      <c r="A22" s="428" t="s">
        <v>1473</v>
      </c>
      <c r="B22" s="431" t="s">
        <v>624</v>
      </c>
      <c r="C22" s="374">
        <f>((AUTOQUESTIONNAIRE!F220-70)+2*(AUTOQUESTIONNAIRE!F221-AUTOQUESTIONNAIRE!F217))/10</f>
        <v>1</v>
      </c>
    </row>
    <row r="23" spans="1:3" ht="30">
      <c r="A23" s="439" t="s">
        <v>1967</v>
      </c>
      <c r="B23" s="430" t="s">
        <v>1968</v>
      </c>
      <c r="C23" s="438">
        <f>MAX(AUTOQUESTIONNAIRE!G215:H215)</f>
        <v>86.399999999999991</v>
      </c>
    </row>
    <row r="24" spans="1:3">
      <c r="A24" s="439" t="s">
        <v>1974</v>
      </c>
      <c r="B24" s="441" t="s">
        <v>1975</v>
      </c>
      <c r="C24" s="438">
        <f>MAX(AUTOQUESTIONNAIRE!G216:H216)</f>
        <v>40.5</v>
      </c>
    </row>
    <row r="25" spans="1:3" ht="30">
      <c r="A25" s="440" t="s">
        <v>506</v>
      </c>
      <c r="B25" s="430" t="s">
        <v>276</v>
      </c>
      <c r="C25" s="374">
        <f>AUTOQUESTIONNAIRE!F219</f>
        <v>65</v>
      </c>
    </row>
    <row r="26" spans="1:3" ht="30">
      <c r="A26" s="440" t="s">
        <v>507</v>
      </c>
      <c r="B26" s="430" t="s">
        <v>277</v>
      </c>
      <c r="C26" s="374">
        <f>AUTOQUESTIONNAIRE!F218</f>
        <v>110</v>
      </c>
    </row>
    <row r="27" spans="1:3">
      <c r="A27" s="316" t="s">
        <v>2702</v>
      </c>
      <c r="B27" s="882" t="s">
        <v>2703</v>
      </c>
      <c r="C27" s="374">
        <f>AUTOQUESTIONNAIRE!H249</f>
        <v>0.3</v>
      </c>
    </row>
    <row r="28" spans="1:3">
      <c r="A28" s="316" t="s">
        <v>2708</v>
      </c>
      <c r="B28" s="886" t="s">
        <v>2711</v>
      </c>
      <c r="C28" s="374">
        <f>AUTOQUESTIONNAIRE!G346</f>
        <v>10</v>
      </c>
    </row>
    <row r="29" spans="1:3">
      <c r="A29" s="316" t="s">
        <v>2709</v>
      </c>
      <c r="B29" s="882" t="s">
        <v>2710</v>
      </c>
      <c r="C29" s="374">
        <f>AUTOQUESTIONNAIRE!G347</f>
        <v>40</v>
      </c>
    </row>
    <row r="30" spans="1:3">
      <c r="A30" s="316" t="s">
        <v>2721</v>
      </c>
      <c r="B30" s="888" t="s">
        <v>2722</v>
      </c>
      <c r="C30" s="374">
        <f>AUTOQUESTIONNAIRE!F228</f>
        <v>99</v>
      </c>
    </row>
    <row r="31" spans="1:3">
      <c r="B31" s="882"/>
    </row>
    <row r="32" spans="1:3">
      <c r="B32" s="882"/>
    </row>
    <row r="33" spans="1:3">
      <c r="A33" s="649" t="s">
        <v>240</v>
      </c>
      <c r="B33" s="876"/>
    </row>
    <row r="34" spans="1:3" ht="15.75">
      <c r="A34" s="649" t="s">
        <v>251</v>
      </c>
      <c r="B34" s="876" t="s">
        <v>760</v>
      </c>
      <c r="C34" s="875">
        <f>1-AUTOQUESTIONNAIRE!K141</f>
        <v>0.66666666666666674</v>
      </c>
    </row>
    <row r="35" spans="1:3" ht="15.75">
      <c r="A35" s="649" t="s">
        <v>776</v>
      </c>
      <c r="B35" s="876" t="s">
        <v>761</v>
      </c>
      <c r="C35" s="875">
        <f>1-AUTOQUESTIONNAIRE!K142</f>
        <v>1</v>
      </c>
    </row>
    <row r="36" spans="1:3" ht="15.75">
      <c r="A36" s="649" t="s">
        <v>252</v>
      </c>
      <c r="B36" s="876" t="s">
        <v>762</v>
      </c>
      <c r="C36" s="875">
        <f>1-AUTOQUESTIONNAIRE!K143</f>
        <v>0.93333333333333335</v>
      </c>
    </row>
    <row r="37" spans="1:3" ht="15.75">
      <c r="A37" s="649" t="s">
        <v>253</v>
      </c>
      <c r="B37" s="876" t="s">
        <v>763</v>
      </c>
      <c r="C37" s="875">
        <f>1-AUTOQUESTIONNAIRE!K144</f>
        <v>1</v>
      </c>
    </row>
    <row r="38" spans="1:3" ht="15.75">
      <c r="A38" s="649" t="s">
        <v>254</v>
      </c>
      <c r="B38" s="876" t="s">
        <v>764</v>
      </c>
      <c r="C38" s="875">
        <f>1-AUTOQUESTIONNAIRE!K145</f>
        <v>0.625</v>
      </c>
    </row>
    <row r="39" spans="1:3" ht="15.75">
      <c r="A39" s="649" t="s">
        <v>783</v>
      </c>
      <c r="B39" s="876" t="s">
        <v>765</v>
      </c>
      <c r="C39" s="875">
        <f>AUTOQUESTIONNAIRE!K137</f>
        <v>0.25</v>
      </c>
    </row>
    <row r="40" spans="1:3" ht="45">
      <c r="A40" s="649" t="s">
        <v>745</v>
      </c>
      <c r="B40" s="876" t="s">
        <v>785</v>
      </c>
      <c r="C40" s="875">
        <f>AUTOQUESTIONNAIRE!K146</f>
        <v>1</v>
      </c>
    </row>
    <row r="41" spans="1:3" ht="30">
      <c r="A41" s="649" t="s">
        <v>746</v>
      </c>
      <c r="B41" s="876" t="s">
        <v>784</v>
      </c>
      <c r="C41" s="875">
        <f>AUTOQUESTIONNAIRE!K147</f>
        <v>0.5</v>
      </c>
    </row>
  </sheetData>
  <conditionalFormatting sqref="C34:C41">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D39F3-F689-4A68-87D1-ACE67F686A8E}">
  <sheetPr codeName="Feuil7">
    <pageSetUpPr fitToPage="1"/>
  </sheetPr>
  <dimension ref="A1:E59"/>
  <sheetViews>
    <sheetView zoomScale="70" zoomScaleNormal="70" workbookViewId="0">
      <selection activeCell="B10" sqref="B10"/>
    </sheetView>
  </sheetViews>
  <sheetFormatPr baseColWidth="10" defaultColWidth="11.5703125" defaultRowHeight="15"/>
  <cols>
    <col min="1" max="1" width="32.42578125" customWidth="1"/>
    <col min="2" max="2" width="10.7109375" style="28"/>
    <col min="3" max="3" width="10.7109375" style="15"/>
    <col min="4" max="4" width="4.42578125" customWidth="1"/>
    <col min="5" max="5" width="7.5703125" customWidth="1"/>
    <col min="16" max="16" width="29.140625" bestFit="1" customWidth="1"/>
  </cols>
  <sheetData>
    <row r="1" spans="1:5">
      <c r="A1" s="22" t="s">
        <v>2678</v>
      </c>
      <c r="B1" s="869"/>
      <c r="C1" s="870"/>
    </row>
    <row r="2" spans="1:5">
      <c r="A2" s="849" t="s">
        <v>1448</v>
      </c>
      <c r="B2" s="877">
        <f>(1-AUTOQUESTIONNAIRE!K149)*3</f>
        <v>0.32142857142857129</v>
      </c>
      <c r="C2" s="878">
        <v>1</v>
      </c>
      <c r="D2" s="879">
        <v>2</v>
      </c>
      <c r="E2" s="879">
        <v>3</v>
      </c>
    </row>
    <row r="3" spans="1:5">
      <c r="A3" t="s">
        <v>1447</v>
      </c>
      <c r="B3" s="877">
        <f>AUTOQUESTIONNAIRE!K134</f>
        <v>0.64705882352941169</v>
      </c>
      <c r="C3" s="878">
        <v>1</v>
      </c>
      <c r="D3" s="879">
        <v>2</v>
      </c>
      <c r="E3" s="879">
        <v>3</v>
      </c>
    </row>
    <row r="4" spans="1:5">
      <c r="A4" s="849" t="s">
        <v>1466</v>
      </c>
      <c r="B4" s="877">
        <f>AUTOQUESTIONNAIRE!K137</f>
        <v>0.25</v>
      </c>
      <c r="C4" s="878">
        <v>1</v>
      </c>
      <c r="D4" s="879">
        <v>2</v>
      </c>
      <c r="E4" s="879">
        <v>3</v>
      </c>
    </row>
    <row r="5" spans="1:5">
      <c r="A5" t="s">
        <v>2379</v>
      </c>
      <c r="B5" s="877">
        <f>AUTOQUESTIONNAIRE!K68</f>
        <v>-0.10000000000000009</v>
      </c>
      <c r="C5" s="878">
        <v>1</v>
      </c>
      <c r="D5" s="879">
        <v>2</v>
      </c>
      <c r="E5" s="879">
        <v>3</v>
      </c>
    </row>
    <row r="6" spans="1:5">
      <c r="A6" s="849" t="s">
        <v>1449</v>
      </c>
      <c r="B6" s="877">
        <f>AUTOQUESTIONNAIRE!K81</f>
        <v>0.26315789473684215</v>
      </c>
      <c r="C6" s="878">
        <v>1</v>
      </c>
      <c r="D6" s="879">
        <v>2</v>
      </c>
      <c r="E6" s="879">
        <v>3</v>
      </c>
    </row>
    <row r="7" spans="1:5">
      <c r="A7" t="s">
        <v>1450</v>
      </c>
      <c r="B7" s="877">
        <f>AUTOQUESTIONNAIRE!K83</f>
        <v>0</v>
      </c>
      <c r="C7" s="878">
        <v>1</v>
      </c>
      <c r="D7" s="879">
        <v>2</v>
      </c>
      <c r="E7" s="879">
        <v>3</v>
      </c>
    </row>
    <row r="8" spans="1:5">
      <c r="A8" s="849" t="s">
        <v>1453</v>
      </c>
      <c r="B8" s="877">
        <f>AUTOQUESTIONNAIRE!K93</f>
        <v>0.8</v>
      </c>
      <c r="C8" s="878">
        <v>1</v>
      </c>
      <c r="D8" s="879">
        <v>2</v>
      </c>
      <c r="E8" s="879">
        <v>3</v>
      </c>
    </row>
    <row r="9" spans="1:5">
      <c r="A9" t="s">
        <v>2378</v>
      </c>
      <c r="B9" s="877">
        <f>AUTOQUESTIONNAIRE!K19</f>
        <v>0</v>
      </c>
      <c r="C9" s="878">
        <v>1</v>
      </c>
      <c r="D9" s="879">
        <v>2</v>
      </c>
      <c r="E9" s="879">
        <v>3</v>
      </c>
    </row>
    <row r="10" spans="1:5">
      <c r="A10" s="849" t="s">
        <v>1451</v>
      </c>
      <c r="B10" s="877">
        <f>AUTOQUESTIONNAIRE!K70</f>
        <v>0</v>
      </c>
      <c r="C10" s="878">
        <v>1</v>
      </c>
      <c r="D10" s="879">
        <v>2</v>
      </c>
      <c r="E10" s="879">
        <v>3</v>
      </c>
    </row>
    <row r="11" spans="1:5">
      <c r="A11" t="s">
        <v>1452</v>
      </c>
      <c r="B11" s="877">
        <f>AUTOQUESTIONNAIRE!K72</f>
        <v>1</v>
      </c>
      <c r="C11" s="878">
        <v>1</v>
      </c>
      <c r="D11" s="879">
        <v>2</v>
      </c>
      <c r="E11" s="879">
        <v>3</v>
      </c>
    </row>
    <row r="12" spans="1:5">
      <c r="A12" s="849" t="s">
        <v>1707</v>
      </c>
      <c r="B12" s="877">
        <f>AUTOQUESTIONNAIRE!K79</f>
        <v>1</v>
      </c>
      <c r="C12" s="878">
        <v>1</v>
      </c>
      <c r="D12" s="879">
        <v>2</v>
      </c>
      <c r="E12" s="879">
        <v>3</v>
      </c>
    </row>
    <row r="13" spans="1:5">
      <c r="A13" t="s">
        <v>2382</v>
      </c>
      <c r="B13" s="877">
        <f>AUTOQUESTIONNAIRE!K159</f>
        <v>0.58333333333333326</v>
      </c>
      <c r="C13" s="878">
        <v>1</v>
      </c>
      <c r="D13" s="879">
        <v>2</v>
      </c>
      <c r="E13" s="879">
        <v>3</v>
      </c>
    </row>
    <row r="14" spans="1:5">
      <c r="A14" s="849" t="s">
        <v>2375</v>
      </c>
      <c r="B14" s="877">
        <f>AUTOQUESTIONNAIRE!K57</f>
        <v>0.55555555555555558</v>
      </c>
      <c r="C14" s="878">
        <v>1</v>
      </c>
      <c r="D14" s="879">
        <v>2</v>
      </c>
      <c r="E14" s="879">
        <v>3</v>
      </c>
    </row>
    <row r="15" spans="1:5">
      <c r="A15" t="s">
        <v>2376</v>
      </c>
      <c r="B15" s="877">
        <f>AUTOQUESTIONNAIRE!K58</f>
        <v>0.2</v>
      </c>
      <c r="C15" s="878">
        <v>1</v>
      </c>
      <c r="D15" s="879">
        <v>2</v>
      </c>
      <c r="E15" s="879">
        <v>3</v>
      </c>
    </row>
    <row r="16" spans="1:5">
      <c r="A16" t="s">
        <v>2729</v>
      </c>
      <c r="B16" s="28">
        <f>AUTOQUESTIONNAIRE!K18</f>
        <v>0</v>
      </c>
      <c r="C16" s="878">
        <v>1</v>
      </c>
      <c r="D16" s="879">
        <v>2</v>
      </c>
      <c r="E16" s="879">
        <v>3</v>
      </c>
    </row>
    <row r="19" spans="1:5">
      <c r="A19" s="437" t="s">
        <v>1459</v>
      </c>
    </row>
    <row r="20" spans="1:5">
      <c r="A20" t="s">
        <v>1458</v>
      </c>
      <c r="B20" s="28">
        <f>RRImmédiat!C70</f>
        <v>1.2</v>
      </c>
      <c r="C20" s="15">
        <v>1</v>
      </c>
      <c r="D20">
        <v>2</v>
      </c>
      <c r="E20">
        <v>3</v>
      </c>
    </row>
    <row r="21" spans="1:5">
      <c r="A21" t="s">
        <v>1464</v>
      </c>
      <c r="B21" s="28">
        <f>RRImmédiat!C71</f>
        <v>0.9</v>
      </c>
      <c r="C21" s="15">
        <v>1</v>
      </c>
      <c r="D21">
        <v>2</v>
      </c>
      <c r="E21">
        <v>3</v>
      </c>
    </row>
    <row r="22" spans="1:5">
      <c r="A22" t="s">
        <v>1465</v>
      </c>
      <c r="B22" s="28">
        <f>RRImmédiat!C72</f>
        <v>0.9</v>
      </c>
      <c r="C22" s="15">
        <v>1</v>
      </c>
      <c r="D22">
        <v>2</v>
      </c>
      <c r="E22">
        <v>3</v>
      </c>
    </row>
    <row r="23" spans="1:5">
      <c r="A23" t="s">
        <v>1460</v>
      </c>
      <c r="B23" s="28">
        <f>RRImmédiat!C73</f>
        <v>2</v>
      </c>
      <c r="C23" s="15">
        <v>1</v>
      </c>
      <c r="D23">
        <v>2</v>
      </c>
      <c r="E23">
        <v>3</v>
      </c>
    </row>
    <row r="24" spans="1:5">
      <c r="A24" t="s">
        <v>1461</v>
      </c>
      <c r="B24" s="28">
        <f>RRImmédiat!C74</f>
        <v>2.4</v>
      </c>
      <c r="C24" s="15">
        <v>1</v>
      </c>
      <c r="D24">
        <v>2</v>
      </c>
      <c r="E24">
        <v>3</v>
      </c>
    </row>
    <row r="25" spans="1:5">
      <c r="A25" t="s">
        <v>1462</v>
      </c>
      <c r="B25" s="28">
        <f>RRImmédiat!C75</f>
        <v>3</v>
      </c>
      <c r="C25" s="15">
        <v>1</v>
      </c>
      <c r="D25">
        <v>2</v>
      </c>
      <c r="E25">
        <v>3</v>
      </c>
    </row>
    <row r="26" spans="1:5">
      <c r="A26" t="s">
        <v>1463</v>
      </c>
      <c r="B26" s="28">
        <f>RRImmédiat!C76</f>
        <v>1.2</v>
      </c>
      <c r="C26" s="15">
        <v>1</v>
      </c>
      <c r="D26">
        <v>2</v>
      </c>
      <c r="E26">
        <v>3</v>
      </c>
    </row>
    <row r="27" spans="1:5">
      <c r="A27" t="s">
        <v>1471</v>
      </c>
      <c r="B27" s="28">
        <f>RRImmédiat!C77</f>
        <v>1.2</v>
      </c>
      <c r="C27" s="15">
        <v>1</v>
      </c>
      <c r="D27">
        <v>2</v>
      </c>
      <c r="E27">
        <v>3</v>
      </c>
    </row>
    <row r="28" spans="1:5">
      <c r="A28" t="s">
        <v>253</v>
      </c>
      <c r="B28" s="28">
        <f>RRImmédiat!C78</f>
        <v>1.8</v>
      </c>
      <c r="C28" s="15">
        <v>1</v>
      </c>
      <c r="D28">
        <v>2</v>
      </c>
      <c r="E28">
        <v>3</v>
      </c>
    </row>
    <row r="29" spans="1:5">
      <c r="A29" t="s">
        <v>2377</v>
      </c>
      <c r="B29" s="28">
        <f>RRImmédiat!C79</f>
        <v>3</v>
      </c>
      <c r="C29" s="15">
        <v>1</v>
      </c>
      <c r="D29">
        <v>2</v>
      </c>
      <c r="E29">
        <v>3</v>
      </c>
    </row>
    <row r="30" spans="1:5">
      <c r="A30" t="s">
        <v>2383</v>
      </c>
      <c r="B30" s="28">
        <f>IF(AUTOQUESTIONNAIRE!K153=0,1,AUTOQUESTIONNAIRE!K153)</f>
        <v>3</v>
      </c>
      <c r="C30" s="15">
        <v>1</v>
      </c>
      <c r="D30">
        <v>2</v>
      </c>
      <c r="E30">
        <v>3</v>
      </c>
    </row>
    <row r="31" spans="1:5">
      <c r="A31" t="s">
        <v>2701</v>
      </c>
      <c r="B31" s="28">
        <f>MAX(1,B2)</f>
        <v>1</v>
      </c>
      <c r="C31" s="15">
        <v>1</v>
      </c>
      <c r="D31">
        <v>2</v>
      </c>
      <c r="E31">
        <v>3</v>
      </c>
    </row>
    <row r="32" spans="1:5">
      <c r="B32"/>
    </row>
    <row r="33" spans="1:5">
      <c r="B33"/>
    </row>
    <row r="34" spans="1:5">
      <c r="B34"/>
    </row>
    <row r="35" spans="1:5">
      <c r="A35" s="437" t="s">
        <v>2678</v>
      </c>
    </row>
    <row r="36" spans="1:5">
      <c r="A36" s="849" t="s">
        <v>2679</v>
      </c>
      <c r="B36" s="28">
        <f>1-B4</f>
        <v>0.75</v>
      </c>
      <c r="C36" s="15">
        <v>0</v>
      </c>
      <c r="D36">
        <v>0.5</v>
      </c>
      <c r="E36">
        <v>1</v>
      </c>
    </row>
    <row r="37" spans="1:5">
      <c r="A37" t="s">
        <v>2684</v>
      </c>
      <c r="B37" s="28">
        <f>1-B5</f>
        <v>1.1000000000000001</v>
      </c>
      <c r="C37" s="15">
        <v>0</v>
      </c>
      <c r="D37">
        <v>0.5</v>
      </c>
      <c r="E37">
        <v>1</v>
      </c>
    </row>
    <row r="38" spans="1:5">
      <c r="A38" s="849" t="s">
        <v>2680</v>
      </c>
      <c r="B38" s="28">
        <f>1-B6</f>
        <v>0.73684210526315785</v>
      </c>
      <c r="C38" s="15">
        <v>0</v>
      </c>
      <c r="D38">
        <v>0.5</v>
      </c>
      <c r="E38">
        <v>1</v>
      </c>
    </row>
    <row r="39" spans="1:5">
      <c r="A39" t="s">
        <v>75</v>
      </c>
      <c r="B39" s="28">
        <f>1-B7</f>
        <v>1</v>
      </c>
      <c r="C39" s="15">
        <v>0</v>
      </c>
      <c r="D39">
        <v>0.5</v>
      </c>
      <c r="E39">
        <v>1</v>
      </c>
    </row>
    <row r="40" spans="1:5">
      <c r="A40" s="849" t="s">
        <v>2685</v>
      </c>
      <c r="B40" s="28">
        <f>1-B8</f>
        <v>0.19999999999999996</v>
      </c>
      <c r="C40" s="15">
        <v>0</v>
      </c>
      <c r="D40">
        <v>0.5</v>
      </c>
      <c r="E40">
        <v>1</v>
      </c>
    </row>
    <row r="41" spans="1:5">
      <c r="A41" t="s">
        <v>2374</v>
      </c>
      <c r="B41" s="28">
        <f>1-(MIN(B9,B13))</f>
        <v>1</v>
      </c>
      <c r="C41" s="15">
        <v>0</v>
      </c>
      <c r="D41">
        <v>0.5</v>
      </c>
      <c r="E41">
        <v>1</v>
      </c>
    </row>
    <row r="42" spans="1:5">
      <c r="A42" s="849" t="s">
        <v>2681</v>
      </c>
      <c r="B42" s="28">
        <f>1-B10</f>
        <v>1</v>
      </c>
      <c r="C42" s="15">
        <v>0</v>
      </c>
      <c r="D42">
        <v>0.5</v>
      </c>
      <c r="E42">
        <v>1</v>
      </c>
    </row>
    <row r="43" spans="1:5">
      <c r="A43" t="s">
        <v>2682</v>
      </c>
      <c r="B43" s="28">
        <f>1-B11</f>
        <v>0</v>
      </c>
      <c r="C43" s="15">
        <v>0</v>
      </c>
      <c r="D43">
        <v>0.5</v>
      </c>
      <c r="E43">
        <v>1</v>
      </c>
    </row>
    <row r="44" spans="1:5">
      <c r="A44" s="849" t="s">
        <v>1936</v>
      </c>
      <c r="B44" s="28">
        <f>1-B12</f>
        <v>0</v>
      </c>
      <c r="C44" s="15">
        <v>0</v>
      </c>
      <c r="D44">
        <v>0.5</v>
      </c>
      <c r="E44">
        <v>1</v>
      </c>
    </row>
    <row r="45" spans="1:5">
      <c r="A45" s="849" t="s">
        <v>2683</v>
      </c>
      <c r="B45" s="28">
        <f>1-MIN(B14,B15)</f>
        <v>0.8</v>
      </c>
      <c r="C45" s="15">
        <v>0</v>
      </c>
      <c r="D45">
        <v>0.5</v>
      </c>
      <c r="E45">
        <v>1</v>
      </c>
    </row>
    <row r="46" spans="1:5">
      <c r="A46" s="849" t="s">
        <v>2731</v>
      </c>
      <c r="B46" s="28">
        <f>1-B16</f>
        <v>1</v>
      </c>
      <c r="C46" s="15">
        <v>0</v>
      </c>
      <c r="D46">
        <v>0.5</v>
      </c>
      <c r="E46">
        <v>1</v>
      </c>
    </row>
    <row r="48" spans="1:5">
      <c r="A48" s="887" t="s">
        <v>206</v>
      </c>
      <c r="B48" s="374">
        <f>AUTOQUESTIONNAIRE!H6/0.25</f>
        <v>0.80246913580246915</v>
      </c>
      <c r="C48" s="149">
        <v>1</v>
      </c>
      <c r="D48" s="366">
        <v>2</v>
      </c>
      <c r="E48" s="366">
        <v>3</v>
      </c>
    </row>
    <row r="49" spans="1:5">
      <c r="A49" s="887" t="s">
        <v>2717</v>
      </c>
      <c r="B49" s="374">
        <f>AUTOQUESTIONNAIRE!F218/140</f>
        <v>0.7857142857142857</v>
      </c>
      <c r="C49" s="149">
        <v>1</v>
      </c>
      <c r="D49" s="366">
        <v>2</v>
      </c>
      <c r="E49" s="366">
        <v>3</v>
      </c>
    </row>
    <row r="50" spans="1:5">
      <c r="A50" s="887" t="s">
        <v>2718</v>
      </c>
      <c r="B50" s="374">
        <f>AUTOQUESTIONNAIRE!F219/90</f>
        <v>0.72222222222222221</v>
      </c>
      <c r="C50" s="149">
        <v>1</v>
      </c>
      <c r="D50" s="366">
        <v>2</v>
      </c>
      <c r="E50" s="366">
        <v>3</v>
      </c>
    </row>
    <row r="51" spans="1:5">
      <c r="A51" s="887" t="s">
        <v>2712</v>
      </c>
      <c r="B51" s="374">
        <f>AUTOQUESTIONNAIRE!F217/80</f>
        <v>0.875</v>
      </c>
      <c r="C51" s="149">
        <v>1</v>
      </c>
      <c r="D51" s="366">
        <v>2</v>
      </c>
      <c r="E51" s="366">
        <v>3</v>
      </c>
    </row>
    <row r="52" spans="1:5">
      <c r="A52" s="887" t="s">
        <v>2713</v>
      </c>
      <c r="B52" s="374">
        <f>AUTOQUESTIONNAIRE!G346/30</f>
        <v>0.33333333333333331</v>
      </c>
      <c r="C52" s="149">
        <v>1</v>
      </c>
      <c r="D52" s="366">
        <v>2</v>
      </c>
      <c r="E52" s="366">
        <v>3</v>
      </c>
    </row>
    <row r="53" spans="1:5">
      <c r="A53" s="887" t="s">
        <v>2719</v>
      </c>
      <c r="B53" s="374">
        <f>AUTOQUESTIONNAIRE!G347/20</f>
        <v>2</v>
      </c>
      <c r="C53" s="149">
        <v>1</v>
      </c>
      <c r="D53" s="366">
        <v>2</v>
      </c>
      <c r="E53" s="366">
        <v>3</v>
      </c>
    </row>
    <row r="54" spans="1:5">
      <c r="A54" s="887" t="s">
        <v>2715</v>
      </c>
      <c r="B54" s="374">
        <f>AUTOQUESTIONNAIRE!F228/95</f>
        <v>1.0421052631578946</v>
      </c>
      <c r="C54" s="149">
        <v>1</v>
      </c>
      <c r="D54" s="366">
        <v>2</v>
      </c>
      <c r="E54" s="366">
        <v>3</v>
      </c>
    </row>
    <row r="55" spans="1:5">
      <c r="A55" s="887" t="s">
        <v>2714</v>
      </c>
      <c r="B55" s="374">
        <f>AUTOQUESTIONNAIRE!F233/20</f>
        <v>0</v>
      </c>
      <c r="C55" s="149">
        <v>1</v>
      </c>
      <c r="D55" s="366">
        <v>2</v>
      </c>
      <c r="E55" s="366">
        <v>3</v>
      </c>
    </row>
    <row r="56" spans="1:5">
      <c r="A56" s="887" t="s">
        <v>2716</v>
      </c>
      <c r="B56" s="374">
        <f>AUTOQUESTIONNAIRE!H236</f>
        <v>1</v>
      </c>
      <c r="C56" s="149">
        <v>1</v>
      </c>
      <c r="D56" s="366">
        <v>2</v>
      </c>
      <c r="E56" s="366">
        <v>3</v>
      </c>
    </row>
    <row r="57" spans="1:5">
      <c r="A57" s="887" t="s">
        <v>758</v>
      </c>
      <c r="B57" s="374">
        <f>AUTOQUESTIONNAIRE!F237</f>
        <v>3</v>
      </c>
      <c r="C57" s="149">
        <v>1</v>
      </c>
      <c r="D57" s="366">
        <v>2</v>
      </c>
      <c r="E57" s="366">
        <v>3</v>
      </c>
    </row>
    <row r="58" spans="1:5">
      <c r="A58" s="887" t="s">
        <v>2720</v>
      </c>
      <c r="B58" s="374">
        <f>AUTOQUESTIONNAIRE!I245</f>
        <v>2.5</v>
      </c>
      <c r="C58" s="149">
        <v>1</v>
      </c>
      <c r="D58" s="366">
        <v>2</v>
      </c>
      <c r="E58" s="366">
        <v>3</v>
      </c>
    </row>
    <row r="59" spans="1:5">
      <c r="C59" s="149">
        <v>1</v>
      </c>
      <c r="D59" s="366">
        <v>2</v>
      </c>
      <c r="E59" s="366">
        <v>3</v>
      </c>
    </row>
  </sheetData>
  <conditionalFormatting sqref="B1">
    <cfRule type="colorScale" priority="16">
      <colorScale>
        <cfvo type="min"/>
        <cfvo type="percentile" val="50"/>
        <cfvo type="max"/>
        <color rgb="FF63BE7B"/>
        <color rgb="FFFFEB84"/>
        <color rgb="FFF8696B"/>
      </colorScale>
    </cfRule>
  </conditionalFormatting>
  <conditionalFormatting sqref="B20:B30">
    <cfRule type="colorScale" priority="12">
      <colorScale>
        <cfvo type="min"/>
        <cfvo type="percentile" val="50"/>
        <cfvo type="max"/>
        <color rgb="FF63BE7B"/>
        <color rgb="FFFFEB84"/>
        <color rgb="FFF8696B"/>
      </colorScale>
    </cfRule>
  </conditionalFormatting>
  <conditionalFormatting sqref="B20:B31">
    <cfRule type="colorScale" priority="2">
      <colorScale>
        <cfvo type="min"/>
        <cfvo type="percentile" val="50"/>
        <cfvo type="max"/>
        <color rgb="FF63BE7B"/>
        <color rgb="FFFFEB84"/>
        <color rgb="FFF8696B"/>
      </colorScale>
    </cfRule>
  </conditionalFormatting>
  <conditionalFormatting sqref="B35:B40">
    <cfRule type="colorScale" priority="6">
      <colorScale>
        <cfvo type="min"/>
        <cfvo type="percentile" val="50"/>
        <cfvo type="max"/>
        <color rgb="FF63BE7B"/>
        <color rgb="FFFFEB84"/>
        <color rgb="FFF8696B"/>
      </colorScale>
    </cfRule>
  </conditionalFormatting>
  <conditionalFormatting sqref="B35:B43">
    <cfRule type="colorScale" priority="5">
      <colorScale>
        <cfvo type="min"/>
        <cfvo type="percentile" val="50"/>
        <cfvo type="max"/>
        <color rgb="FFF8696B"/>
        <color rgb="FFFFEB84"/>
        <color rgb="FF63BE7B"/>
      </colorScale>
    </cfRule>
  </conditionalFormatting>
  <conditionalFormatting sqref="B35:B44">
    <cfRule type="colorScale" priority="4">
      <colorScale>
        <cfvo type="min"/>
        <cfvo type="percentile" val="50"/>
        <cfvo type="max"/>
        <color rgb="FFF8696B"/>
        <color rgb="FFFFEB84"/>
        <color rgb="FF63BE7B"/>
      </colorScale>
    </cfRule>
  </conditionalFormatting>
  <conditionalFormatting sqref="B35:B45">
    <cfRule type="colorScale" priority="3">
      <colorScale>
        <cfvo type="min"/>
        <cfvo type="percentile" val="50"/>
        <cfvo type="max"/>
        <color rgb="FF63BE7B"/>
        <color rgb="FFFFEB84"/>
        <color rgb="FFF8696B"/>
      </colorScale>
    </cfRule>
  </conditionalFormatting>
  <conditionalFormatting sqref="B36:B46">
    <cfRule type="colorScale" priority="1">
      <colorScale>
        <cfvo type="min"/>
        <cfvo type="percentile" val="50"/>
        <cfvo type="max"/>
        <color rgb="FF63BE7B"/>
        <color rgb="FFFFEB84"/>
        <color rgb="FFF8696B"/>
      </colorScale>
    </cfRule>
  </conditionalFormatting>
  <pageMargins left="0.7" right="0.7" top="0.75" bottom="0.75" header="0.3" footer="0.3"/>
  <pageSetup scale="7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tabColor theme="5" tint="0.39997558519241921"/>
    <pageSetUpPr fitToPage="1"/>
  </sheetPr>
  <dimension ref="A1:S139"/>
  <sheetViews>
    <sheetView zoomScale="58" zoomScaleNormal="58" zoomScaleSheetLayoutView="82" workbookViewId="0">
      <pane xSplit="3" ySplit="1" topLeftCell="D103" activePane="bottomRight" state="frozen"/>
      <selection pane="topRight" activeCell="D1" sqref="D1"/>
      <selection pane="bottomLeft" activeCell="A2" sqref="A2"/>
      <selection pane="bottomRight" activeCell="E57" sqref="E57"/>
    </sheetView>
  </sheetViews>
  <sheetFormatPr baseColWidth="10" defaultColWidth="10.85546875" defaultRowHeight="18.75"/>
  <cols>
    <col min="1" max="1" width="103.7109375" style="683" customWidth="1"/>
    <col min="2" max="2" width="17.28515625" style="338" customWidth="1"/>
    <col min="3" max="3" width="15.5703125" style="338" customWidth="1"/>
    <col min="4" max="4" width="10" style="740"/>
    <col min="5" max="6" width="10.85546875" style="686"/>
    <col min="7" max="7" width="22.85546875" style="329" customWidth="1"/>
    <col min="8" max="8" width="8.140625" style="329" customWidth="1"/>
    <col min="9" max="11" width="10.85546875" style="686"/>
    <col min="12" max="12" width="30.28515625" style="686" customWidth="1"/>
    <col min="13" max="13" width="10.85546875" style="686"/>
    <col min="14" max="14" width="14.85546875" style="686" customWidth="1"/>
    <col min="15" max="15" width="16.85546875" style="686" customWidth="1"/>
    <col min="16" max="18" width="10.85546875" style="686"/>
    <col min="19" max="19" width="30.5703125" style="686" customWidth="1"/>
    <col min="20" max="16384" width="10.85546875" style="686"/>
  </cols>
  <sheetData>
    <row r="1" spans="1:19">
      <c r="A1" s="680" t="s">
        <v>129</v>
      </c>
      <c r="B1" s="338" t="s">
        <v>130</v>
      </c>
      <c r="C1" s="739" t="s">
        <v>131</v>
      </c>
      <c r="S1" s="686" t="s">
        <v>2062</v>
      </c>
    </row>
    <row r="2" spans="1:19">
      <c r="A2" s="681" t="s">
        <v>132</v>
      </c>
      <c r="B2" s="739" t="s">
        <v>133</v>
      </c>
      <c r="C2" s="741"/>
      <c r="D2" s="740">
        <f>C2*215</f>
        <v>0</v>
      </c>
      <c r="E2" s="789" t="s">
        <v>180</v>
      </c>
      <c r="I2" s="329">
        <v>0</v>
      </c>
      <c r="J2" s="329">
        <v>1</v>
      </c>
      <c r="K2" s="329">
        <v>2</v>
      </c>
      <c r="S2" s="686" t="s">
        <v>1051</v>
      </c>
    </row>
    <row r="3" spans="1:19">
      <c r="A3" s="681" t="s">
        <v>134</v>
      </c>
      <c r="B3" s="739" t="s">
        <v>135</v>
      </c>
      <c r="C3" s="742">
        <v>6</v>
      </c>
      <c r="D3" s="743">
        <f>C3*2.59</f>
        <v>15.54</v>
      </c>
      <c r="E3" s="686" t="s">
        <v>225</v>
      </c>
      <c r="F3" s="686" t="s">
        <v>337</v>
      </c>
      <c r="G3" s="347" t="s">
        <v>1</v>
      </c>
      <c r="H3" s="744">
        <f>C11</f>
        <v>0</v>
      </c>
      <c r="J3" s="686">
        <f>C3*2.58</f>
        <v>15.48</v>
      </c>
      <c r="K3" s="686" t="s">
        <v>311</v>
      </c>
      <c r="N3" s="790" t="s">
        <v>203</v>
      </c>
      <c r="O3" s="791">
        <f>C56</f>
        <v>65</v>
      </c>
      <c r="S3" s="686" t="s">
        <v>1051</v>
      </c>
    </row>
    <row r="4" spans="1:19">
      <c r="A4" s="681" t="s">
        <v>136</v>
      </c>
      <c r="B4" s="739" t="s">
        <v>135</v>
      </c>
      <c r="C4" s="742">
        <v>1</v>
      </c>
      <c r="D4" s="743">
        <f t="shared" ref="D4:D5" si="0">C4*2.59</f>
        <v>2.59</v>
      </c>
      <c r="E4" s="686" t="s">
        <v>225</v>
      </c>
      <c r="F4" s="686" t="s">
        <v>336</v>
      </c>
      <c r="G4" s="347" t="s">
        <v>2</v>
      </c>
      <c r="H4" s="744">
        <f>C33</f>
        <v>0</v>
      </c>
      <c r="J4" s="686">
        <f>C4*2.58</f>
        <v>2.58</v>
      </c>
      <c r="K4" s="686" t="s">
        <v>311</v>
      </c>
      <c r="N4" s="790" t="s">
        <v>307</v>
      </c>
      <c r="O4" s="686">
        <f>IF(ImportQuestion!F82="N",0,1)</f>
        <v>1</v>
      </c>
      <c r="S4" s="686" t="s">
        <v>1051</v>
      </c>
    </row>
    <row r="5" spans="1:19">
      <c r="A5" s="681" t="s">
        <v>137</v>
      </c>
      <c r="B5" s="739" t="s">
        <v>135</v>
      </c>
      <c r="C5" s="742">
        <v>5</v>
      </c>
      <c r="D5" s="743">
        <f t="shared" si="0"/>
        <v>12.95</v>
      </c>
      <c r="E5" s="686" t="s">
        <v>225</v>
      </c>
      <c r="F5" s="686" t="s">
        <v>335</v>
      </c>
      <c r="G5" s="745" t="s">
        <v>3</v>
      </c>
      <c r="H5" s="746">
        <f>C8</f>
        <v>0</v>
      </c>
      <c r="N5" s="686" t="s">
        <v>308</v>
      </c>
      <c r="O5" s="686">
        <f>ImportQuestion!F80</f>
        <v>110</v>
      </c>
      <c r="P5" s="790"/>
      <c r="S5" s="686" t="s">
        <v>1051</v>
      </c>
    </row>
    <row r="6" spans="1:19">
      <c r="A6" s="681" t="s">
        <v>138</v>
      </c>
      <c r="B6" s="739" t="s">
        <v>135</v>
      </c>
      <c r="C6" s="742">
        <v>3</v>
      </c>
      <c r="D6" s="347">
        <f>C6*1.13</f>
        <v>3.3899999999999997</v>
      </c>
      <c r="E6" s="686" t="s">
        <v>225</v>
      </c>
      <c r="G6" s="347" t="s">
        <v>4</v>
      </c>
      <c r="H6" s="678">
        <f>D3</f>
        <v>15.54</v>
      </c>
      <c r="N6" s="686" t="s">
        <v>309</v>
      </c>
      <c r="O6" s="686">
        <f>H6</f>
        <v>15.54</v>
      </c>
      <c r="P6" s="790"/>
      <c r="S6" s="686" t="s">
        <v>1051</v>
      </c>
    </row>
    <row r="7" spans="1:19">
      <c r="A7" s="681" t="s">
        <v>139</v>
      </c>
      <c r="B7" s="739" t="s">
        <v>140</v>
      </c>
      <c r="C7" s="741">
        <v>15</v>
      </c>
      <c r="G7" s="347" t="s">
        <v>84</v>
      </c>
      <c r="H7" s="747">
        <f>C7</f>
        <v>15</v>
      </c>
      <c r="N7" s="686" t="s">
        <v>310</v>
      </c>
      <c r="O7" s="686">
        <f>H8</f>
        <v>2.59</v>
      </c>
      <c r="P7" s="790"/>
      <c r="S7" s="686" t="s">
        <v>1054</v>
      </c>
    </row>
    <row r="8" spans="1:19">
      <c r="A8" s="707" t="s">
        <v>339</v>
      </c>
      <c r="B8" s="748" t="s">
        <v>341</v>
      </c>
      <c r="C8" s="749"/>
      <c r="D8" s="682">
        <f>C8*4</f>
        <v>0</v>
      </c>
      <c r="E8" s="792" t="s">
        <v>342</v>
      </c>
      <c r="F8" s="686" t="s">
        <v>340</v>
      </c>
      <c r="G8" s="347" t="s">
        <v>5</v>
      </c>
      <c r="H8" s="678">
        <f>D4</f>
        <v>2.59</v>
      </c>
      <c r="N8" s="686" t="s">
        <v>219</v>
      </c>
      <c r="O8" s="686">
        <f>ImportQuestion!H3</f>
        <v>0</v>
      </c>
      <c r="P8" s="790"/>
      <c r="S8" s="686" t="s">
        <v>1089</v>
      </c>
    </row>
    <row r="9" spans="1:19">
      <c r="A9" s="681" t="s">
        <v>141</v>
      </c>
      <c r="B9" s="739" t="s">
        <v>133</v>
      </c>
      <c r="C9" s="741"/>
      <c r="D9" s="750">
        <f>C9*5.5</f>
        <v>0</v>
      </c>
      <c r="E9" s="686" t="s">
        <v>225</v>
      </c>
      <c r="G9" s="347" t="s">
        <v>6</v>
      </c>
      <c r="H9" s="744">
        <f>C10</f>
        <v>0</v>
      </c>
      <c r="K9" s="686" t="s">
        <v>106</v>
      </c>
      <c r="O9" s="791"/>
      <c r="S9" s="686" t="s">
        <v>1051</v>
      </c>
    </row>
    <row r="10" spans="1:19">
      <c r="A10" s="681" t="s">
        <v>142</v>
      </c>
      <c r="B10" s="739" t="s">
        <v>143</v>
      </c>
      <c r="C10" s="742"/>
      <c r="G10" s="347" t="s">
        <v>79</v>
      </c>
      <c r="H10" s="751">
        <f>C2</f>
        <v>0</v>
      </c>
      <c r="I10" s="686">
        <v>0.3</v>
      </c>
      <c r="K10" s="686" t="s">
        <v>100</v>
      </c>
      <c r="L10" s="752" t="e">
        <f>(ImportQuestion!F6*H25)/((H22*(SQRT(H24))))</f>
        <v>#DIV/0!</v>
      </c>
      <c r="S10" s="686" t="s">
        <v>1051</v>
      </c>
    </row>
    <row r="11" spans="1:19">
      <c r="A11" s="681" t="s">
        <v>144</v>
      </c>
      <c r="B11" s="739" t="s">
        <v>145</v>
      </c>
      <c r="C11" s="742"/>
      <c r="G11" s="347" t="s">
        <v>7</v>
      </c>
      <c r="H11" s="753">
        <f>D6</f>
        <v>3.3899999999999997</v>
      </c>
      <c r="L11" s="686" t="s">
        <v>101</v>
      </c>
      <c r="S11" s="686" t="s">
        <v>1075</v>
      </c>
    </row>
    <row r="12" spans="1:19">
      <c r="A12" s="681" t="s">
        <v>146</v>
      </c>
      <c r="B12" s="739" t="s">
        <v>147</v>
      </c>
      <c r="C12" s="742"/>
      <c r="G12" s="347" t="s">
        <v>128</v>
      </c>
      <c r="H12" s="744">
        <f>C5</f>
        <v>5</v>
      </c>
      <c r="S12" s="686" t="s">
        <v>1049</v>
      </c>
    </row>
    <row r="13" spans="1:19">
      <c r="A13" s="681" t="s">
        <v>148</v>
      </c>
      <c r="B13" s="739" t="s">
        <v>149</v>
      </c>
      <c r="C13" s="742"/>
      <c r="G13" s="347" t="s">
        <v>8</v>
      </c>
      <c r="H13" s="744">
        <f>C21</f>
        <v>0</v>
      </c>
      <c r="K13" s="686" t="s">
        <v>236</v>
      </c>
      <c r="L13" s="347">
        <f>(-0.38+L16*1.37)/100</f>
        <v>0.15032500000000001</v>
      </c>
      <c r="M13" s="347">
        <f xml:space="preserve"> (-0.148+0.89*M16)/100</f>
        <v>7.8620000000000023E-2</v>
      </c>
      <c r="S13" s="686" t="s">
        <v>1049</v>
      </c>
    </row>
    <row r="14" spans="1:19">
      <c r="A14" s="681" t="s">
        <v>150</v>
      </c>
      <c r="B14" s="739" t="s">
        <v>151</v>
      </c>
      <c r="C14" s="742"/>
      <c r="D14" s="740" t="s">
        <v>257</v>
      </c>
      <c r="G14" s="347" t="s">
        <v>9</v>
      </c>
      <c r="H14" s="753">
        <f>C35</f>
        <v>0</v>
      </c>
      <c r="N14" s="686" t="s">
        <v>306</v>
      </c>
      <c r="S14" s="686" t="s">
        <v>1049</v>
      </c>
    </row>
    <row r="15" spans="1:19">
      <c r="A15" s="681" t="s">
        <v>152</v>
      </c>
      <c r="B15" s="739" t="s">
        <v>153</v>
      </c>
      <c r="C15" s="754"/>
      <c r="D15" s="740" t="s">
        <v>256</v>
      </c>
      <c r="G15" s="745" t="s">
        <v>10</v>
      </c>
      <c r="H15" s="755">
        <f>C30</f>
        <v>0</v>
      </c>
      <c r="K15" s="329" t="s">
        <v>102</v>
      </c>
      <c r="L15" s="329" t="s">
        <v>61</v>
      </c>
      <c r="M15" s="329" t="s">
        <v>62</v>
      </c>
      <c r="N15" s="686" t="s">
        <v>61</v>
      </c>
      <c r="O15" s="686" t="s">
        <v>62</v>
      </c>
      <c r="P15" s="793"/>
      <c r="R15" s="794"/>
      <c r="S15" s="686" t="s">
        <v>1049</v>
      </c>
    </row>
    <row r="16" spans="1:19">
      <c r="A16" s="681" t="s">
        <v>154</v>
      </c>
      <c r="B16" s="739" t="s">
        <v>153</v>
      </c>
      <c r="C16" s="742"/>
      <c r="D16" s="740" t="s">
        <v>259</v>
      </c>
      <c r="G16" s="347" t="s">
        <v>104</v>
      </c>
      <c r="H16" s="320">
        <f>D36</f>
        <v>0</v>
      </c>
      <c r="K16" s="329" t="s">
        <v>27</v>
      </c>
      <c r="L16" s="329">
        <f>-10.2+0.33*ImportQuestion!F6</f>
        <v>11.25</v>
      </c>
      <c r="M16" s="347">
        <f xml:space="preserve"> -7.9+0.26*ImportQuestion!F6</f>
        <v>9.0000000000000018</v>
      </c>
      <c r="P16" s="790"/>
      <c r="S16" s="686" t="s">
        <v>1049</v>
      </c>
    </row>
    <row r="17" spans="1:19">
      <c r="A17" s="681" t="s">
        <v>155</v>
      </c>
      <c r="B17" s="739" t="s">
        <v>153</v>
      </c>
      <c r="C17" s="742"/>
      <c r="D17" s="740">
        <v>0.1</v>
      </c>
      <c r="G17" s="347" t="s">
        <v>11</v>
      </c>
      <c r="H17" s="744">
        <f>C25</f>
        <v>0</v>
      </c>
      <c r="K17" s="329" t="s">
        <v>63</v>
      </c>
      <c r="L17" s="329">
        <f>-12.3+0.09*ImportQuestion!F80</f>
        <v>-2.4000000000000004</v>
      </c>
      <c r="M17" s="347">
        <f>-20.4+0.15*ImportQuestion!F80</f>
        <v>-3.8999999999999986</v>
      </c>
      <c r="P17" s="790"/>
      <c r="S17" s="686" t="s">
        <v>1049</v>
      </c>
    </row>
    <row r="18" spans="1:19">
      <c r="A18" s="681" t="s">
        <v>156</v>
      </c>
      <c r="B18" s="739" t="s">
        <v>153</v>
      </c>
      <c r="C18" s="742"/>
      <c r="D18" s="740" t="s">
        <v>260</v>
      </c>
      <c r="G18" s="347" t="s">
        <v>12</v>
      </c>
      <c r="H18" s="744">
        <f>C12</f>
        <v>0</v>
      </c>
      <c r="K18" s="329" t="s">
        <v>64</v>
      </c>
      <c r="L18" s="329">
        <f>IF(ImportQuestion!F104="Y",1,0)</f>
        <v>0</v>
      </c>
      <c r="M18" s="347">
        <f>IF(ImportQuestion!F104="Y",1,0)</f>
        <v>0</v>
      </c>
      <c r="P18" s="790"/>
      <c r="S18" s="686" t="s">
        <v>1049</v>
      </c>
    </row>
    <row r="19" spans="1:19">
      <c r="A19" s="681" t="s">
        <v>157</v>
      </c>
      <c r="B19" s="739" t="s">
        <v>153</v>
      </c>
      <c r="C19" s="742"/>
      <c r="D19" s="740" t="s">
        <v>258</v>
      </c>
      <c r="G19" s="347" t="s">
        <v>13</v>
      </c>
      <c r="H19" s="756">
        <f>C15</f>
        <v>0</v>
      </c>
      <c r="K19" s="329" t="s">
        <v>65</v>
      </c>
      <c r="L19" s="329">
        <f>-4+2.5*(H6*0.386)</f>
        <v>10.996099999999998</v>
      </c>
      <c r="M19" s="347">
        <f xml:space="preserve"> -5.27+3.29*(H6*0.386)</f>
        <v>14.464867599999998</v>
      </c>
      <c r="P19" s="790"/>
      <c r="S19" s="686" t="s">
        <v>1049</v>
      </c>
    </row>
    <row r="20" spans="1:19">
      <c r="A20" s="681" t="s">
        <v>158</v>
      </c>
      <c r="B20" s="739" t="s">
        <v>159</v>
      </c>
      <c r="C20" s="741"/>
      <c r="G20" s="347" t="s">
        <v>559</v>
      </c>
      <c r="H20" s="744">
        <f>C16</f>
        <v>0</v>
      </c>
      <c r="K20" s="329" t="s">
        <v>66</v>
      </c>
      <c r="L20" s="329">
        <f>IF(ImportQuestion!F95="Y",1,0)</f>
        <v>0</v>
      </c>
      <c r="M20" s="347">
        <f>IF(ImportQuestion!F95="Y",1,0)</f>
        <v>0</v>
      </c>
      <c r="P20" s="790"/>
      <c r="S20" s="686" t="s">
        <v>2063</v>
      </c>
    </row>
    <row r="21" spans="1:19">
      <c r="A21" s="681" t="s">
        <v>160</v>
      </c>
      <c r="B21" s="739" t="s">
        <v>161</v>
      </c>
      <c r="C21" s="742"/>
      <c r="G21" s="347" t="s">
        <v>14</v>
      </c>
      <c r="H21" s="744">
        <f>C18</f>
        <v>0</v>
      </c>
      <c r="K21" s="329" t="s">
        <v>67</v>
      </c>
      <c r="L21" s="329">
        <f>IF(ImportQuestion!F82="Y",1,0)</f>
        <v>1</v>
      </c>
      <c r="M21" s="347">
        <f>IF(ImportQuestion!F82="Y",1,0)</f>
        <v>1</v>
      </c>
      <c r="P21" s="790"/>
      <c r="S21" s="682" t="s">
        <v>1054</v>
      </c>
    </row>
    <row r="22" spans="1:19">
      <c r="A22" s="681" t="s">
        <v>162</v>
      </c>
      <c r="B22" s="739" t="s">
        <v>143</v>
      </c>
      <c r="C22" s="741"/>
      <c r="G22" s="347" t="s">
        <v>15</v>
      </c>
      <c r="H22" s="744">
        <f>C19</f>
        <v>0</v>
      </c>
      <c r="K22" s="329" t="s">
        <v>68</v>
      </c>
      <c r="L22" s="347">
        <f>SUM(L16:L21)</f>
        <v>20.8461</v>
      </c>
      <c r="M22" s="347">
        <f>SUM(M16:M21)</f>
        <v>20.564867599999999</v>
      </c>
      <c r="P22" s="790"/>
      <c r="S22" s="686" t="s">
        <v>2063</v>
      </c>
    </row>
    <row r="23" spans="1:19">
      <c r="A23" s="681" t="s">
        <v>163</v>
      </c>
      <c r="B23" s="739" t="s">
        <v>164</v>
      </c>
      <c r="C23" s="742"/>
      <c r="G23" s="757" t="s">
        <v>16</v>
      </c>
      <c r="H23" s="324"/>
      <c r="K23" s="329" t="s">
        <v>116</v>
      </c>
      <c r="L23" s="347">
        <f>(-0.38+L22*1.37)/100</f>
        <v>0.28179157000000005</v>
      </c>
      <c r="M23" s="347">
        <f xml:space="preserve"> (-0.148+0.89*M22)/100</f>
        <v>0.18154732163999998</v>
      </c>
      <c r="S23" s="686" t="s">
        <v>1058</v>
      </c>
    </row>
    <row r="24" spans="1:19">
      <c r="A24" s="681" t="s">
        <v>165</v>
      </c>
      <c r="B24" s="739" t="s">
        <v>164</v>
      </c>
      <c r="C24" s="742"/>
      <c r="G24" s="347" t="s">
        <v>17</v>
      </c>
      <c r="H24" s="744">
        <f>C23</f>
        <v>0</v>
      </c>
      <c r="K24" s="329"/>
      <c r="L24" s="347"/>
      <c r="M24" s="347"/>
      <c r="S24" s="686" t="s">
        <v>1058</v>
      </c>
    </row>
    <row r="25" spans="1:19">
      <c r="A25" s="681" t="s">
        <v>166</v>
      </c>
      <c r="B25" s="739" t="s">
        <v>167</v>
      </c>
      <c r="C25" s="742"/>
      <c r="G25" s="347" t="s">
        <v>18</v>
      </c>
      <c r="H25" s="744">
        <f>C24</f>
        <v>0</v>
      </c>
      <c r="K25" s="329" t="s">
        <v>118</v>
      </c>
      <c r="L25" s="329">
        <f>-10.2+0.33*((ImportQuestion!F6)+5)</f>
        <v>12.900000000000002</v>
      </c>
      <c r="M25" s="347">
        <f>-7.9+0.26*((ImportQuestion!F6)+5)</f>
        <v>10.299999999999999</v>
      </c>
      <c r="S25" s="686" t="s">
        <v>1058</v>
      </c>
    </row>
    <row r="26" spans="1:19">
      <c r="A26" s="681" t="s">
        <v>535</v>
      </c>
      <c r="B26" s="739" t="s">
        <v>168</v>
      </c>
      <c r="C26" s="741"/>
      <c r="G26" s="347" t="s">
        <v>273</v>
      </c>
      <c r="H26" s="758">
        <f>(C53+C54)/12</f>
        <v>0</v>
      </c>
      <c r="K26" s="329" t="s">
        <v>119</v>
      </c>
      <c r="L26" s="347">
        <f>(L17+L18+L19+L20+L21+L25)</f>
        <v>22.496099999999998</v>
      </c>
      <c r="M26" s="347">
        <f>(M17+M18+M19+M20+M21+M25)</f>
        <v>21.864867599999997</v>
      </c>
      <c r="S26" s="686" t="s">
        <v>2065</v>
      </c>
    </row>
    <row r="27" spans="1:19">
      <c r="A27" s="681" t="s">
        <v>533</v>
      </c>
      <c r="B27" s="739" t="s">
        <v>169</v>
      </c>
      <c r="C27" s="741"/>
      <c r="G27" s="347" t="s">
        <v>274</v>
      </c>
      <c r="H27" s="759" t="str">
        <f>IF(C55&lt;8,"L",(IF(C55&gt;14,"H","N")))</f>
        <v>L</v>
      </c>
      <c r="K27" s="329" t="s">
        <v>117</v>
      </c>
      <c r="L27" s="347">
        <f>(-0.38+L26*1.37)/100</f>
        <v>0.30439656999999998</v>
      </c>
      <c r="M27" s="347">
        <f xml:space="preserve"> (-0.148+0.89*M26)/100</f>
        <v>0.19311732163999998</v>
      </c>
      <c r="S27" s="682" t="s">
        <v>2077</v>
      </c>
    </row>
    <row r="28" spans="1:19">
      <c r="A28" s="681" t="s">
        <v>170</v>
      </c>
      <c r="B28" s="739" t="s">
        <v>171</v>
      </c>
      <c r="C28" s="741"/>
      <c r="G28" s="347" t="s">
        <v>19</v>
      </c>
      <c r="H28" s="744">
        <f>C31</f>
        <v>0</v>
      </c>
      <c r="S28" s="682" t="s">
        <v>2077</v>
      </c>
    </row>
    <row r="29" spans="1:19">
      <c r="A29" s="681" t="s">
        <v>172</v>
      </c>
      <c r="B29" s="739" t="s">
        <v>145</v>
      </c>
      <c r="C29" s="741"/>
      <c r="G29" s="760" t="s">
        <v>330</v>
      </c>
      <c r="H29" s="760">
        <f>ImportQuestion!F229</f>
        <v>0</v>
      </c>
      <c r="I29" s="761" t="s">
        <v>331</v>
      </c>
      <c r="J29" s="550" t="e">
        <f>H3/H29</f>
        <v>#DIV/0!</v>
      </c>
      <c r="K29" s="323" t="s">
        <v>120</v>
      </c>
      <c r="L29" s="329">
        <f>IF(ImportQuestion!F3="H",1.23,1.04)</f>
        <v>1.04</v>
      </c>
      <c r="S29" s="682" t="s">
        <v>2077</v>
      </c>
    </row>
    <row r="30" spans="1:19">
      <c r="A30" s="684" t="s">
        <v>497</v>
      </c>
      <c r="B30" s="739" t="s">
        <v>164</v>
      </c>
      <c r="C30" s="762"/>
      <c r="G30" s="332" t="s">
        <v>114</v>
      </c>
      <c r="H30" s="763" t="e">
        <f>(ImportQuestion!F6*H25)/((H22*(SQRT(H24))))</f>
        <v>#DIV/0!</v>
      </c>
      <c r="I30" s="764" t="e">
        <f>IF(H30&lt;2,0,1.5)</f>
        <v>#DIV/0!</v>
      </c>
      <c r="S30" s="686" t="s">
        <v>1080</v>
      </c>
    </row>
    <row r="31" spans="1:19">
      <c r="A31" s="681" t="s">
        <v>173</v>
      </c>
      <c r="B31" s="739" t="s">
        <v>174</v>
      </c>
      <c r="C31" s="742"/>
      <c r="G31" s="332" t="s">
        <v>103</v>
      </c>
      <c r="H31" s="845">
        <f>MAX(0.01,IF(ImportQuestion!F3="H",ImportBiologie!L23,ImportBiologie!M23))</f>
        <v>0.18154732163999998</v>
      </c>
      <c r="I31" s="686" t="s">
        <v>115</v>
      </c>
      <c r="J31" s="765">
        <f>IF(ImportQuestion!F3="H",ImportBiologie!L27,ImportBiologie!M27)</f>
        <v>0.19311732163999998</v>
      </c>
      <c r="K31" s="686">
        <v>8.5</v>
      </c>
      <c r="S31" s="686" t="s">
        <v>2065</v>
      </c>
    </row>
    <row r="32" spans="1:19">
      <c r="A32" s="681" t="s">
        <v>175</v>
      </c>
      <c r="B32" s="739" t="s">
        <v>176</v>
      </c>
      <c r="C32" s="742"/>
      <c r="D32" s="766">
        <f>C32*0.03624502</f>
        <v>0</v>
      </c>
      <c r="E32" s="686" t="s">
        <v>229</v>
      </c>
      <c r="G32" s="767" t="s">
        <v>58</v>
      </c>
      <c r="H32" s="767">
        <f>IF(H3=0,0,(IF(ImportQuestion!F110="Y",(H3*1.5),H3))*G40)</f>
        <v>0</v>
      </c>
      <c r="K32" s="686">
        <f>2/8.5</f>
        <v>0.23529411764705882</v>
      </c>
      <c r="S32" s="686" t="s">
        <v>2065</v>
      </c>
    </row>
    <row r="33" spans="1:19">
      <c r="A33" s="681" t="s">
        <v>178</v>
      </c>
      <c r="B33" s="739" t="s">
        <v>159</v>
      </c>
      <c r="C33" s="742"/>
      <c r="D33" s="347">
        <f>C33*0.168</f>
        <v>0</v>
      </c>
      <c r="E33" s="686" t="s">
        <v>230</v>
      </c>
      <c r="F33" s="792" t="s">
        <v>2148</v>
      </c>
      <c r="G33" s="767" t="s">
        <v>69</v>
      </c>
      <c r="H33" s="767">
        <f>MAX(IF(H6&gt;5.2,1.2,0),(IF(H11&gt;1.8,1.2,0)),(IF(H6=0,1,0)),(IF(H11&gt;5,2,0)))</f>
        <v>1.2</v>
      </c>
      <c r="I33" s="682"/>
      <c r="S33" s="686" t="s">
        <v>1089</v>
      </c>
    </row>
    <row r="34" spans="1:19">
      <c r="A34" s="681" t="s">
        <v>179</v>
      </c>
      <c r="B34" s="739" t="s">
        <v>180</v>
      </c>
      <c r="C34" s="741"/>
      <c r="G34" s="767" t="s">
        <v>70</v>
      </c>
      <c r="H34" s="767">
        <f>MAX(IF(H10&gt;6,2,0),IF(H10=0,1,0))</f>
        <v>1</v>
      </c>
      <c r="I34" s="682"/>
      <c r="S34" s="686" t="s">
        <v>1051</v>
      </c>
    </row>
    <row r="35" spans="1:19">
      <c r="A35" s="681" t="s">
        <v>327</v>
      </c>
      <c r="B35" s="739" t="s">
        <v>161</v>
      </c>
      <c r="C35" s="742"/>
      <c r="G35" s="332" t="s">
        <v>60</v>
      </c>
      <c r="H35" s="332">
        <f>MAX(IF(H5&gt;2.6,1.3,1),IF(H4&gt;420,1.3,1),IF(C44&gt;850,1.3,1),IF(C42&gt;7.5,1.3,1))</f>
        <v>1</v>
      </c>
      <c r="I35" s="329"/>
      <c r="K35" s="686" t="s">
        <v>580</v>
      </c>
      <c r="L35" s="329"/>
      <c r="N35" s="791"/>
      <c r="S35" s="686" t="s">
        <v>1051</v>
      </c>
    </row>
    <row r="36" spans="1:19">
      <c r="A36" s="681" t="s">
        <v>181</v>
      </c>
      <c r="B36" s="739" t="s">
        <v>140</v>
      </c>
      <c r="C36" s="742"/>
      <c r="D36" s="740">
        <f>C36*8.84</f>
        <v>0</v>
      </c>
      <c r="E36" s="686" t="s">
        <v>169</v>
      </c>
      <c r="G36" s="332" t="s">
        <v>59</v>
      </c>
      <c r="H36" s="768">
        <f>(0.0393+(0.042*H32)-(0.00055*H32^2))/3</f>
        <v>1.3100000000000001E-2</v>
      </c>
      <c r="I36" s="686" t="s">
        <v>243</v>
      </c>
      <c r="J36" s="768">
        <f>(0.0393+(0.042*(H32+1))-(0.00055*(H32+1)^2))/3</f>
        <v>2.6916666666666672E-2</v>
      </c>
      <c r="S36" s="686" t="s">
        <v>1089</v>
      </c>
    </row>
    <row r="37" spans="1:19">
      <c r="A37" s="681" t="s">
        <v>182</v>
      </c>
      <c r="B37" s="739" t="s">
        <v>183</v>
      </c>
      <c r="C37" s="742"/>
      <c r="D37" s="740" t="s">
        <v>177</v>
      </c>
      <c r="E37" s="175" t="s">
        <v>334</v>
      </c>
      <c r="F37" s="175">
        <f>IF(C37&lt;30,2,IF(C37&gt;60,1,1.5))+IF(C37=0,-1,0)</f>
        <v>1</v>
      </c>
      <c r="G37" s="769" t="s">
        <v>120</v>
      </c>
      <c r="H37" s="770" t="e">
        <f>((140-ImportQuestion!F6)*(ImportQuestion!F78)*L29/(ImportBiologie!H16))</f>
        <v>#DIV/0!</v>
      </c>
      <c r="J37" s="795"/>
      <c r="S37" s="686" t="s">
        <v>1089</v>
      </c>
    </row>
    <row r="38" spans="1:19">
      <c r="A38" s="708" t="s">
        <v>348</v>
      </c>
      <c r="B38" s="748" t="s">
        <v>185</v>
      </c>
      <c r="C38" s="749"/>
      <c r="D38" s="740" t="s">
        <v>346</v>
      </c>
      <c r="E38" s="686" t="s">
        <v>347</v>
      </c>
      <c r="G38" s="332" t="s">
        <v>121</v>
      </c>
      <c r="H38" s="332">
        <f>SUM(J38:J42)</f>
        <v>1.2</v>
      </c>
      <c r="I38" s="686" t="s">
        <v>0</v>
      </c>
      <c r="J38" s="682">
        <f>IF(ImportQuestion!H77&gt;0.3,2,0)</f>
        <v>0</v>
      </c>
      <c r="L38" s="686">
        <v>2</v>
      </c>
      <c r="S38" s="686" t="s">
        <v>2064</v>
      </c>
    </row>
    <row r="39" spans="1:19">
      <c r="A39" s="709" t="s">
        <v>349</v>
      </c>
      <c r="B39" s="748" t="s">
        <v>185</v>
      </c>
      <c r="C39" s="749"/>
      <c r="I39" s="686" t="s">
        <v>71</v>
      </c>
      <c r="J39" s="686">
        <f>IF(ImportQuestion!F79&gt;ImportBiologie!K39,1.5,0)</f>
        <v>0</v>
      </c>
      <c r="K39" s="771">
        <v>102</v>
      </c>
      <c r="L39" s="686">
        <v>1.5</v>
      </c>
      <c r="S39" s="686" t="s">
        <v>2064</v>
      </c>
    </row>
    <row r="40" spans="1:19">
      <c r="A40" s="708" t="s">
        <v>350</v>
      </c>
      <c r="B40" s="748" t="s">
        <v>185</v>
      </c>
      <c r="C40" s="749"/>
      <c r="F40" s="796" t="s">
        <v>255</v>
      </c>
      <c r="G40" s="521">
        <f>IF(ImportQuestion!H77&gt;0.3,1.5,1)</f>
        <v>1</v>
      </c>
      <c r="I40" s="686" t="s">
        <v>122</v>
      </c>
      <c r="J40" s="686">
        <f>L20</f>
        <v>0</v>
      </c>
      <c r="L40" s="686">
        <v>1</v>
      </c>
      <c r="S40" s="686" t="s">
        <v>2064</v>
      </c>
    </row>
    <row r="41" spans="1:19">
      <c r="A41" s="710" t="s">
        <v>186</v>
      </c>
      <c r="B41" s="739" t="s">
        <v>187</v>
      </c>
      <c r="C41" s="742"/>
      <c r="I41" s="686" t="s">
        <v>123</v>
      </c>
      <c r="J41" s="686">
        <f>H33</f>
        <v>1.2</v>
      </c>
      <c r="L41" s="686">
        <v>1</v>
      </c>
      <c r="S41" s="686" t="s">
        <v>1089</v>
      </c>
    </row>
    <row r="42" spans="1:19">
      <c r="A42" s="711" t="s">
        <v>188</v>
      </c>
      <c r="B42" s="739" t="s">
        <v>189</v>
      </c>
      <c r="C42" s="742"/>
      <c r="D42" s="740">
        <f>C42*40</f>
        <v>0</v>
      </c>
      <c r="E42" s="686" t="s">
        <v>192</v>
      </c>
      <c r="I42" s="686" t="s">
        <v>124</v>
      </c>
      <c r="J42" s="686">
        <f>MAX(IF(ImportQuestion!F104="Y",1,0),IF(ImportQuestion!F80&gt;140,1,0))</f>
        <v>0</v>
      </c>
      <c r="L42" s="686">
        <v>1</v>
      </c>
      <c r="S42" s="686" t="s">
        <v>1089</v>
      </c>
    </row>
    <row r="43" spans="1:19">
      <c r="A43" s="711" t="s">
        <v>190</v>
      </c>
      <c r="B43" s="739" t="s">
        <v>189</v>
      </c>
      <c r="C43" s="742"/>
      <c r="L43" s="686">
        <f>SUM(L38:L42)</f>
        <v>6.5</v>
      </c>
      <c r="S43" s="686" t="s">
        <v>1089</v>
      </c>
    </row>
    <row r="44" spans="1:19">
      <c r="A44" s="711" t="s">
        <v>191</v>
      </c>
      <c r="B44" s="739" t="s">
        <v>192</v>
      </c>
      <c r="C44" s="742"/>
      <c r="D44" s="740">
        <f>C44*0.168</f>
        <v>0</v>
      </c>
      <c r="S44" s="686" t="s">
        <v>1089</v>
      </c>
    </row>
    <row r="45" spans="1:19">
      <c r="A45" s="711" t="s">
        <v>193</v>
      </c>
      <c r="B45" s="739"/>
      <c r="C45" s="742"/>
      <c r="I45" s="686" t="s">
        <v>314</v>
      </c>
      <c r="K45" s="686" t="e">
        <f>IF(H37&lt;75,2,(IF(H37&gt;100,0,1)))</f>
        <v>#DIV/0!</v>
      </c>
      <c r="S45" s="686" t="s">
        <v>1089</v>
      </c>
    </row>
    <row r="46" spans="1:19">
      <c r="A46" s="711" t="s">
        <v>194</v>
      </c>
      <c r="B46" s="739" t="s">
        <v>488</v>
      </c>
      <c r="C46" s="741"/>
      <c r="M46" s="329"/>
      <c r="S46" s="686" t="s">
        <v>1089</v>
      </c>
    </row>
    <row r="47" spans="1:19">
      <c r="A47" s="711" t="s">
        <v>195</v>
      </c>
      <c r="B47" s="739" t="s">
        <v>225</v>
      </c>
      <c r="C47" s="742"/>
      <c r="D47" s="740">
        <f>(C47*1000)/8.84</f>
        <v>0</v>
      </c>
      <c r="E47" s="686" t="s">
        <v>230</v>
      </c>
      <c r="G47" s="355" t="s">
        <v>602</v>
      </c>
      <c r="H47" s="351">
        <f>IF(C38="Positive",3,1)</f>
        <v>1</v>
      </c>
      <c r="S47" s="686" t="s">
        <v>1089</v>
      </c>
    </row>
    <row r="48" spans="1:19">
      <c r="A48" s="711" t="s">
        <v>195</v>
      </c>
      <c r="B48" s="739" t="s">
        <v>189</v>
      </c>
      <c r="C48" s="742"/>
      <c r="D48" s="740">
        <f>(C48*1000)/8.84</f>
        <v>0</v>
      </c>
      <c r="E48" s="686" t="s">
        <v>192</v>
      </c>
      <c r="K48" s="331" t="s">
        <v>203</v>
      </c>
      <c r="L48" s="772">
        <f>C56</f>
        <v>65</v>
      </c>
      <c r="N48" s="773" t="str">
        <f>IF(L59&lt;2.5,"Faible",IF(L59&gt;7.5,"Elevé","intermédiare"))</f>
        <v>Elevé</v>
      </c>
      <c r="S48" s="686" t="s">
        <v>1089</v>
      </c>
    </row>
    <row r="49" spans="1:19">
      <c r="A49" s="711" t="s">
        <v>196</v>
      </c>
      <c r="B49" s="739" t="s">
        <v>189</v>
      </c>
      <c r="C49" s="742"/>
      <c r="E49" s="686" t="s">
        <v>231</v>
      </c>
      <c r="K49" s="331" t="s">
        <v>610</v>
      </c>
      <c r="L49" s="331">
        <f>ImportQuestion!H3</f>
        <v>0</v>
      </c>
      <c r="N49" s="773" t="str">
        <f>IF(L59&lt;5,"Faible",IF(L59&gt;10,"Elevé","intermédiare"))</f>
        <v>Elevé</v>
      </c>
      <c r="S49" s="686" t="s">
        <v>1089</v>
      </c>
    </row>
    <row r="50" spans="1:19">
      <c r="A50" s="709" t="s">
        <v>197</v>
      </c>
      <c r="B50" s="748" t="s">
        <v>198</v>
      </c>
      <c r="C50" s="749"/>
      <c r="K50" s="331" t="s">
        <v>611</v>
      </c>
      <c r="L50" s="331">
        <f>IF(ImportQuestion!F82="Y",1,0)</f>
        <v>1</v>
      </c>
      <c r="N50" s="773" t="str">
        <f>IF(L59&lt;7.5,"Faible",IF(L59&gt;15,"Elevé","intermédiare"))</f>
        <v>intermédiare</v>
      </c>
      <c r="S50" s="686" t="s">
        <v>1089</v>
      </c>
    </row>
    <row r="51" spans="1:19">
      <c r="A51" s="709" t="s">
        <v>199</v>
      </c>
      <c r="B51" s="748" t="s">
        <v>198</v>
      </c>
      <c r="C51" s="749"/>
      <c r="K51" s="774" t="s">
        <v>612</v>
      </c>
      <c r="L51" s="331">
        <f>ImportQuestion!F80</f>
        <v>110</v>
      </c>
      <c r="N51" s="333"/>
      <c r="S51" s="686" t="s">
        <v>1051</v>
      </c>
    </row>
    <row r="52" spans="1:19">
      <c r="A52" s="709" t="s">
        <v>200</v>
      </c>
      <c r="B52" s="748" t="s">
        <v>198</v>
      </c>
      <c r="C52" s="749"/>
      <c r="K52" s="331" t="s">
        <v>613</v>
      </c>
      <c r="L52" s="331">
        <f>H6-H8</f>
        <v>12.95</v>
      </c>
      <c r="N52" s="662" t="str">
        <f>IF(L48&lt;50,N48,(IF(L48&gt;70,N50,N49)))</f>
        <v>Elevé</v>
      </c>
      <c r="S52" s="686" t="s">
        <v>1058</v>
      </c>
    </row>
    <row r="53" spans="1:19">
      <c r="A53" s="685" t="s">
        <v>268</v>
      </c>
      <c r="B53" s="338" t="s">
        <v>135</v>
      </c>
      <c r="D53" s="740" t="s">
        <v>271</v>
      </c>
      <c r="S53" s="686" t="s">
        <v>1054</v>
      </c>
    </row>
    <row r="54" spans="1:19">
      <c r="A54" s="685" t="s">
        <v>269</v>
      </c>
      <c r="B54" s="338" t="s">
        <v>135</v>
      </c>
      <c r="D54" s="740" t="s">
        <v>272</v>
      </c>
      <c r="S54" s="686" t="s">
        <v>1054</v>
      </c>
    </row>
    <row r="55" spans="1:19">
      <c r="A55" s="681" t="s">
        <v>270</v>
      </c>
      <c r="B55" s="338" t="s">
        <v>135</v>
      </c>
      <c r="S55" s="686" t="s">
        <v>1054</v>
      </c>
    </row>
    <row r="56" spans="1:19">
      <c r="A56" s="702" t="s">
        <v>203</v>
      </c>
      <c r="C56" s="797">
        <f>ImportQuestion!F6</f>
        <v>65</v>
      </c>
      <c r="S56" s="798" t="s">
        <v>2078</v>
      </c>
    </row>
    <row r="57" spans="1:19">
      <c r="A57" s="702" t="s">
        <v>204</v>
      </c>
      <c r="C57" s="799">
        <f>ImportQuestion!F78</f>
        <v>65</v>
      </c>
      <c r="D57" s="740" t="s">
        <v>261</v>
      </c>
      <c r="E57" s="687">
        <f>C58-100-((C58-150)/4)</f>
        <v>72.5</v>
      </c>
      <c r="F57" s="795" t="s">
        <v>265</v>
      </c>
      <c r="G57" s="795" t="s">
        <v>264</v>
      </c>
      <c r="H57" s="775">
        <f>((10*C57)+(6.25*C58)-(5*C56)+5)/1000</f>
        <v>1.4550000000000001</v>
      </c>
      <c r="S57" s="798" t="s">
        <v>2078</v>
      </c>
    </row>
    <row r="58" spans="1:19">
      <c r="A58" s="702" t="s">
        <v>205</v>
      </c>
      <c r="C58" s="799">
        <f>ImportQuestion!F77</f>
        <v>180</v>
      </c>
      <c r="F58" s="686" t="s">
        <v>267</v>
      </c>
      <c r="G58" s="795" t="s">
        <v>266</v>
      </c>
      <c r="H58" s="775">
        <f>((10*C57)+(C58*6.25)-(5*C56)-161)/1000</f>
        <v>1.2889999999999999</v>
      </c>
      <c r="L58" s="774" t="s">
        <v>614</v>
      </c>
      <c r="S58" s="798" t="s">
        <v>2078</v>
      </c>
    </row>
    <row r="59" spans="1:19">
      <c r="A59" s="702" t="s">
        <v>206</v>
      </c>
      <c r="C59" s="800">
        <f>100*C57/C58^2</f>
        <v>0.20061728395061729</v>
      </c>
      <c r="D59" s="740" t="s">
        <v>201</v>
      </c>
      <c r="K59" s="686" t="s">
        <v>609</v>
      </c>
      <c r="L59" s="776">
        <f xml:space="preserve"> -25.7140130071773+0.267011088709677*L48+2.55729166666666*L49+2.97395833333333*L50+0.0753386699507389*L51+0.576041666666669*L52</f>
        <v>10.362659370199676</v>
      </c>
      <c r="S59" s="798" t="s">
        <v>2078</v>
      </c>
    </row>
    <row r="60" spans="1:19">
      <c r="A60" s="702" t="s">
        <v>207</v>
      </c>
      <c r="B60" s="740"/>
      <c r="C60" s="801" t="e">
        <f>C16/C18</f>
        <v>#DIV/0!</v>
      </c>
      <c r="D60" s="740" t="s">
        <v>202</v>
      </c>
      <c r="S60" s="798" t="s">
        <v>2078</v>
      </c>
    </row>
    <row r="61" spans="1:19">
      <c r="A61" s="702" t="s">
        <v>208</v>
      </c>
      <c r="B61" s="740"/>
      <c r="C61" s="801">
        <f>IF(C29&lt;0.8,1.1,1)</f>
        <v>1.1000000000000001</v>
      </c>
      <c r="S61" s="798" t="s">
        <v>2078</v>
      </c>
    </row>
    <row r="62" spans="1:19">
      <c r="A62" s="702" t="s">
        <v>209</v>
      </c>
      <c r="B62" s="740"/>
      <c r="C62" s="777" t="e">
        <f>C27/C28</f>
        <v>#DIV/0!</v>
      </c>
      <c r="S62" s="798" t="s">
        <v>2078</v>
      </c>
    </row>
    <row r="63" spans="1:19">
      <c r="A63" s="702" t="s">
        <v>210</v>
      </c>
      <c r="B63" s="740"/>
      <c r="C63" s="777" t="e">
        <f>C32/C26</f>
        <v>#DIV/0!</v>
      </c>
      <c r="S63" s="798" t="s">
        <v>2078</v>
      </c>
    </row>
    <row r="64" spans="1:19">
      <c r="A64" s="702" t="s">
        <v>211</v>
      </c>
      <c r="B64" s="740"/>
      <c r="C64" s="801">
        <f>IF(C35&lt;30,1.2,1)</f>
        <v>1.2</v>
      </c>
      <c r="S64" s="798" t="s">
        <v>2078</v>
      </c>
    </row>
    <row r="65" spans="1:19">
      <c r="A65" s="702" t="s">
        <v>212</v>
      </c>
      <c r="B65" s="842">
        <f>C42/C57</f>
        <v>0</v>
      </c>
      <c r="C65" s="801">
        <f>IF(B65&gt;0.1,1,0)</f>
        <v>0</v>
      </c>
      <c r="S65" s="798" t="s">
        <v>2078</v>
      </c>
    </row>
    <row r="66" spans="1:19">
      <c r="A66" s="702" t="s">
        <v>213</v>
      </c>
      <c r="B66" s="740"/>
      <c r="C66" s="801">
        <f>IF(C44&gt;1000,1,0)</f>
        <v>0</v>
      </c>
      <c r="S66" s="798" t="s">
        <v>2078</v>
      </c>
    </row>
    <row r="67" spans="1:19">
      <c r="A67" s="702" t="s">
        <v>214</v>
      </c>
      <c r="B67" s="740"/>
      <c r="C67" s="801">
        <f>IF(C49&gt;150,1,0)</f>
        <v>0</v>
      </c>
      <c r="S67" s="798" t="s">
        <v>2078</v>
      </c>
    </row>
    <row r="68" spans="1:19">
      <c r="A68" s="702" t="s">
        <v>215</v>
      </c>
      <c r="B68" s="740"/>
      <c r="C68" s="801">
        <f>IF(C41&lt;2,1,0)</f>
        <v>1</v>
      </c>
      <c r="D68" s="777" t="e">
        <f>IF(C63&lt;0.1,1.2,1)</f>
        <v>#DIV/0!</v>
      </c>
      <c r="S68" s="798" t="s">
        <v>2078</v>
      </c>
    </row>
    <row r="69" spans="1:19">
      <c r="A69" s="702" t="s">
        <v>216</v>
      </c>
      <c r="B69" s="740"/>
      <c r="C69" s="777">
        <f>C49/17</f>
        <v>0</v>
      </c>
      <c r="S69" s="798" t="s">
        <v>2078</v>
      </c>
    </row>
    <row r="70" spans="1:19">
      <c r="A70" s="702" t="s">
        <v>218</v>
      </c>
      <c r="B70" s="740"/>
      <c r="C70" s="777">
        <f>C43/5</f>
        <v>0</v>
      </c>
      <c r="D70" s="740" t="s">
        <v>262</v>
      </c>
      <c r="E70" s="687">
        <f>E57*0.8</f>
        <v>58</v>
      </c>
      <c r="S70" s="798" t="s">
        <v>2078</v>
      </c>
    </row>
    <row r="71" spans="1:19">
      <c r="A71" s="702" t="s">
        <v>219</v>
      </c>
      <c r="B71" s="740"/>
      <c r="C71" s="802">
        <f>AUTOQUESTIONNAIRE!H3</f>
        <v>0</v>
      </c>
      <c r="S71" s="798" t="s">
        <v>2078</v>
      </c>
    </row>
    <row r="72" spans="1:19">
      <c r="A72" s="702" t="s">
        <v>235</v>
      </c>
      <c r="B72" s="740"/>
      <c r="C72" s="801">
        <f>23*(C48/8.84)</f>
        <v>0</v>
      </c>
      <c r="D72" s="740" t="s">
        <v>263</v>
      </c>
      <c r="S72" s="798" t="s">
        <v>2078</v>
      </c>
    </row>
    <row r="73" spans="1:19">
      <c r="A73" s="702" t="s">
        <v>233</v>
      </c>
      <c r="B73" s="740"/>
      <c r="C73" s="801">
        <f xml:space="preserve"> (30+0.275*C56-0.00375*C56^2)</f>
        <v>32.03125</v>
      </c>
      <c r="D73" s="743" t="s">
        <v>301</v>
      </c>
      <c r="E73" s="803">
        <f>(0.407*C57)+(0.267*C58)-9.2</f>
        <v>65.314999999999998</v>
      </c>
      <c r="F73" s="804" t="s">
        <v>2149</v>
      </c>
      <c r="S73" s="798" t="s">
        <v>2078</v>
      </c>
    </row>
    <row r="74" spans="1:19">
      <c r="A74" s="702" t="s">
        <v>234</v>
      </c>
      <c r="B74" s="740"/>
      <c r="C74" s="801">
        <f>( (42-0.5*C56+0.0025*C56^2))</f>
        <v>20.0625</v>
      </c>
      <c r="D74" s="740" t="s">
        <v>217</v>
      </c>
      <c r="S74" s="798" t="s">
        <v>2078</v>
      </c>
    </row>
    <row r="75" spans="1:19">
      <c r="A75" s="702" t="s">
        <v>220</v>
      </c>
      <c r="B75" s="740"/>
      <c r="C75" s="805">
        <f>(C72/C73)*(IF(ImportQuestion!H3=1,1,0))</f>
        <v>0</v>
      </c>
      <c r="D75" s="743" t="s">
        <v>302</v>
      </c>
      <c r="S75" s="798" t="s">
        <v>2078</v>
      </c>
    </row>
    <row r="76" spans="1:19">
      <c r="A76" s="702" t="s">
        <v>221</v>
      </c>
      <c r="B76" s="740"/>
      <c r="C76" s="777">
        <f>(C72/C74)*(IF(ImportQuestion!H3=0,1,0))</f>
        <v>0</v>
      </c>
      <c r="S76" s="798" t="s">
        <v>2078</v>
      </c>
    </row>
    <row r="77" spans="1:19">
      <c r="A77" s="703" t="s">
        <v>222</v>
      </c>
      <c r="C77" s="806">
        <f>IF(C7&gt;3,1.2,1)</f>
        <v>1.2</v>
      </c>
      <c r="S77" s="798" t="s">
        <v>2078</v>
      </c>
    </row>
    <row r="78" spans="1:19">
      <c r="A78" s="702" t="s">
        <v>186</v>
      </c>
      <c r="B78" s="740"/>
      <c r="C78" s="801">
        <f>IF(C41&lt;1800,1,0)</f>
        <v>1</v>
      </c>
      <c r="S78" s="798" t="s">
        <v>2078</v>
      </c>
    </row>
    <row r="79" spans="1:19">
      <c r="A79" s="702" t="s">
        <v>223</v>
      </c>
      <c r="B79" s="740"/>
      <c r="C79" s="801">
        <f>IF(C12&lt;10,1,0) + IF(C16&lt;4,1,0) + IF(C18&lt;1,1,0) + IF(C19&lt;50,1,0)</f>
        <v>4</v>
      </c>
      <c r="S79" s="798" t="s">
        <v>2078</v>
      </c>
    </row>
    <row r="80" spans="1:19">
      <c r="A80" s="702" t="s">
        <v>146</v>
      </c>
      <c r="B80" s="740"/>
      <c r="C80" s="801">
        <f>IF(C12&gt;17,1,0)</f>
        <v>0</v>
      </c>
      <c r="S80" s="798" t="s">
        <v>2078</v>
      </c>
    </row>
    <row r="81" spans="1:19">
      <c r="A81" s="702" t="s">
        <v>152</v>
      </c>
      <c r="B81" s="740"/>
      <c r="C81" s="801">
        <f>IF(C16&gt;70,1,0)</f>
        <v>0</v>
      </c>
      <c r="S81" s="798" t="s">
        <v>2078</v>
      </c>
    </row>
    <row r="82" spans="1:19">
      <c r="A82" s="702" t="s">
        <v>156</v>
      </c>
      <c r="B82" s="740"/>
      <c r="C82" s="801">
        <f>IF(C18&gt;5,1,0)</f>
        <v>0</v>
      </c>
      <c r="S82" s="798" t="s">
        <v>2078</v>
      </c>
    </row>
    <row r="83" spans="1:19">
      <c r="A83" s="702" t="s">
        <v>157</v>
      </c>
      <c r="B83" s="740"/>
      <c r="C83" s="801">
        <f>IF(C19&gt;600,1,0)</f>
        <v>0</v>
      </c>
      <c r="S83" s="798" t="s">
        <v>2078</v>
      </c>
    </row>
    <row r="84" spans="1:19">
      <c r="A84" s="693" t="s">
        <v>1703</v>
      </c>
      <c r="B84" s="740" t="s">
        <v>135</v>
      </c>
      <c r="C84" s="801">
        <v>2</v>
      </c>
      <c r="S84" s="682" t="s">
        <v>1049</v>
      </c>
    </row>
    <row r="85" spans="1:19">
      <c r="A85" s="702" t="s">
        <v>184</v>
      </c>
      <c r="B85" s="740"/>
      <c r="C85" s="801">
        <f>IF(C38="positive",1.5,1)</f>
        <v>1</v>
      </c>
      <c r="S85" s="798" t="s">
        <v>2078</v>
      </c>
    </row>
    <row r="86" spans="1:19">
      <c r="A86" s="704" t="s">
        <v>224</v>
      </c>
      <c r="B86" s="740"/>
      <c r="C86" s="807">
        <f>(((C67+C68+C66+C65+C78)*2)/10)+1</f>
        <v>1.4</v>
      </c>
      <c r="S86" s="798" t="s">
        <v>2078</v>
      </c>
    </row>
    <row r="87" spans="1:19">
      <c r="A87" s="694" t="s">
        <v>226</v>
      </c>
      <c r="C87" s="740">
        <f>C3/C4</f>
        <v>6</v>
      </c>
      <c r="D87" s="740" t="s">
        <v>227</v>
      </c>
      <c r="E87" s="686" t="s">
        <v>228</v>
      </c>
      <c r="S87" s="798" t="s">
        <v>2078</v>
      </c>
    </row>
    <row r="88" spans="1:19">
      <c r="A88" s="694" t="s">
        <v>1339</v>
      </c>
      <c r="B88" s="740" t="s">
        <v>1395</v>
      </c>
      <c r="C88" s="740"/>
      <c r="S88" s="682" t="s">
        <v>2065</v>
      </c>
    </row>
    <row r="89" spans="1:19">
      <c r="A89" s="681" t="s">
        <v>1232</v>
      </c>
      <c r="B89" s="778" t="s">
        <v>1395</v>
      </c>
      <c r="C89" s="338">
        <v>10</v>
      </c>
      <c r="D89" s="779" t="s">
        <v>1394</v>
      </c>
      <c r="E89" s="373">
        <f>(C9*C88)/405</f>
        <v>0</v>
      </c>
      <c r="F89" s="780"/>
      <c r="G89" s="780"/>
      <c r="S89" s="686" t="s">
        <v>2065</v>
      </c>
    </row>
    <row r="90" spans="1:19">
      <c r="A90" s="681" t="s">
        <v>1400</v>
      </c>
      <c r="B90" s="778" t="s">
        <v>1399</v>
      </c>
      <c r="S90" s="682" t="s">
        <v>2079</v>
      </c>
    </row>
    <row r="91" spans="1:19">
      <c r="A91" s="705" t="s">
        <v>1260</v>
      </c>
      <c r="B91" s="781" t="s">
        <v>1397</v>
      </c>
      <c r="F91" s="780"/>
      <c r="S91" s="686" t="s">
        <v>2065</v>
      </c>
    </row>
    <row r="92" spans="1:19">
      <c r="A92" s="694" t="s">
        <v>1402</v>
      </c>
      <c r="B92" s="778" t="s">
        <v>1401</v>
      </c>
      <c r="S92" s="682" t="s">
        <v>1086</v>
      </c>
    </row>
    <row r="93" spans="1:19">
      <c r="A93" s="694" t="s">
        <v>1949</v>
      </c>
      <c r="B93" s="778" t="s">
        <v>1401</v>
      </c>
      <c r="S93" s="682" t="s">
        <v>1086</v>
      </c>
    </row>
    <row r="94" spans="1:19">
      <c r="A94" s="694" t="s">
        <v>1340</v>
      </c>
      <c r="B94" s="740" t="s">
        <v>1396</v>
      </c>
      <c r="F94" s="780"/>
      <c r="S94" s="686" t="s">
        <v>1086</v>
      </c>
    </row>
    <row r="95" spans="1:19">
      <c r="A95" s="693" t="s">
        <v>1398</v>
      </c>
      <c r="B95" s="338" t="s">
        <v>143</v>
      </c>
      <c r="F95" s="782"/>
      <c r="S95" s="686" t="s">
        <v>1058</v>
      </c>
    </row>
    <row r="96" spans="1:19">
      <c r="A96" s="706" t="s">
        <v>1574</v>
      </c>
      <c r="B96" s="338" t="s">
        <v>143</v>
      </c>
      <c r="C96" s="338">
        <v>1</v>
      </c>
      <c r="S96" s="682" t="s">
        <v>1049</v>
      </c>
    </row>
    <row r="97" spans="1:19" ht="37.5">
      <c r="A97" s="706" t="s">
        <v>1575</v>
      </c>
      <c r="B97" s="739" t="s">
        <v>153</v>
      </c>
      <c r="C97" s="338">
        <v>0.1</v>
      </c>
      <c r="D97" s="740" t="s">
        <v>1482</v>
      </c>
      <c r="F97" s="783" t="s">
        <v>1481</v>
      </c>
      <c r="G97" s="783" t="s">
        <v>1483</v>
      </c>
      <c r="S97" s="682" t="s">
        <v>1049</v>
      </c>
    </row>
    <row r="98" spans="1:19">
      <c r="A98" s="689" t="s">
        <v>1733</v>
      </c>
      <c r="B98" s="784" t="s">
        <v>1734</v>
      </c>
      <c r="C98" s="808">
        <f>MAX(IF(C19&gt;500,1.2,0.8),(IF(C10&gt;16.5,1.2,0.8)))</f>
        <v>0.8</v>
      </c>
      <c r="D98" s="785">
        <f>MAX(C98:C100)</f>
        <v>1.2</v>
      </c>
      <c r="F98" s="783"/>
      <c r="G98" s="783"/>
      <c r="S98" s="798" t="s">
        <v>2078</v>
      </c>
    </row>
    <row r="99" spans="1:19">
      <c r="A99" s="688"/>
      <c r="B99" s="784" t="s">
        <v>1735</v>
      </c>
      <c r="C99" s="808">
        <f>MAX(IF(C7&gt;10,1.2,0.8),(IF(C84&gt;4,1.2,0.8)))</f>
        <v>1.2</v>
      </c>
      <c r="F99" s="783"/>
      <c r="G99" s="783"/>
    </row>
    <row r="100" spans="1:19">
      <c r="A100" s="688"/>
      <c r="B100" s="784" t="s">
        <v>2150</v>
      </c>
      <c r="C100" s="808">
        <f>IF(C12&gt;18,1.2,0.8)</f>
        <v>0.8</v>
      </c>
      <c r="F100" s="783"/>
      <c r="G100" s="783"/>
    </row>
    <row r="101" spans="1:19">
      <c r="A101" s="688"/>
      <c r="B101" s="739"/>
      <c r="F101" s="783"/>
      <c r="G101" s="783"/>
    </row>
    <row r="102" spans="1:19">
      <c r="A102" s="688"/>
      <c r="B102" s="739"/>
      <c r="F102" s="783"/>
      <c r="G102" s="783"/>
    </row>
    <row r="103" spans="1:19" ht="75">
      <c r="A103" s="680" t="s">
        <v>1490</v>
      </c>
      <c r="B103" s="338" t="s">
        <v>1491</v>
      </c>
      <c r="C103" s="338">
        <v>50</v>
      </c>
      <c r="F103" s="786" t="s">
        <v>1484</v>
      </c>
      <c r="G103" s="786" t="s">
        <v>1485</v>
      </c>
      <c r="S103" s="798" t="s">
        <v>2078</v>
      </c>
    </row>
    <row r="104" spans="1:19" ht="56.25">
      <c r="A104" s="680" t="s">
        <v>1480</v>
      </c>
      <c r="B104" s="525" t="e">
        <f>(0.22*C56)+(0.246*C71)-(1.134*LN(C37)+(0.451*LN(C103)))</f>
        <v>#NUM!</v>
      </c>
      <c r="C104" s="338" t="s">
        <v>1736</v>
      </c>
      <c r="F104" s="786" t="s">
        <v>1486</v>
      </c>
      <c r="G104" s="786" t="s">
        <v>1487</v>
      </c>
      <c r="S104" s="798" t="s">
        <v>2078</v>
      </c>
    </row>
    <row r="105" spans="1:19" ht="93.75">
      <c r="A105" s="680" t="s">
        <v>1686</v>
      </c>
      <c r="B105" s="778" t="s">
        <v>1737</v>
      </c>
      <c r="F105" s="786" t="s">
        <v>1488</v>
      </c>
      <c r="G105" s="786" t="s">
        <v>1489</v>
      </c>
      <c r="S105" s="798"/>
    </row>
    <row r="106" spans="1:19">
      <c r="A106" s="680" t="s">
        <v>1687</v>
      </c>
      <c r="B106" s="778" t="s">
        <v>1680</v>
      </c>
      <c r="F106" s="786"/>
      <c r="G106" s="786"/>
      <c r="S106" s="798"/>
    </row>
    <row r="107" spans="1:19">
      <c r="A107" s="711" t="s">
        <v>1685</v>
      </c>
      <c r="B107" s="338" t="s">
        <v>143</v>
      </c>
      <c r="S107" s="809" t="s">
        <v>2082</v>
      </c>
    </row>
    <row r="108" spans="1:19">
      <c r="A108" s="690" t="s">
        <v>1645</v>
      </c>
      <c r="B108" s="787" t="s">
        <v>133</v>
      </c>
      <c r="C108" s="329"/>
      <c r="D108" s="686"/>
      <c r="E108" s="329"/>
      <c r="F108" s="329"/>
      <c r="G108" s="686"/>
      <c r="H108" s="686"/>
      <c r="S108" s="809" t="s">
        <v>1089</v>
      </c>
    </row>
    <row r="109" spans="1:19">
      <c r="A109" s="691" t="s">
        <v>1646</v>
      </c>
      <c r="B109" s="787" t="s">
        <v>143</v>
      </c>
      <c r="C109" s="329"/>
      <c r="D109" s="686"/>
      <c r="E109" s="329"/>
      <c r="F109" s="329"/>
      <c r="G109" s="686"/>
      <c r="H109" s="686"/>
      <c r="S109" s="682" t="s">
        <v>1086</v>
      </c>
    </row>
    <row r="110" spans="1:19">
      <c r="A110" s="690" t="s">
        <v>1647</v>
      </c>
      <c r="B110" s="787" t="s">
        <v>159</v>
      </c>
      <c r="C110" s="329"/>
      <c r="D110" s="686"/>
      <c r="E110" s="329"/>
      <c r="F110" s="329"/>
      <c r="G110" s="686"/>
      <c r="H110" s="686"/>
      <c r="S110" s="682" t="s">
        <v>1086</v>
      </c>
    </row>
    <row r="111" spans="1:19">
      <c r="A111" s="692" t="s">
        <v>1649</v>
      </c>
      <c r="B111" s="787" t="s">
        <v>133</v>
      </c>
      <c r="C111" s="329"/>
      <c r="D111" s="686"/>
      <c r="E111" s="329"/>
      <c r="F111" s="329"/>
      <c r="G111" s="686"/>
      <c r="H111" s="686"/>
      <c r="S111" s="682" t="s">
        <v>1086</v>
      </c>
    </row>
    <row r="112" spans="1:19">
      <c r="A112" s="690" t="s">
        <v>1653</v>
      </c>
      <c r="B112" s="787" t="s">
        <v>1648</v>
      </c>
      <c r="C112" s="329"/>
      <c r="D112" s="686"/>
      <c r="E112" s="329"/>
      <c r="F112" s="329"/>
      <c r="G112" s="686"/>
      <c r="H112" s="686"/>
      <c r="S112" s="809" t="s">
        <v>1089</v>
      </c>
    </row>
    <row r="113" spans="1:19">
      <c r="A113" s="690" t="s">
        <v>1688</v>
      </c>
      <c r="B113" s="787" t="s">
        <v>1654</v>
      </c>
      <c r="C113" s="329"/>
      <c r="D113" s="686"/>
      <c r="E113" s="329"/>
      <c r="F113" s="329"/>
      <c r="G113" s="686"/>
      <c r="H113" s="686"/>
      <c r="S113" s="809" t="s">
        <v>1089</v>
      </c>
    </row>
    <row r="114" spans="1:19">
      <c r="A114" s="690" t="s">
        <v>1657</v>
      </c>
      <c r="B114" s="787" t="s">
        <v>1656</v>
      </c>
      <c r="C114" s="329"/>
      <c r="D114" s="686"/>
      <c r="E114" s="329"/>
      <c r="F114" s="329"/>
      <c r="G114" s="686"/>
      <c r="H114" s="686"/>
      <c r="S114" s="809" t="s">
        <v>1058</v>
      </c>
    </row>
    <row r="115" spans="1:19">
      <c r="A115" s="690" t="s">
        <v>1658</v>
      </c>
      <c r="B115" s="787" t="s">
        <v>1652</v>
      </c>
      <c r="C115" s="329"/>
      <c r="D115" s="686"/>
      <c r="E115" s="329"/>
      <c r="F115" s="329">
        <f>IF(C19&lt;150,1,0)</f>
        <v>1</v>
      </c>
      <c r="G115" s="686"/>
      <c r="H115" s="686"/>
      <c r="S115" s="809" t="s">
        <v>1058</v>
      </c>
    </row>
    <row r="116" spans="1:19">
      <c r="A116" s="690" t="s">
        <v>2145</v>
      </c>
      <c r="B116" s="788" t="s">
        <v>143</v>
      </c>
      <c r="C116" s="329">
        <v>60</v>
      </c>
      <c r="E116" s="329"/>
      <c r="F116" s="329">
        <f>IF(C116&lt;70,1,0)</f>
        <v>1</v>
      </c>
      <c r="G116" s="686"/>
      <c r="H116" s="686"/>
      <c r="S116" s="809" t="s">
        <v>1049</v>
      </c>
    </row>
    <row r="117" spans="1:19">
      <c r="A117" s="690" t="s">
        <v>2146</v>
      </c>
      <c r="B117" s="788" t="s">
        <v>2147</v>
      </c>
      <c r="C117" s="329">
        <v>1</v>
      </c>
      <c r="D117" s="686"/>
      <c r="E117" s="329"/>
      <c r="F117" s="329">
        <f>IF(C117&gt;1.2,1,0)</f>
        <v>0</v>
      </c>
      <c r="G117" s="686"/>
      <c r="H117" s="686"/>
      <c r="S117" s="809" t="s">
        <v>1049</v>
      </c>
    </row>
    <row r="118" spans="1:19">
      <c r="A118" s="690" t="s">
        <v>1659</v>
      </c>
      <c r="B118" s="787" t="s">
        <v>1656</v>
      </c>
      <c r="C118" s="329"/>
      <c r="D118" s="810" t="s">
        <v>1951</v>
      </c>
      <c r="E118" s="329"/>
      <c r="F118" s="351">
        <f>MAX(F115:F117)</f>
        <v>1</v>
      </c>
      <c r="G118" s="686"/>
      <c r="H118" s="686"/>
      <c r="S118" s="809" t="s">
        <v>2080</v>
      </c>
    </row>
    <row r="119" spans="1:19">
      <c r="A119" s="690" t="s">
        <v>1661</v>
      </c>
      <c r="B119" s="788"/>
      <c r="C119" s="329"/>
      <c r="D119" s="686"/>
      <c r="E119" s="329"/>
      <c r="F119" s="329"/>
      <c r="G119" s="686"/>
      <c r="H119" s="686"/>
      <c r="S119" s="809" t="s">
        <v>1058</v>
      </c>
    </row>
    <row r="120" spans="1:19">
      <c r="A120" s="690" t="s">
        <v>1662</v>
      </c>
      <c r="B120" s="787" t="s">
        <v>1651</v>
      </c>
      <c r="C120" s="329"/>
      <c r="D120" s="686"/>
      <c r="E120" s="329"/>
      <c r="F120" s="329"/>
      <c r="G120" s="686"/>
      <c r="H120" s="686"/>
      <c r="S120" s="809" t="s">
        <v>2065</v>
      </c>
    </row>
    <row r="121" spans="1:19">
      <c r="A121" s="690" t="s">
        <v>1663</v>
      </c>
      <c r="B121" s="787" t="s">
        <v>1651</v>
      </c>
      <c r="C121" s="329"/>
      <c r="D121" s="686"/>
      <c r="E121" s="329"/>
      <c r="F121" s="329"/>
      <c r="G121" s="686"/>
      <c r="H121" s="686"/>
      <c r="S121" s="809" t="s">
        <v>2065</v>
      </c>
    </row>
    <row r="122" spans="1:19">
      <c r="A122" s="691" t="s">
        <v>1664</v>
      </c>
      <c r="B122" s="787" t="s">
        <v>1665</v>
      </c>
      <c r="C122" s="329"/>
      <c r="D122" s="686"/>
      <c r="E122" s="329"/>
      <c r="F122" s="329"/>
      <c r="G122" s="686"/>
      <c r="H122" s="686"/>
      <c r="S122" s="682" t="s">
        <v>1051</v>
      </c>
    </row>
    <row r="123" spans="1:19">
      <c r="A123" s="691" t="s">
        <v>1666</v>
      </c>
      <c r="B123" s="787" t="s">
        <v>161</v>
      </c>
      <c r="C123" s="329"/>
      <c r="D123" s="686"/>
      <c r="E123" s="329"/>
      <c r="F123" s="329"/>
      <c r="G123" s="686"/>
      <c r="H123" s="686"/>
      <c r="S123" s="682" t="s">
        <v>1051</v>
      </c>
    </row>
    <row r="124" spans="1:19">
      <c r="A124" s="691" t="s">
        <v>1667</v>
      </c>
      <c r="B124" s="787" t="s">
        <v>1654</v>
      </c>
      <c r="C124" s="329"/>
      <c r="D124" s="686"/>
      <c r="E124" s="329"/>
      <c r="F124" s="329"/>
      <c r="G124" s="686"/>
      <c r="H124" s="686"/>
      <c r="S124" s="682" t="s">
        <v>1051</v>
      </c>
    </row>
    <row r="125" spans="1:19">
      <c r="A125" s="691" t="s">
        <v>1669</v>
      </c>
      <c r="B125" s="787" t="s">
        <v>161</v>
      </c>
      <c r="C125" s="329"/>
      <c r="D125" s="686"/>
      <c r="E125" s="329"/>
      <c r="F125" s="329"/>
      <c r="G125" s="686"/>
      <c r="H125" s="686"/>
      <c r="S125" s="682" t="s">
        <v>1051</v>
      </c>
    </row>
    <row r="126" spans="1:19">
      <c r="A126" s="691" t="s">
        <v>1670</v>
      </c>
      <c r="B126" s="787" t="s">
        <v>1671</v>
      </c>
      <c r="C126" s="329"/>
      <c r="D126" s="686"/>
      <c r="E126" s="329"/>
      <c r="F126" s="329"/>
      <c r="G126" s="686"/>
      <c r="H126" s="686"/>
      <c r="S126" s="682" t="s">
        <v>1051</v>
      </c>
    </row>
    <row r="127" spans="1:19">
      <c r="A127" s="693" t="s">
        <v>1672</v>
      </c>
      <c r="B127" s="338" t="s">
        <v>180</v>
      </c>
      <c r="C127" s="329"/>
      <c r="D127" s="686"/>
      <c r="E127" s="329"/>
      <c r="F127" s="329"/>
      <c r="G127" s="686"/>
      <c r="H127" s="686"/>
      <c r="S127" s="682" t="s">
        <v>1051</v>
      </c>
    </row>
    <row r="128" spans="1:19">
      <c r="A128" s="693" t="s">
        <v>1673</v>
      </c>
      <c r="B128" s="748" t="s">
        <v>185</v>
      </c>
      <c r="C128" s="329" t="s">
        <v>2213</v>
      </c>
      <c r="D128" s="686"/>
      <c r="E128" s="329"/>
      <c r="F128" s="329"/>
      <c r="G128" s="686"/>
      <c r="H128" s="686"/>
      <c r="S128" s="809" t="s">
        <v>2081</v>
      </c>
    </row>
    <row r="129" spans="1:19">
      <c r="A129" s="694" t="s">
        <v>1674</v>
      </c>
      <c r="B129" s="748" t="s">
        <v>185</v>
      </c>
      <c r="C129" s="329" t="s">
        <v>2213</v>
      </c>
      <c r="D129" s="686"/>
      <c r="E129" s="329"/>
      <c r="F129" s="329"/>
      <c r="G129" s="686"/>
      <c r="H129" s="686"/>
      <c r="S129" s="809" t="s">
        <v>2081</v>
      </c>
    </row>
    <row r="130" spans="1:19">
      <c r="A130" s="693" t="s">
        <v>1675</v>
      </c>
      <c r="B130" s="748" t="s">
        <v>185</v>
      </c>
      <c r="C130" s="329" t="s">
        <v>2213</v>
      </c>
      <c r="D130" s="686"/>
      <c r="E130" s="329"/>
      <c r="F130" s="329"/>
      <c r="G130" s="686"/>
      <c r="H130" s="686"/>
      <c r="S130" s="809" t="s">
        <v>2081</v>
      </c>
    </row>
    <row r="131" spans="1:19">
      <c r="A131" s="693" t="s">
        <v>1676</v>
      </c>
      <c r="B131" s="748" t="s">
        <v>185</v>
      </c>
      <c r="C131" s="329" t="s">
        <v>2213</v>
      </c>
      <c r="D131" s="686"/>
      <c r="E131" s="329"/>
      <c r="F131" s="329"/>
      <c r="G131" s="686"/>
      <c r="H131" s="686"/>
      <c r="S131" s="809" t="s">
        <v>2081</v>
      </c>
    </row>
    <row r="132" spans="1:19">
      <c r="A132" s="693" t="s">
        <v>1677</v>
      </c>
      <c r="B132" s="748" t="s">
        <v>185</v>
      </c>
      <c r="C132" s="329" t="s">
        <v>2213</v>
      </c>
      <c r="D132" s="686"/>
      <c r="E132" s="329"/>
      <c r="F132" s="329"/>
      <c r="G132" s="686"/>
      <c r="H132" s="686"/>
      <c r="S132" s="809" t="s">
        <v>2082</v>
      </c>
    </row>
    <row r="133" spans="1:19">
      <c r="A133" s="693" t="s">
        <v>1679</v>
      </c>
      <c r="B133" s="338" t="s">
        <v>1680</v>
      </c>
      <c r="C133" s="329"/>
      <c r="D133" s="686"/>
      <c r="E133" s="329"/>
      <c r="F133" s="329"/>
      <c r="G133" s="686"/>
      <c r="H133" s="686"/>
      <c r="S133" s="682" t="s">
        <v>1051</v>
      </c>
    </row>
    <row r="134" spans="1:19">
      <c r="A134" s="693" t="s">
        <v>1681</v>
      </c>
      <c r="B134" s="338" t="s">
        <v>1682</v>
      </c>
      <c r="C134" s="329"/>
      <c r="D134" s="686"/>
      <c r="E134" s="329"/>
      <c r="F134" s="329"/>
      <c r="G134" s="686"/>
      <c r="H134" s="686"/>
      <c r="S134" s="682" t="s">
        <v>1051</v>
      </c>
    </row>
    <row r="135" spans="1:19">
      <c r="A135" s="681" t="s">
        <v>1945</v>
      </c>
      <c r="B135" s="748" t="s">
        <v>185</v>
      </c>
      <c r="C135" s="329" t="s">
        <v>2213</v>
      </c>
      <c r="D135" s="686"/>
      <c r="E135" s="329"/>
      <c r="F135" s="329"/>
      <c r="G135" s="686"/>
      <c r="H135" s="686"/>
      <c r="S135" s="809" t="s">
        <v>2082</v>
      </c>
    </row>
    <row r="136" spans="1:19">
      <c r="A136" s="681" t="s">
        <v>1700</v>
      </c>
      <c r="B136" s="338" t="s">
        <v>168</v>
      </c>
      <c r="C136" s="740"/>
      <c r="D136" s="686" t="s">
        <v>1977</v>
      </c>
      <c r="F136" s="329"/>
      <c r="H136" s="686"/>
      <c r="S136" s="809" t="s">
        <v>2082</v>
      </c>
    </row>
    <row r="137" spans="1:19">
      <c r="A137" s="681" t="s">
        <v>1976</v>
      </c>
      <c r="B137" s="748" t="s">
        <v>185</v>
      </c>
      <c r="C137" s="329" t="s">
        <v>2213</v>
      </c>
      <c r="S137" s="809" t="s">
        <v>2082</v>
      </c>
    </row>
    <row r="138" spans="1:19">
      <c r="A138" s="681" t="s">
        <v>1978</v>
      </c>
      <c r="B138" s="748" t="s">
        <v>185</v>
      </c>
      <c r="C138" s="329" t="s">
        <v>2213</v>
      </c>
      <c r="S138" s="809" t="s">
        <v>2082</v>
      </c>
    </row>
    <row r="139" spans="1:19">
      <c r="A139" s="994" t="s">
        <v>2880</v>
      </c>
      <c r="B139" s="338" t="s">
        <v>2881</v>
      </c>
      <c r="S139" s="809" t="s">
        <v>1089</v>
      </c>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2">
    <dataValidation type="list" allowBlank="1" showInputMessage="1" showErrorMessage="1" sqref="C38:C40 C50:C52" xr:uid="{72E72676-BBF7-4978-A1EF-0012D66CB83A}">
      <formula1>$D$38:$F$38</formula1>
    </dataValidation>
    <dataValidation type="list" allowBlank="1" showInputMessage="1" showErrorMessage="1" sqref="C128:C132 C135 C137:C138" xr:uid="{68CE016D-B348-4003-896D-8B99A5B25A1C}">
      <formula1>"Negative , Positive , Not Done"</formula1>
    </dataValidation>
  </dataValidations>
  <pageMargins left="0.7" right="0.7" top="0.75" bottom="0.75" header="0.3" footer="0.3"/>
  <pageSetup paperSize="9" scale="3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955D8-3CA5-4AD2-B089-89CD23F9CD7E}">
  <dimension ref="A1:G65"/>
  <sheetViews>
    <sheetView workbookViewId="0">
      <selection activeCell="G2" sqref="G2"/>
    </sheetView>
  </sheetViews>
  <sheetFormatPr baseColWidth="10" defaultColWidth="11.5703125" defaultRowHeight="15"/>
  <cols>
    <col min="1" max="1" width="32.42578125" customWidth="1"/>
    <col min="2" max="2" width="10.7109375" style="15"/>
    <col min="3" max="3" width="5.140625" customWidth="1"/>
    <col min="4" max="4" width="54.42578125" style="149" customWidth="1"/>
    <col min="5" max="5" width="10.7109375" style="15"/>
    <col min="6" max="6" width="42.5703125" style="149" customWidth="1"/>
    <col min="7" max="7" width="33.85546875" style="149" customWidth="1"/>
  </cols>
  <sheetData>
    <row r="1" spans="1:7" s="931" customFormat="1" ht="18.75">
      <c r="B1" s="932"/>
      <c r="D1" s="329" t="s">
        <v>238</v>
      </c>
      <c r="E1" s="932" t="s">
        <v>1689</v>
      </c>
      <c r="F1" s="329" t="s">
        <v>2743</v>
      </c>
      <c r="G1" s="329" t="s">
        <v>2744</v>
      </c>
    </row>
    <row r="2" spans="1:7">
      <c r="D2" s="911" t="s">
        <v>2037</v>
      </c>
      <c r="E2" s="28">
        <f>RRImmédiat!G2</f>
        <v>1.2</v>
      </c>
      <c r="F2" s="903" t="str" cm="1">
        <f t="array" ref="F2">_xlfn._xlws.FILTER(D2:D7,E2:E7&gt;2)</f>
        <v>Cardiopathie ischémique</v>
      </c>
      <c r="G2" s="25" t="str" cm="1">
        <f t="array" ref="G2:G5">_xlfn._xlws.FILTER(D2:D66,E2:E66&gt;2)</f>
        <v>Cardiopathie ischémique</v>
      </c>
    </row>
    <row r="3" spans="1:7">
      <c r="D3" s="911" t="s">
        <v>1972</v>
      </c>
      <c r="E3" s="28">
        <f>RRImmédiat!G3</f>
        <v>0.8</v>
      </c>
      <c r="F3" s="903"/>
      <c r="G3" s="25" t="str">
        <v>Dyslipidémie</v>
      </c>
    </row>
    <row r="4" spans="1:7">
      <c r="D4" s="911" t="s">
        <v>2038</v>
      </c>
      <c r="E4" s="28">
        <f>RRImmédiat!G4</f>
        <v>1.2</v>
      </c>
      <c r="F4" s="903"/>
      <c r="G4" s="25" t="str">
        <v>Asthme</v>
      </c>
    </row>
    <row r="5" spans="1:7">
      <c r="D5" s="911" t="s">
        <v>48</v>
      </c>
      <c r="E5" s="28">
        <f>RRImmédiat!G5</f>
        <v>2.4</v>
      </c>
      <c r="F5" s="903"/>
      <c r="G5" s="25" t="str">
        <v>Pollinose saisonnière (rhume des foins)</v>
      </c>
    </row>
    <row r="6" spans="1:7">
      <c r="A6" s="437" t="s">
        <v>1459</v>
      </c>
      <c r="D6" s="912" t="s">
        <v>914</v>
      </c>
      <c r="E6" s="28">
        <f>RRImmédiat!G6</f>
        <v>1.1000000000000001</v>
      </c>
      <c r="F6" s="903"/>
      <c r="G6" s="25"/>
    </row>
    <row r="7" spans="1:7">
      <c r="A7" t="s">
        <v>1458</v>
      </c>
      <c r="B7" s="28">
        <f>'Analyse Globale Q'!B20</f>
        <v>1.2</v>
      </c>
      <c r="D7" s="912" t="s">
        <v>915</v>
      </c>
      <c r="E7" s="28">
        <f>RRImmédiat!G7</f>
        <v>0.9</v>
      </c>
      <c r="F7" s="903"/>
      <c r="G7" s="25"/>
    </row>
    <row r="8" spans="1:7">
      <c r="A8" s="896" t="s">
        <v>1464</v>
      </c>
      <c r="B8" s="28">
        <f>'Analyse Globale Q'!B21</f>
        <v>0.9</v>
      </c>
      <c r="D8" s="913" t="s">
        <v>2041</v>
      </c>
      <c r="E8" s="28">
        <f>RRImmédiat!G8</f>
        <v>1.2</v>
      </c>
      <c r="F8" s="904" t="e" cm="1" vm="1">
        <f t="array" ref="F8">_xlfn._xlws.FILTER(D8:D18,E8:E18&gt;2)</f>
        <v>#VALUE!</v>
      </c>
    </row>
    <row r="9" spans="1:7">
      <c r="A9" s="901" t="s">
        <v>1465</v>
      </c>
      <c r="B9" s="28">
        <f>'Analyse Globale Q'!B22</f>
        <v>0.9</v>
      </c>
      <c r="D9" s="913" t="s">
        <v>903</v>
      </c>
      <c r="E9" s="28">
        <f>RRImmédiat!G9</f>
        <v>0.9</v>
      </c>
      <c r="F9" s="904"/>
    </row>
    <row r="10" spans="1:7">
      <c r="A10" s="895" t="s">
        <v>1460</v>
      </c>
      <c r="B10" s="28">
        <f>'Analyse Globale Q'!B23</f>
        <v>2</v>
      </c>
      <c r="D10" s="914" t="s">
        <v>904</v>
      </c>
      <c r="E10" s="28">
        <f>RRImmédiat!G10</f>
        <v>0.9</v>
      </c>
      <c r="F10" s="904"/>
    </row>
    <row r="11" spans="1:7">
      <c r="A11" s="893" t="s">
        <v>1461</v>
      </c>
      <c r="B11" s="28">
        <f>'Analyse Globale Q'!B24</f>
        <v>2.4</v>
      </c>
      <c r="D11" s="914" t="s">
        <v>1714</v>
      </c>
      <c r="E11" s="28">
        <f>RRImmédiat!G11</f>
        <v>0.9</v>
      </c>
      <c r="F11" s="904"/>
    </row>
    <row r="12" spans="1:7">
      <c r="A12" s="894" t="s">
        <v>1462</v>
      </c>
      <c r="B12" s="28">
        <f>'Analyse Globale Q'!B25</f>
        <v>3</v>
      </c>
      <c r="D12" s="915" t="s">
        <v>2042</v>
      </c>
      <c r="E12" s="28">
        <f>RRImmédiat!G12</f>
        <v>1.2</v>
      </c>
      <c r="F12" s="904"/>
    </row>
    <row r="13" spans="1:7">
      <c r="A13" s="21" t="s">
        <v>1463</v>
      </c>
      <c r="B13" s="28">
        <f>'Analyse Globale Q'!B26</f>
        <v>1.2</v>
      </c>
      <c r="D13" s="915" t="s">
        <v>909</v>
      </c>
      <c r="E13" s="28">
        <f>RRImmédiat!G13</f>
        <v>1.2</v>
      </c>
      <c r="F13" s="904"/>
    </row>
    <row r="14" spans="1:7">
      <c r="A14" s="897" t="s">
        <v>1471</v>
      </c>
      <c r="B14" s="28">
        <f>'Analyse Globale Q'!B27</f>
        <v>1.2</v>
      </c>
      <c r="D14" s="915" t="s">
        <v>910</v>
      </c>
      <c r="E14" s="28">
        <f>RRImmédiat!G14</f>
        <v>0.9</v>
      </c>
      <c r="F14" s="904"/>
    </row>
    <row r="15" spans="1:7">
      <c r="A15" s="898" t="s">
        <v>253</v>
      </c>
      <c r="B15" s="28">
        <f>'Analyse Globale Q'!B28</f>
        <v>1.8</v>
      </c>
      <c r="D15" s="916" t="s">
        <v>2043</v>
      </c>
      <c r="E15" s="28">
        <f>RRImmédiat!G15</f>
        <v>0.8</v>
      </c>
      <c r="F15" s="904"/>
    </row>
    <row r="16" spans="1:7">
      <c r="A16" s="849" t="s">
        <v>2377</v>
      </c>
      <c r="B16" s="28">
        <f>'Analyse Globale Q'!B29</f>
        <v>3</v>
      </c>
      <c r="D16" s="916" t="s">
        <v>2044</v>
      </c>
      <c r="E16" s="28">
        <f>RRImmédiat!G16</f>
        <v>0.8</v>
      </c>
      <c r="F16" s="904"/>
    </row>
    <row r="17" spans="1:6">
      <c r="A17" s="899" t="s">
        <v>2383</v>
      </c>
      <c r="B17" s="28">
        <f>'Analyse Globale Q'!B30</f>
        <v>3</v>
      </c>
      <c r="D17" s="916" t="s">
        <v>913</v>
      </c>
      <c r="E17" s="28">
        <f>RRImmédiat!G17</f>
        <v>0.8</v>
      </c>
      <c r="F17" s="904"/>
    </row>
    <row r="18" spans="1:6">
      <c r="A18" s="900" t="s">
        <v>2701</v>
      </c>
      <c r="B18" s="28">
        <f>'Analyse Globale Q'!B31</f>
        <v>1</v>
      </c>
      <c r="D18" s="913" t="s">
        <v>2045</v>
      </c>
      <c r="E18" s="28">
        <f>RRImmédiat!G18</f>
        <v>1</v>
      </c>
      <c r="F18" s="904"/>
    </row>
    <row r="19" spans="1:6">
      <c r="D19" s="653" t="s">
        <v>42</v>
      </c>
      <c r="E19" s="28">
        <f>RRImmédiat!G19</f>
        <v>1320</v>
      </c>
      <c r="F19" s="905" t="str" cm="1">
        <f t="array" ref="F19">_xlfn._xlws.FILTER(D19:D23,E19:E23&gt;2)</f>
        <v>Dyslipidémie</v>
      </c>
    </row>
    <row r="20" spans="1:6">
      <c r="D20" s="653" t="s">
        <v>2046</v>
      </c>
      <c r="E20" s="28">
        <f>RRImmédiat!G20</f>
        <v>1.1000000000000001</v>
      </c>
      <c r="F20" s="905"/>
    </row>
    <row r="21" spans="1:6">
      <c r="D21" s="653" t="s">
        <v>44</v>
      </c>
      <c r="E21" s="28">
        <f>RRImmédiat!G21</f>
        <v>1.1000000000000001</v>
      </c>
      <c r="F21" s="905"/>
    </row>
    <row r="22" spans="1:6">
      <c r="D22" s="917" t="s">
        <v>2047</v>
      </c>
      <c r="E22" s="28">
        <f>RRImmédiat!G22</f>
        <v>0.8</v>
      </c>
      <c r="F22" s="905"/>
    </row>
    <row r="23" spans="1:6">
      <c r="D23" s="917" t="s">
        <v>1973</v>
      </c>
      <c r="E23" s="28">
        <f>RRImmédiat!G23</f>
        <v>0.98</v>
      </c>
      <c r="F23" s="905"/>
    </row>
    <row r="24" spans="1:6">
      <c r="D24" s="918" t="s">
        <v>928</v>
      </c>
      <c r="E24" s="902">
        <f>RRImmédiat!G24</f>
        <v>0.98</v>
      </c>
      <c r="F24" s="906"/>
    </row>
    <row r="25" spans="1:6">
      <c r="D25" s="918" t="s">
        <v>929</v>
      </c>
      <c r="E25" s="902">
        <f>RRImmédiat!G25</f>
        <v>0.98</v>
      </c>
      <c r="F25" s="906"/>
    </row>
    <row r="26" spans="1:6">
      <c r="D26" s="918" t="s">
        <v>930</v>
      </c>
      <c r="E26" s="902">
        <f>RRImmédiat!G26</f>
        <v>0.98</v>
      </c>
      <c r="F26" s="906"/>
    </row>
    <row r="27" spans="1:6">
      <c r="D27" s="918" t="s">
        <v>931</v>
      </c>
      <c r="E27" s="902">
        <f>RRImmédiat!G27</f>
        <v>0.98</v>
      </c>
      <c r="F27" s="906"/>
    </row>
    <row r="28" spans="1:6">
      <c r="D28" s="918" t="s">
        <v>1716</v>
      </c>
      <c r="E28" s="902">
        <f>RRImmédiat!G28</f>
        <v>0.98</v>
      </c>
      <c r="F28" s="906"/>
    </row>
    <row r="29" spans="1:6">
      <c r="D29" s="918" t="s">
        <v>933</v>
      </c>
      <c r="E29" s="902">
        <f>RRImmédiat!G29</f>
        <v>0.98</v>
      </c>
      <c r="F29" s="906"/>
    </row>
    <row r="30" spans="1:6">
      <c r="D30" s="918" t="s">
        <v>1199</v>
      </c>
      <c r="E30" s="902">
        <f>RRImmédiat!G30</f>
        <v>0.98</v>
      </c>
      <c r="F30" s="906"/>
    </row>
    <row r="31" spans="1:6">
      <c r="D31" s="918" t="s">
        <v>2103</v>
      </c>
      <c r="E31" s="902">
        <f>RRImmédiat!G31</f>
        <v>0.98</v>
      </c>
      <c r="F31" s="906"/>
    </row>
    <row r="32" spans="1:6">
      <c r="D32" s="918" t="s">
        <v>1718</v>
      </c>
      <c r="E32" s="902">
        <f>RRImmédiat!G32</f>
        <v>0</v>
      </c>
      <c r="F32" s="906"/>
    </row>
    <row r="33" spans="4:6">
      <c r="D33" s="918" t="s">
        <v>1861</v>
      </c>
      <c r="E33" s="902">
        <f>RRImmédiat!G33</f>
        <v>0</v>
      </c>
      <c r="F33" s="906"/>
    </row>
    <row r="34" spans="4:6">
      <c r="D34" s="919" t="s">
        <v>902</v>
      </c>
      <c r="E34" s="28">
        <f>RRImmédiat!G34</f>
        <v>0.9</v>
      </c>
      <c r="F34" s="907" t="e" cm="1" vm="1">
        <f t="array" ref="F34">_xlfn._xlws.FILTER(D34:D38,E34:E38&gt;2)</f>
        <v>#VALUE!</v>
      </c>
    </row>
    <row r="35" spans="4:6">
      <c r="D35" s="920" t="s">
        <v>38</v>
      </c>
      <c r="E35" s="28">
        <f>RRImmédiat!G35</f>
        <v>1.2</v>
      </c>
      <c r="F35" s="907"/>
    </row>
    <row r="36" spans="4:6">
      <c r="D36" s="921" t="s">
        <v>922</v>
      </c>
      <c r="E36" s="28">
        <f>RRImmédiat!G36</f>
        <v>1.2</v>
      </c>
      <c r="F36" s="907"/>
    </row>
    <row r="37" spans="4:6">
      <c r="D37" s="921" t="s">
        <v>923</v>
      </c>
      <c r="E37" s="28">
        <f>RRImmédiat!G37</f>
        <v>0.8</v>
      </c>
      <c r="F37" s="907"/>
    </row>
    <row r="38" spans="4:6">
      <c r="D38" s="921" t="s">
        <v>924</v>
      </c>
      <c r="E38" s="28">
        <f>RRImmédiat!G38</f>
        <v>1.8</v>
      </c>
      <c r="F38" s="907"/>
    </row>
    <row r="39" spans="4:6">
      <c r="D39" s="654" t="s">
        <v>2049</v>
      </c>
      <c r="E39" s="28">
        <f>RRImmédiat!G39</f>
        <v>2</v>
      </c>
      <c r="F39" s="538" t="e" cm="1" vm="1">
        <f t="array" ref="F39">_xlfn._xlws.FILTER(D39:D43,E39:E43&gt;2)</f>
        <v>#VALUE!</v>
      </c>
    </row>
    <row r="40" spans="4:6">
      <c r="D40" s="922" t="s">
        <v>916</v>
      </c>
      <c r="E40" s="28">
        <f>RRImmédiat!G40</f>
        <v>1.2</v>
      </c>
      <c r="F40" s="538"/>
    </row>
    <row r="41" spans="4:6">
      <c r="D41" s="922" t="s">
        <v>917</v>
      </c>
      <c r="E41" s="28">
        <f>RRImmédiat!G41</f>
        <v>2</v>
      </c>
      <c r="F41" s="538"/>
    </row>
    <row r="42" spans="4:6">
      <c r="D42" s="922" t="s">
        <v>2050</v>
      </c>
      <c r="E42" s="28">
        <f>RRImmédiat!G42</f>
        <v>1.2</v>
      </c>
      <c r="F42" s="538"/>
    </row>
    <row r="43" spans="4:6">
      <c r="D43" s="317" t="s">
        <v>2124</v>
      </c>
      <c r="E43" s="28">
        <f>RRImmédiat!G43</f>
        <v>0.8</v>
      </c>
      <c r="F43" s="538"/>
    </row>
    <row r="44" spans="4:6">
      <c r="D44" s="923" t="s">
        <v>896</v>
      </c>
      <c r="E44" s="28">
        <f>RRImmédiat!G44</f>
        <v>1.2</v>
      </c>
      <c r="F44" s="908" t="str" cm="1">
        <f t="array" ref="F44:F45">_xlfn._xlws.FILTER(D44:D49,E44:E49&gt;2)</f>
        <v>Asthme</v>
      </c>
    </row>
    <row r="45" spans="4:6">
      <c r="D45" s="923" t="s">
        <v>897</v>
      </c>
      <c r="E45" s="28">
        <f>RRImmédiat!G45</f>
        <v>0.6</v>
      </c>
      <c r="F45" s="909" t="str">
        <v>Pollinose saisonnière (rhume des foins)</v>
      </c>
    </row>
    <row r="46" spans="4:6">
      <c r="D46" s="924" t="s">
        <v>1713</v>
      </c>
      <c r="E46" s="28">
        <f>RRImmédiat!G46</f>
        <v>1200</v>
      </c>
      <c r="F46" s="909"/>
    </row>
    <row r="47" spans="4:6">
      <c r="D47" s="924" t="s">
        <v>2051</v>
      </c>
      <c r="E47" s="28">
        <f>RRImmédiat!G47</f>
        <v>1.2</v>
      </c>
      <c r="F47" s="909"/>
    </row>
    <row r="48" spans="4:6">
      <c r="D48" s="925" t="s">
        <v>2052</v>
      </c>
      <c r="E48" s="28">
        <f>RRImmédiat!G48</f>
        <v>900</v>
      </c>
      <c r="F48" s="909"/>
    </row>
    <row r="49" spans="4:6">
      <c r="D49" s="923" t="s">
        <v>927</v>
      </c>
      <c r="E49" s="28">
        <f>RRImmédiat!G49</f>
        <v>0</v>
      </c>
      <c r="F49" s="909"/>
    </row>
    <row r="50" spans="4:6">
      <c r="D50" s="926" t="s">
        <v>2053</v>
      </c>
      <c r="E50" s="28">
        <f>RRImmédiat!G50</f>
        <v>1.2</v>
      </c>
      <c r="F50" s="904" t="e" cm="1" vm="1">
        <f t="array" ref="F50">_xlfn._xlws.FILTER(D50:D65,E50:E65&gt;2)</f>
        <v>#VALUE!</v>
      </c>
    </row>
    <row r="51" spans="4:6">
      <c r="D51" s="927" t="s">
        <v>899</v>
      </c>
      <c r="E51" s="28">
        <f>RRImmédiat!G51</f>
        <v>0.9</v>
      </c>
      <c r="F51" s="910"/>
    </row>
    <row r="52" spans="4:6">
      <c r="D52" s="927" t="s">
        <v>900</v>
      </c>
      <c r="E52" s="28">
        <f>RRImmédiat!G52</f>
        <v>0.9</v>
      </c>
      <c r="F52" s="910"/>
    </row>
    <row r="53" spans="4:6">
      <c r="D53" s="927" t="s">
        <v>901</v>
      </c>
      <c r="E53" s="28">
        <f>RRImmédiat!G53</f>
        <v>0.9</v>
      </c>
      <c r="F53" s="910"/>
    </row>
    <row r="54" spans="4:6">
      <c r="D54" s="928" t="s">
        <v>898</v>
      </c>
      <c r="E54" s="28">
        <f>RRImmédiat!G54</f>
        <v>1.2</v>
      </c>
      <c r="F54" s="910"/>
    </row>
    <row r="55" spans="4:6">
      <c r="D55" s="929" t="s">
        <v>2054</v>
      </c>
      <c r="E55" s="28">
        <f>RRImmédiat!G55</f>
        <v>1.2</v>
      </c>
      <c r="F55" s="910"/>
    </row>
    <row r="56" spans="4:6">
      <c r="D56" s="813" t="s">
        <v>54</v>
      </c>
      <c r="E56" s="28">
        <f>RRImmédiat!G56</f>
        <v>0</v>
      </c>
      <c r="F56" s="910"/>
    </row>
    <row r="57" spans="4:6">
      <c r="D57" s="930" t="s">
        <v>905</v>
      </c>
      <c r="E57" s="28">
        <f>RRImmédiat!G57</f>
        <v>0</v>
      </c>
      <c r="F57" s="910"/>
    </row>
    <row r="58" spans="4:6">
      <c r="D58" s="929" t="s">
        <v>906</v>
      </c>
      <c r="E58" s="28">
        <f>RRImmédiat!G58</f>
        <v>0.8</v>
      </c>
      <c r="F58" s="910"/>
    </row>
    <row r="59" spans="4:6">
      <c r="D59" s="929" t="s">
        <v>2055</v>
      </c>
      <c r="E59" s="28">
        <f>RRImmédiat!G59</f>
        <v>0.9</v>
      </c>
      <c r="F59" s="910"/>
    </row>
    <row r="60" spans="4:6">
      <c r="D60" s="928" t="s">
        <v>1692</v>
      </c>
      <c r="E60" s="28">
        <f>RRImmédiat!G60</f>
        <v>0.8</v>
      </c>
      <c r="F60" s="910"/>
    </row>
    <row r="61" spans="4:6">
      <c r="D61" s="930" t="s">
        <v>2056</v>
      </c>
      <c r="E61" s="28">
        <f>RRImmédiat!G61</f>
        <v>0</v>
      </c>
      <c r="F61" s="910"/>
    </row>
    <row r="62" spans="4:6">
      <c r="D62" s="930" t="s">
        <v>799</v>
      </c>
      <c r="E62" s="28">
        <f>RRImmédiat!G62</f>
        <v>0.9</v>
      </c>
      <c r="F62" s="910"/>
    </row>
    <row r="63" spans="4:6">
      <c r="D63" s="930" t="s">
        <v>2057</v>
      </c>
      <c r="E63" s="28">
        <f>RRImmédiat!G63</f>
        <v>0.9</v>
      </c>
      <c r="F63" s="910"/>
    </row>
    <row r="64" spans="4:6">
      <c r="D64" s="930" t="s">
        <v>2061</v>
      </c>
      <c r="E64" s="28">
        <f>RRImmédiat!G64</f>
        <v>0</v>
      </c>
      <c r="F64" s="910"/>
    </row>
    <row r="65" spans="4:6">
      <c r="D65" s="930" t="s">
        <v>2060</v>
      </c>
      <c r="E65" s="28">
        <f>RRImmédiat!G65</f>
        <v>0</v>
      </c>
      <c r="F65" s="910"/>
    </row>
  </sheetData>
  <conditionalFormatting sqref="B1:B1048576">
    <cfRule type="colorScale" priority="2">
      <colorScale>
        <cfvo type="min"/>
        <cfvo type="percentile" val="50"/>
        <cfvo type="max"/>
        <color rgb="FF63BE7B"/>
        <color rgb="FFFFEB84"/>
        <color rgb="FFF8696B"/>
      </colorScale>
    </cfRule>
  </conditionalFormatting>
  <conditionalFormatting sqref="D2:D42 D44:D65">
    <cfRule type="duplicateValues" dxfId="0" priority="3"/>
  </conditionalFormatting>
  <conditionalFormatting sqref="D3:D6 D9:D11 D13:D17">
    <cfRule type="colorScale" priority="4">
      <colorScale>
        <cfvo type="min"/>
        <cfvo type="percentile" val="50"/>
        <cfvo type="max"/>
        <color rgb="FF5A8AC6"/>
        <color rgb="FFFCFCFF"/>
        <color rgb="FFF8696B"/>
      </colorScale>
    </cfRule>
  </conditionalFormatting>
  <conditionalFormatting sqref="D12">
    <cfRule type="colorScale" priority="5">
      <colorScale>
        <cfvo type="min"/>
        <cfvo type="percentile" val="50"/>
        <cfvo type="max"/>
        <color rgb="FF5A8AC6"/>
        <color rgb="FFFCFCFF"/>
        <color rgb="FFF8696B"/>
      </colorScale>
    </cfRule>
  </conditionalFormatting>
  <conditionalFormatting sqref="D19:D20">
    <cfRule type="colorScale" priority="6">
      <colorScale>
        <cfvo type="min"/>
        <cfvo type="percentile" val="50"/>
        <cfvo type="max"/>
        <color rgb="FF5A8AC6"/>
        <color rgb="FFFCFCFF"/>
        <color rgb="FFF8696B"/>
      </colorScale>
    </cfRule>
  </conditionalFormatting>
  <conditionalFormatting sqref="D22:D23">
    <cfRule type="iconSet" priority="7">
      <iconSet reverse="1">
        <cfvo type="percent" val="0"/>
        <cfvo type="percent" val="33"/>
        <cfvo type="percent" val="67"/>
      </iconSet>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63DEB-0FF9-4B85-B5DF-385AA855E8CB}">
  <sheetPr codeName="Feuil14">
    <tabColor rgb="FF9966FF"/>
  </sheetPr>
  <dimension ref="A1:R79"/>
  <sheetViews>
    <sheetView topLeftCell="A4" zoomScale="85" zoomScaleNormal="85" workbookViewId="0">
      <selection activeCell="D5" sqref="D5"/>
    </sheetView>
  </sheetViews>
  <sheetFormatPr baseColWidth="10" defaultColWidth="10.7109375" defaultRowHeight="15"/>
  <cols>
    <col min="1" max="1" width="31.5703125" style="717" customWidth="1"/>
    <col min="2" max="2" width="58" style="730" customWidth="1"/>
    <col min="3" max="3" width="14.42578125" style="316" customWidth="1"/>
    <col min="4" max="4" width="16.140625" style="316" customWidth="1"/>
    <col min="5" max="6" width="10.7109375" style="316"/>
    <col min="7" max="7" width="10.7109375" style="520"/>
    <col min="8" max="8" width="13.7109375" style="316" customWidth="1"/>
    <col min="9" max="9" width="15.85546875" style="316" customWidth="1"/>
    <col min="10" max="10" width="12.5703125" style="316" bestFit="1" customWidth="1"/>
    <col min="11" max="11" width="12.5703125" style="316" customWidth="1"/>
    <col min="12" max="12" width="39" style="719" customWidth="1"/>
    <col min="13" max="14" width="16" style="812" customWidth="1"/>
    <col min="15" max="15" width="16" style="619" customWidth="1"/>
    <col min="16" max="16" width="16" style="814" customWidth="1"/>
    <col min="17" max="16384" width="10.7109375" style="717"/>
  </cols>
  <sheetData>
    <row r="1" spans="1:18" s="316" customFormat="1">
      <c r="A1" s="316" t="s">
        <v>2076</v>
      </c>
      <c r="B1" s="140" t="s">
        <v>55</v>
      </c>
      <c r="C1" s="316" t="s">
        <v>1709</v>
      </c>
      <c r="D1" s="316" t="s">
        <v>1710</v>
      </c>
      <c r="F1" s="316" t="s">
        <v>1712</v>
      </c>
      <c r="G1" s="520" t="s">
        <v>1711</v>
      </c>
      <c r="H1" s="316" t="s">
        <v>1719</v>
      </c>
      <c r="I1" s="316" t="s">
        <v>1963</v>
      </c>
      <c r="J1" s="820" t="s">
        <v>1962</v>
      </c>
      <c r="K1" s="316" t="s">
        <v>2059</v>
      </c>
      <c r="L1" s="316" t="s">
        <v>2058</v>
      </c>
      <c r="M1" s="649" t="s">
        <v>2218</v>
      </c>
      <c r="N1" s="811" t="s">
        <v>2158</v>
      </c>
      <c r="O1" s="649" t="s">
        <v>2217</v>
      </c>
      <c r="P1" s="813" t="s">
        <v>2159</v>
      </c>
      <c r="R1" s="695" t="s">
        <v>1979</v>
      </c>
    </row>
    <row r="2" spans="1:18">
      <c r="A2" s="717" t="s">
        <v>2039</v>
      </c>
      <c r="B2" s="718" t="s">
        <v>2037</v>
      </c>
      <c r="C2" s="580">
        <f>AUTOQUESTIONNAIRE!AH185</f>
        <v>1</v>
      </c>
      <c r="D2" s="520">
        <f>ImportBiologie!D98</f>
        <v>1.2</v>
      </c>
      <c r="E2" s="316" t="s">
        <v>1703</v>
      </c>
      <c r="F2" s="316" t="str">
        <f>IF(ISBLANK(ImportBiologie!D98),"Non Fait","Fait")</f>
        <v>Fait</v>
      </c>
      <c r="G2" s="520">
        <f t="shared" ref="G2:G34" si="0">C2*(IF(F2="Fait",D2,1))</f>
        <v>1.2</v>
      </c>
      <c r="H2" s="316" t="str">
        <f t="shared" ref="H2:H34" si="1">IF(G2&lt;0.99,"Usuel",IF(G2&gt;1.2,"Alerte","Vigilance"))</f>
        <v>Vigilance</v>
      </c>
      <c r="I2" s="316" t="str">
        <f t="shared" ref="I2:I34" si="2">IF(G2&gt;99,"Suivi",H2)</f>
        <v>Vigilance</v>
      </c>
      <c r="J2" s="316" t="str">
        <f>I2</f>
        <v>Vigilance</v>
      </c>
      <c r="L2" s="719" t="s">
        <v>2024</v>
      </c>
      <c r="M2" s="823">
        <f>G2</f>
        <v>1.2</v>
      </c>
      <c r="N2" s="823">
        <f>IF(M2&gt;3,3,M2)</f>
        <v>1.2</v>
      </c>
      <c r="O2" s="824">
        <f>MAX(C2,D2)</f>
        <v>1.2</v>
      </c>
      <c r="P2" s="823">
        <f>IF(O2&gt;3,3,O2)</f>
        <v>1.2</v>
      </c>
      <c r="R2" s="695" t="s">
        <v>1981</v>
      </c>
    </row>
    <row r="3" spans="1:18">
      <c r="A3" s="717" t="s">
        <v>2039</v>
      </c>
      <c r="B3" s="718" t="s">
        <v>1972</v>
      </c>
      <c r="C3" s="580">
        <f>AUTOQUESTIONNAIRE!AD185</f>
        <v>0.8</v>
      </c>
      <c r="D3" s="316">
        <v>1</v>
      </c>
      <c r="G3" s="520">
        <f t="shared" si="0"/>
        <v>0.8</v>
      </c>
      <c r="H3" s="316" t="str">
        <f t="shared" si="1"/>
        <v>Usuel</v>
      </c>
      <c r="I3" s="316" t="str">
        <f t="shared" si="2"/>
        <v>Usuel</v>
      </c>
      <c r="J3" s="316" t="str">
        <f t="shared" ref="J3:J49" si="3">I3</f>
        <v>Usuel</v>
      </c>
      <c r="L3" s="719" t="s">
        <v>2025</v>
      </c>
      <c r="M3" s="823">
        <f t="shared" ref="M3:M65" si="4">G3</f>
        <v>0.8</v>
      </c>
      <c r="N3" s="823">
        <f t="shared" ref="N3:N65" si="5">IF(M3&gt;3,3,M3)</f>
        <v>0.8</v>
      </c>
      <c r="O3" s="824">
        <f t="shared" ref="O3:O65" si="6">MAX(C3,D3)</f>
        <v>1</v>
      </c>
      <c r="P3" s="823">
        <f t="shared" ref="P3:P65" si="7">IF(O3&gt;3,3,O3)</f>
        <v>1</v>
      </c>
      <c r="R3" s="695" t="s">
        <v>1980</v>
      </c>
    </row>
    <row r="4" spans="1:18" ht="409.5">
      <c r="A4" s="717" t="s">
        <v>2039</v>
      </c>
      <c r="B4" s="718" t="s">
        <v>2038</v>
      </c>
      <c r="C4" s="580">
        <f>AUTOQUESTIONNAIRE!AE185</f>
        <v>1.2</v>
      </c>
      <c r="D4" s="316">
        <v>1</v>
      </c>
      <c r="G4" s="520">
        <f t="shared" si="0"/>
        <v>1.2</v>
      </c>
      <c r="H4" s="316" t="str">
        <f t="shared" si="1"/>
        <v>Vigilance</v>
      </c>
      <c r="I4" s="316" t="str">
        <f t="shared" si="2"/>
        <v>Vigilance</v>
      </c>
      <c r="J4" s="316" t="str">
        <f t="shared" si="3"/>
        <v>Vigilance</v>
      </c>
      <c r="L4" s="712" t="s">
        <v>2083</v>
      </c>
      <c r="M4" s="823">
        <f t="shared" si="4"/>
        <v>1.2</v>
      </c>
      <c r="N4" s="823">
        <f t="shared" si="5"/>
        <v>1.2</v>
      </c>
      <c r="O4" s="824">
        <f t="shared" si="6"/>
        <v>1.2</v>
      </c>
      <c r="P4" s="823">
        <f t="shared" si="7"/>
        <v>1.2</v>
      </c>
      <c r="R4" s="695" t="s">
        <v>1982</v>
      </c>
    </row>
    <row r="5" spans="1:18">
      <c r="A5" s="717" t="s">
        <v>2039</v>
      </c>
      <c r="B5" s="718" t="s">
        <v>48</v>
      </c>
      <c r="C5" s="580">
        <f>AUTOQUESTIONNAIRE!AF185</f>
        <v>2</v>
      </c>
      <c r="D5" s="520">
        <f>IF(ImportBiologie!N52="Faible",0.8,IF(ImportBiologie!N52="""Elevé",1.5,1.2))</f>
        <v>1.2</v>
      </c>
      <c r="E5" s="720" t="s">
        <v>86</v>
      </c>
      <c r="F5" s="316" t="str">
        <f>IF(ISBLANK(ImportBiologie!H31),"Non Fait","Fait")</f>
        <v>Fait</v>
      </c>
      <c r="G5" s="520">
        <f t="shared" si="0"/>
        <v>2.4</v>
      </c>
      <c r="H5" s="316" t="str">
        <f t="shared" si="1"/>
        <v>Alerte</v>
      </c>
      <c r="I5" s="316" t="str">
        <f t="shared" si="2"/>
        <v>Alerte</v>
      </c>
      <c r="J5" s="316" t="str">
        <f t="shared" si="3"/>
        <v>Alerte</v>
      </c>
      <c r="L5" s="719" t="s">
        <v>2027</v>
      </c>
      <c r="M5" s="823">
        <f t="shared" si="4"/>
        <v>2.4</v>
      </c>
      <c r="N5" s="823">
        <f t="shared" si="5"/>
        <v>2.4</v>
      </c>
      <c r="O5" s="824">
        <f t="shared" si="6"/>
        <v>2</v>
      </c>
      <c r="P5" s="823">
        <f t="shared" si="7"/>
        <v>2</v>
      </c>
    </row>
    <row r="6" spans="1:18" ht="409.5">
      <c r="A6" s="717" t="s">
        <v>2039</v>
      </c>
      <c r="B6" s="576" t="s">
        <v>914</v>
      </c>
      <c r="C6" s="520">
        <f>AUTOQUESTIONNAIRE!AG185</f>
        <v>1.1000000000000001</v>
      </c>
      <c r="D6" s="318">
        <f>AUTOQUESTIONNAIRE!H219</f>
        <v>0.8</v>
      </c>
      <c r="E6" s="316" t="s">
        <v>612</v>
      </c>
      <c r="G6" s="520">
        <f t="shared" si="0"/>
        <v>1.1000000000000001</v>
      </c>
      <c r="H6" s="316" t="str">
        <f t="shared" si="1"/>
        <v>Vigilance</v>
      </c>
      <c r="I6" s="316" t="str">
        <f t="shared" si="2"/>
        <v>Vigilance</v>
      </c>
      <c r="J6" s="316" t="str">
        <f t="shared" si="3"/>
        <v>Vigilance</v>
      </c>
      <c r="L6" s="712" t="s">
        <v>2084</v>
      </c>
      <c r="M6" s="823">
        <f t="shared" si="4"/>
        <v>1.1000000000000001</v>
      </c>
      <c r="N6" s="823">
        <f t="shared" si="5"/>
        <v>1.1000000000000001</v>
      </c>
      <c r="O6" s="824">
        <f t="shared" si="6"/>
        <v>1.1000000000000001</v>
      </c>
      <c r="P6" s="823">
        <f t="shared" si="7"/>
        <v>1.1000000000000001</v>
      </c>
    </row>
    <row r="7" spans="1:18" ht="409.5">
      <c r="A7" s="717" t="s">
        <v>2039</v>
      </c>
      <c r="B7" s="576" t="s">
        <v>915</v>
      </c>
      <c r="C7" s="520">
        <f>AUTOQUESTIONNAIRE!AI185</f>
        <v>0.9</v>
      </c>
      <c r="D7" s="318">
        <f>AUTOQUESTIONNAIRE!G230</f>
        <v>2</v>
      </c>
      <c r="E7" s="316" t="s">
        <v>1702</v>
      </c>
      <c r="G7" s="520">
        <f t="shared" si="0"/>
        <v>0.9</v>
      </c>
      <c r="H7" s="316" t="str">
        <f t="shared" si="1"/>
        <v>Usuel</v>
      </c>
      <c r="I7" s="316" t="str">
        <f t="shared" si="2"/>
        <v>Usuel</v>
      </c>
      <c r="J7" s="316" t="str">
        <f t="shared" si="3"/>
        <v>Usuel</v>
      </c>
      <c r="L7" s="712" t="s">
        <v>2085</v>
      </c>
      <c r="M7" s="823">
        <f t="shared" si="4"/>
        <v>0.9</v>
      </c>
      <c r="N7" s="823">
        <f t="shared" si="5"/>
        <v>0.9</v>
      </c>
      <c r="O7" s="824">
        <f t="shared" si="6"/>
        <v>2</v>
      </c>
      <c r="P7" s="823">
        <f t="shared" si="7"/>
        <v>2</v>
      </c>
    </row>
    <row r="8" spans="1:18">
      <c r="A8" s="721" t="s">
        <v>2040</v>
      </c>
      <c r="B8" s="629" t="s">
        <v>2041</v>
      </c>
      <c r="C8" s="520">
        <f>AUTOQUESTIONNAIRE!BA185</f>
        <v>1.2</v>
      </c>
      <c r="D8" s="318">
        <v>1</v>
      </c>
      <c r="G8" s="520">
        <f t="shared" si="0"/>
        <v>1.2</v>
      </c>
      <c r="H8" s="316" t="str">
        <f t="shared" si="1"/>
        <v>Vigilance</v>
      </c>
      <c r="I8" s="316" t="str">
        <f t="shared" si="2"/>
        <v>Vigilance</v>
      </c>
      <c r="J8" s="316" t="str">
        <f t="shared" si="3"/>
        <v>Vigilance</v>
      </c>
      <c r="L8" s="719" t="s">
        <v>2034</v>
      </c>
      <c r="M8" s="823">
        <f t="shared" si="4"/>
        <v>1.2</v>
      </c>
      <c r="N8" s="823">
        <f t="shared" si="5"/>
        <v>1.2</v>
      </c>
      <c r="O8" s="824">
        <f t="shared" si="6"/>
        <v>1.2</v>
      </c>
      <c r="P8" s="823">
        <f t="shared" si="7"/>
        <v>1.2</v>
      </c>
    </row>
    <row r="9" spans="1:18" ht="409.5">
      <c r="A9" s="721" t="s">
        <v>2040</v>
      </c>
      <c r="B9" s="629" t="s">
        <v>903</v>
      </c>
      <c r="C9" s="580">
        <f>AUTOQUESTIONNAIRE!BB185</f>
        <v>0.9</v>
      </c>
      <c r="D9" s="316">
        <v>1</v>
      </c>
      <c r="G9" s="520">
        <f t="shared" si="0"/>
        <v>0.9</v>
      </c>
      <c r="H9" s="316" t="str">
        <f t="shared" si="1"/>
        <v>Usuel</v>
      </c>
      <c r="I9" s="316" t="str">
        <f t="shared" si="2"/>
        <v>Usuel</v>
      </c>
      <c r="J9" s="316" t="str">
        <f t="shared" si="3"/>
        <v>Usuel</v>
      </c>
      <c r="L9" s="713" t="s">
        <v>2086</v>
      </c>
      <c r="M9" s="823">
        <f t="shared" si="4"/>
        <v>0.9</v>
      </c>
      <c r="N9" s="823">
        <f t="shared" si="5"/>
        <v>0.9</v>
      </c>
      <c r="O9" s="824">
        <f t="shared" si="6"/>
        <v>1</v>
      </c>
      <c r="P9" s="823">
        <f t="shared" si="7"/>
        <v>1</v>
      </c>
    </row>
    <row r="10" spans="1:18" ht="409.5">
      <c r="A10" s="721" t="s">
        <v>2040</v>
      </c>
      <c r="B10" s="629" t="s">
        <v>904</v>
      </c>
      <c r="C10" s="520">
        <f>AUTOQUESTIONNAIRE!BC185</f>
        <v>0.9</v>
      </c>
      <c r="D10" s="318">
        <v>1</v>
      </c>
      <c r="E10" s="720" t="s">
        <v>1700</v>
      </c>
      <c r="G10" s="520">
        <f t="shared" si="0"/>
        <v>0.9</v>
      </c>
      <c r="H10" s="316" t="str">
        <f t="shared" si="1"/>
        <v>Usuel</v>
      </c>
      <c r="I10" s="316" t="str">
        <f t="shared" si="2"/>
        <v>Usuel</v>
      </c>
      <c r="J10" s="316" t="str">
        <f t="shared" si="3"/>
        <v>Usuel</v>
      </c>
      <c r="L10" s="713" t="s">
        <v>2087</v>
      </c>
      <c r="M10" s="823">
        <f t="shared" si="4"/>
        <v>0.9</v>
      </c>
      <c r="N10" s="823">
        <f t="shared" si="5"/>
        <v>0.9</v>
      </c>
      <c r="O10" s="824">
        <f t="shared" si="6"/>
        <v>1</v>
      </c>
      <c r="P10" s="823">
        <f t="shared" si="7"/>
        <v>1</v>
      </c>
    </row>
    <row r="11" spans="1:18" ht="409.5">
      <c r="A11" s="721" t="s">
        <v>2040</v>
      </c>
      <c r="B11" s="629" t="s">
        <v>1714</v>
      </c>
      <c r="C11" s="520">
        <f>AUTOQUESTIONNAIRE!BD185</f>
        <v>0.9</v>
      </c>
      <c r="D11" s="318">
        <v>1</v>
      </c>
      <c r="G11" s="520">
        <f t="shared" si="0"/>
        <v>0.9</v>
      </c>
      <c r="H11" s="316" t="str">
        <f t="shared" si="1"/>
        <v>Usuel</v>
      </c>
      <c r="I11" s="316" t="str">
        <f t="shared" si="2"/>
        <v>Usuel</v>
      </c>
      <c r="J11" s="316" t="str">
        <f t="shared" si="3"/>
        <v>Usuel</v>
      </c>
      <c r="L11" s="848" t="s">
        <v>2212</v>
      </c>
      <c r="M11" s="823">
        <f t="shared" si="4"/>
        <v>0.9</v>
      </c>
      <c r="N11" s="823">
        <f t="shared" si="5"/>
        <v>0.9</v>
      </c>
      <c r="O11" s="824">
        <f t="shared" si="6"/>
        <v>1</v>
      </c>
      <c r="P11" s="823">
        <f t="shared" si="7"/>
        <v>1</v>
      </c>
    </row>
    <row r="12" spans="1:18" ht="409.5">
      <c r="A12" s="721" t="s">
        <v>2040</v>
      </c>
      <c r="B12" s="628" t="s">
        <v>2042</v>
      </c>
      <c r="C12" s="580">
        <f>AUTOQUESTIONNAIRE!V185</f>
        <v>1.2</v>
      </c>
      <c r="D12" s="318" t="e">
        <f>IF(ImportBiologie!H30&lt;1.3,0,IF(ImportBiologie!H30&gt;2.67,2,1))</f>
        <v>#DIV/0!</v>
      </c>
      <c r="E12" s="316" t="s">
        <v>100</v>
      </c>
      <c r="F12" s="316" t="str">
        <f>IF(ISBLANK(ImportBiologie!C19),"Non Fait","Fait")</f>
        <v>Non Fait</v>
      </c>
      <c r="G12" s="520">
        <f t="shared" si="0"/>
        <v>1.2</v>
      </c>
      <c r="H12" s="316" t="str">
        <f t="shared" si="1"/>
        <v>Vigilance</v>
      </c>
      <c r="I12" s="316" t="str">
        <f t="shared" si="2"/>
        <v>Vigilance</v>
      </c>
      <c r="J12" s="316" t="str">
        <f t="shared" si="3"/>
        <v>Vigilance</v>
      </c>
      <c r="L12" s="714" t="s">
        <v>2088</v>
      </c>
      <c r="M12" s="823">
        <f t="shared" si="4"/>
        <v>1.2</v>
      </c>
      <c r="N12" s="823">
        <f t="shared" si="5"/>
        <v>1.2</v>
      </c>
      <c r="O12" s="824" t="e">
        <f t="shared" si="6"/>
        <v>#DIV/0!</v>
      </c>
      <c r="P12" s="823" t="e">
        <f t="shared" si="7"/>
        <v>#DIV/0!</v>
      </c>
    </row>
    <row r="13" spans="1:18" ht="390">
      <c r="A13" s="721" t="s">
        <v>2040</v>
      </c>
      <c r="B13" s="628" t="s">
        <v>909</v>
      </c>
      <c r="C13" s="520">
        <f>AUTOQUESTIONNAIRE!W185</f>
        <v>1.2</v>
      </c>
      <c r="D13" s="318" t="e">
        <f>IF(ImportBiologie!H30&lt;1.3,0,IF(ImportBiologie!H30&gt;2.67,2,1))</f>
        <v>#DIV/0!</v>
      </c>
      <c r="E13" s="316" t="s">
        <v>1701</v>
      </c>
      <c r="G13" s="520">
        <f t="shared" si="0"/>
        <v>1.2</v>
      </c>
      <c r="H13" s="316" t="str">
        <f t="shared" si="1"/>
        <v>Vigilance</v>
      </c>
      <c r="I13" s="316" t="str">
        <f t="shared" si="2"/>
        <v>Vigilance</v>
      </c>
      <c r="J13" s="316" t="str">
        <f t="shared" si="3"/>
        <v>Vigilance</v>
      </c>
      <c r="L13" s="714" t="s">
        <v>2089</v>
      </c>
      <c r="M13" s="823">
        <f t="shared" si="4"/>
        <v>1.2</v>
      </c>
      <c r="N13" s="823">
        <f t="shared" si="5"/>
        <v>1.2</v>
      </c>
      <c r="O13" s="824" t="e">
        <f t="shared" si="6"/>
        <v>#DIV/0!</v>
      </c>
      <c r="P13" s="823" t="e">
        <f t="shared" si="7"/>
        <v>#DIV/0!</v>
      </c>
    </row>
    <row r="14" spans="1:18">
      <c r="A14" s="721" t="s">
        <v>2040</v>
      </c>
      <c r="B14" s="628" t="s">
        <v>910</v>
      </c>
      <c r="C14" s="580">
        <f>AUTOQUESTIONNAIRE!X185</f>
        <v>0.9</v>
      </c>
      <c r="D14" s="316">
        <v>1</v>
      </c>
      <c r="G14" s="520">
        <f t="shared" si="0"/>
        <v>0.9</v>
      </c>
      <c r="H14" s="316" t="str">
        <f t="shared" si="1"/>
        <v>Usuel</v>
      </c>
      <c r="I14" s="316" t="str">
        <f t="shared" si="2"/>
        <v>Usuel</v>
      </c>
      <c r="J14" s="316" t="str">
        <f t="shared" si="3"/>
        <v>Usuel</v>
      </c>
      <c r="L14" s="719" t="s">
        <v>2019</v>
      </c>
      <c r="M14" s="823">
        <f t="shared" si="4"/>
        <v>0.9</v>
      </c>
      <c r="N14" s="823">
        <f t="shared" si="5"/>
        <v>0.9</v>
      </c>
      <c r="O14" s="824">
        <f t="shared" si="6"/>
        <v>1</v>
      </c>
      <c r="P14" s="823">
        <f t="shared" si="7"/>
        <v>1</v>
      </c>
    </row>
    <row r="15" spans="1:18">
      <c r="A15" s="721" t="s">
        <v>2040</v>
      </c>
      <c r="B15" s="628" t="s">
        <v>2043</v>
      </c>
      <c r="C15" s="580">
        <f>AUTOQUESTIONNAIRE!Z185</f>
        <v>0.8</v>
      </c>
      <c r="D15" s="316">
        <v>1</v>
      </c>
      <c r="G15" s="520">
        <f t="shared" si="0"/>
        <v>0.8</v>
      </c>
      <c r="H15" s="316" t="str">
        <f t="shared" si="1"/>
        <v>Usuel</v>
      </c>
      <c r="I15" s="316" t="str">
        <f t="shared" si="2"/>
        <v>Usuel</v>
      </c>
      <c r="J15" s="316" t="str">
        <f t="shared" si="3"/>
        <v>Usuel</v>
      </c>
      <c r="L15" s="719" t="s">
        <v>2090</v>
      </c>
      <c r="M15" s="823">
        <f t="shared" si="4"/>
        <v>0.8</v>
      </c>
      <c r="N15" s="823">
        <f t="shared" si="5"/>
        <v>0.8</v>
      </c>
      <c r="O15" s="824">
        <f t="shared" si="6"/>
        <v>1</v>
      </c>
      <c r="P15" s="823">
        <f t="shared" si="7"/>
        <v>1</v>
      </c>
    </row>
    <row r="16" spans="1:18">
      <c r="A16" s="721" t="s">
        <v>2040</v>
      </c>
      <c r="B16" s="628" t="s">
        <v>2044</v>
      </c>
      <c r="C16" s="580">
        <f>AUTOQUESTIONNAIRE!AA185</f>
        <v>0.8</v>
      </c>
      <c r="D16" s="316">
        <v>1</v>
      </c>
      <c r="G16" s="520">
        <f t="shared" si="0"/>
        <v>0.8</v>
      </c>
      <c r="H16" s="316" t="str">
        <f t="shared" si="1"/>
        <v>Usuel</v>
      </c>
      <c r="I16" s="316" t="str">
        <f t="shared" si="2"/>
        <v>Usuel</v>
      </c>
      <c r="J16" s="316" t="str">
        <f t="shared" si="3"/>
        <v>Usuel</v>
      </c>
      <c r="L16" s="696" t="s">
        <v>2091</v>
      </c>
      <c r="M16" s="823">
        <f t="shared" si="4"/>
        <v>0.8</v>
      </c>
      <c r="N16" s="823">
        <f t="shared" si="5"/>
        <v>0.8</v>
      </c>
      <c r="O16" s="824">
        <f t="shared" si="6"/>
        <v>1</v>
      </c>
      <c r="P16" s="823">
        <f t="shared" si="7"/>
        <v>1</v>
      </c>
    </row>
    <row r="17" spans="1:16">
      <c r="A17" s="721" t="s">
        <v>2040</v>
      </c>
      <c r="B17" s="628" t="s">
        <v>913</v>
      </c>
      <c r="C17" s="580">
        <f>AUTOQUESTIONNAIRE!AB185</f>
        <v>0.8</v>
      </c>
      <c r="D17" s="316">
        <v>1</v>
      </c>
      <c r="G17" s="520">
        <f t="shared" si="0"/>
        <v>0.8</v>
      </c>
      <c r="H17" s="316" t="str">
        <f t="shared" si="1"/>
        <v>Usuel</v>
      </c>
      <c r="I17" s="316" t="str">
        <f t="shared" si="2"/>
        <v>Usuel</v>
      </c>
      <c r="J17" s="316" t="str">
        <f t="shared" si="3"/>
        <v>Usuel</v>
      </c>
      <c r="L17" s="696" t="s">
        <v>2092</v>
      </c>
      <c r="M17" s="823">
        <f t="shared" si="4"/>
        <v>0.8</v>
      </c>
      <c r="N17" s="823">
        <f t="shared" si="5"/>
        <v>0.8</v>
      </c>
      <c r="O17" s="824">
        <f t="shared" si="6"/>
        <v>1</v>
      </c>
      <c r="P17" s="823">
        <f t="shared" si="7"/>
        <v>1</v>
      </c>
    </row>
    <row r="18" spans="1:16">
      <c r="A18" s="721" t="s">
        <v>2040</v>
      </c>
      <c r="B18" s="629" t="s">
        <v>2045</v>
      </c>
      <c r="C18" s="580">
        <f>AUTOQUESTIONNAIRE!AC185</f>
        <v>1</v>
      </c>
      <c r="D18" s="316">
        <v>1</v>
      </c>
      <c r="G18" s="520">
        <f t="shared" si="0"/>
        <v>1</v>
      </c>
      <c r="H18" s="316" t="str">
        <f t="shared" si="1"/>
        <v>Vigilance</v>
      </c>
      <c r="I18" s="316" t="str">
        <f t="shared" si="2"/>
        <v>Vigilance</v>
      </c>
      <c r="J18" s="316" t="str">
        <f t="shared" si="3"/>
        <v>Vigilance</v>
      </c>
      <c r="L18" s="696" t="s">
        <v>2093</v>
      </c>
      <c r="M18" s="823">
        <f t="shared" si="4"/>
        <v>1</v>
      </c>
      <c r="N18" s="823">
        <f t="shared" si="5"/>
        <v>1</v>
      </c>
      <c r="O18" s="824">
        <f t="shared" si="6"/>
        <v>1</v>
      </c>
      <c r="P18" s="823">
        <f t="shared" si="7"/>
        <v>1</v>
      </c>
    </row>
    <row r="19" spans="1:16">
      <c r="A19" s="717" t="s">
        <v>1741</v>
      </c>
      <c r="B19" s="722" t="s">
        <v>42</v>
      </c>
      <c r="C19" s="520">
        <f>AUTOQUESTIONNAIRE!AR185</f>
        <v>1100</v>
      </c>
      <c r="D19" s="318">
        <f>ImportBiologie!H33</f>
        <v>1.2</v>
      </c>
      <c r="E19" s="316" t="s">
        <v>86</v>
      </c>
      <c r="F19" s="316" t="str">
        <f>IF(ISBLANK(ImportBiologie!H33),"Non Fait","Fait")</f>
        <v>Fait</v>
      </c>
      <c r="G19" s="520">
        <f t="shared" si="0"/>
        <v>1320</v>
      </c>
      <c r="H19" s="316" t="str">
        <f t="shared" si="1"/>
        <v>Alerte</v>
      </c>
      <c r="I19" s="316" t="str">
        <f t="shared" si="2"/>
        <v>Suivi</v>
      </c>
      <c r="J19" s="316" t="str">
        <f t="shared" si="3"/>
        <v>Suivi</v>
      </c>
      <c r="L19" s="719" t="s">
        <v>2021</v>
      </c>
      <c r="M19" s="823">
        <f t="shared" si="4"/>
        <v>1320</v>
      </c>
      <c r="N19" s="823">
        <f t="shared" si="5"/>
        <v>3</v>
      </c>
      <c r="O19" s="824">
        <f t="shared" si="6"/>
        <v>1100</v>
      </c>
      <c r="P19" s="823">
        <f t="shared" si="7"/>
        <v>3</v>
      </c>
    </row>
    <row r="20" spans="1:16">
      <c r="A20" s="717" t="s">
        <v>1741</v>
      </c>
      <c r="B20" s="722" t="s">
        <v>2046</v>
      </c>
      <c r="C20" s="520">
        <f>AUTOQUESTIONNAIRE!AQ185</f>
        <v>1.1000000000000001</v>
      </c>
      <c r="D20" s="318">
        <f>ImportBiologie!H34</f>
        <v>1</v>
      </c>
      <c r="E20" s="316" t="s">
        <v>1697</v>
      </c>
      <c r="F20" s="316" t="str">
        <f>IF(ISBLANK(ImportBiologie!C10),"Non Fait","Fait")</f>
        <v>Non Fait</v>
      </c>
      <c r="G20" s="520">
        <f t="shared" si="0"/>
        <v>1.1000000000000001</v>
      </c>
      <c r="H20" s="316" t="str">
        <f t="shared" si="1"/>
        <v>Vigilance</v>
      </c>
      <c r="I20" s="316" t="str">
        <f t="shared" si="2"/>
        <v>Vigilance</v>
      </c>
      <c r="J20" s="316" t="str">
        <f t="shared" si="3"/>
        <v>Vigilance</v>
      </c>
      <c r="L20" s="723" t="s">
        <v>2022</v>
      </c>
      <c r="M20" s="823">
        <f t="shared" si="4"/>
        <v>1.1000000000000001</v>
      </c>
      <c r="N20" s="823">
        <f t="shared" si="5"/>
        <v>1.1000000000000001</v>
      </c>
      <c r="O20" s="824">
        <f t="shared" si="6"/>
        <v>1.1000000000000001</v>
      </c>
      <c r="P20" s="823">
        <f t="shared" si="7"/>
        <v>1.1000000000000001</v>
      </c>
    </row>
    <row r="21" spans="1:16">
      <c r="A21" s="717" t="s">
        <v>1741</v>
      </c>
      <c r="B21" s="722" t="s">
        <v>44</v>
      </c>
      <c r="C21" s="580">
        <f>AUTOQUESTIONNAIRE!AP185</f>
        <v>1.1000000000000001</v>
      </c>
      <c r="D21" s="318">
        <f>ImportBiologie!H38</f>
        <v>1.2</v>
      </c>
      <c r="G21" s="520">
        <f t="shared" si="0"/>
        <v>1.1000000000000001</v>
      </c>
      <c r="H21" s="316" t="str">
        <f t="shared" si="1"/>
        <v>Vigilance</v>
      </c>
      <c r="I21" s="316" t="str">
        <f t="shared" si="2"/>
        <v>Vigilance</v>
      </c>
      <c r="J21" s="316" t="str">
        <f t="shared" si="3"/>
        <v>Vigilance</v>
      </c>
      <c r="L21" s="719" t="s">
        <v>2023</v>
      </c>
      <c r="M21" s="823">
        <f t="shared" si="4"/>
        <v>1.1000000000000001</v>
      </c>
      <c r="N21" s="823">
        <f t="shared" si="5"/>
        <v>1.1000000000000001</v>
      </c>
      <c r="O21" s="824">
        <f t="shared" si="6"/>
        <v>1.2</v>
      </c>
      <c r="P21" s="823">
        <f t="shared" si="7"/>
        <v>1.2</v>
      </c>
    </row>
    <row r="22" spans="1:16">
      <c r="A22" s="717" t="s">
        <v>1741</v>
      </c>
      <c r="B22" s="630" t="s">
        <v>2047</v>
      </c>
      <c r="C22" s="580">
        <f>AUTOQUESTIONNAIRE!BO185</f>
        <v>0.8</v>
      </c>
      <c r="D22" s="318">
        <f>IF(ImportBiologie!C31&gt;4,2,IF(ImportBiologie!C31&lt;0.4,2,0))</f>
        <v>2</v>
      </c>
      <c r="E22" s="316" t="s">
        <v>173</v>
      </c>
      <c r="F22" s="316" t="str">
        <f>IF(ISBLANK(ImportBiologie!C31),"Non Fait","Fait")</f>
        <v>Non Fait</v>
      </c>
      <c r="G22" s="520">
        <f t="shared" si="0"/>
        <v>0.8</v>
      </c>
      <c r="H22" s="316" t="str">
        <f t="shared" si="1"/>
        <v>Usuel</v>
      </c>
      <c r="I22" s="316" t="str">
        <f t="shared" si="2"/>
        <v>Usuel</v>
      </c>
      <c r="J22" s="316" t="str">
        <f t="shared" si="3"/>
        <v>Usuel</v>
      </c>
      <c r="L22" s="719" t="s">
        <v>2020</v>
      </c>
      <c r="M22" s="823">
        <f t="shared" si="4"/>
        <v>0.8</v>
      </c>
      <c r="N22" s="823">
        <f t="shared" si="5"/>
        <v>0.8</v>
      </c>
      <c r="O22" s="824">
        <f t="shared" si="6"/>
        <v>2</v>
      </c>
      <c r="P22" s="823">
        <f t="shared" si="7"/>
        <v>2</v>
      </c>
    </row>
    <row r="23" spans="1:16">
      <c r="A23" s="717" t="s">
        <v>1741</v>
      </c>
      <c r="B23" s="630" t="s">
        <v>1973</v>
      </c>
      <c r="C23" s="580">
        <v>0.98</v>
      </c>
      <c r="D23" s="318">
        <f>IF(ImportBiologie!C33&lt;420,1,IF(ImportBiologie!C33&gt;650,2,1.2))</f>
        <v>1</v>
      </c>
      <c r="E23" s="316" t="s">
        <v>173</v>
      </c>
      <c r="F23" s="316" t="str">
        <f>IF(ISBLANK(ImportBiologie!C32),"Non Fait","Fait")</f>
        <v>Non Fait</v>
      </c>
      <c r="G23" s="520">
        <f t="shared" ref="G23" si="8">C23*(IF(F23="Fait",D23,1))</f>
        <v>0.98</v>
      </c>
      <c r="H23" s="316" t="str">
        <f t="shared" ref="H23" si="9">IF(G23&lt;0.99,"Usuel",IF(G23&gt;1.2,"Alerte","Vigilance"))</f>
        <v>Usuel</v>
      </c>
      <c r="I23" s="316" t="str">
        <f t="shared" ref="I23" si="10">IF(G23&gt;99,"Suivi",H23)</f>
        <v>Usuel</v>
      </c>
      <c r="J23" s="316" t="str">
        <f t="shared" ref="J23" si="11">I23</f>
        <v>Usuel</v>
      </c>
      <c r="L23" s="719" t="s">
        <v>2094</v>
      </c>
      <c r="M23" s="823">
        <f t="shared" si="4"/>
        <v>0.98</v>
      </c>
      <c r="N23" s="823">
        <f t="shared" si="5"/>
        <v>0.98</v>
      </c>
      <c r="O23" s="824">
        <f t="shared" si="6"/>
        <v>1</v>
      </c>
      <c r="P23" s="823">
        <f t="shared" si="7"/>
        <v>1</v>
      </c>
    </row>
    <row r="24" spans="1:16">
      <c r="A24" s="724" t="s">
        <v>2048</v>
      </c>
      <c r="B24" s="627" t="s">
        <v>928</v>
      </c>
      <c r="C24" s="316">
        <v>0.98</v>
      </c>
      <c r="D24" s="580">
        <f>IF(ImportBiologie!C12&lt;11,2,1)</f>
        <v>2</v>
      </c>
      <c r="E24" s="316" t="s">
        <v>1177</v>
      </c>
      <c r="F24" s="316" t="str">
        <f>IF(ISBLANK(ImportBiologie!C12),"Non Fait","Fait")</f>
        <v>Non Fait</v>
      </c>
      <c r="G24" s="520">
        <f t="shared" si="0"/>
        <v>0.98</v>
      </c>
      <c r="H24" s="316" t="str">
        <f t="shared" si="1"/>
        <v>Usuel</v>
      </c>
      <c r="I24" s="316" t="str">
        <f t="shared" si="2"/>
        <v>Usuel</v>
      </c>
      <c r="J24" s="316" t="str">
        <f t="shared" si="3"/>
        <v>Usuel</v>
      </c>
      <c r="L24" s="719" t="s">
        <v>2095</v>
      </c>
      <c r="M24" s="823">
        <f t="shared" si="4"/>
        <v>0.98</v>
      </c>
      <c r="N24" s="823">
        <f t="shared" si="5"/>
        <v>0.98</v>
      </c>
      <c r="O24" s="824">
        <f t="shared" si="6"/>
        <v>2</v>
      </c>
      <c r="P24" s="823">
        <f t="shared" si="7"/>
        <v>2</v>
      </c>
    </row>
    <row r="25" spans="1:16">
      <c r="A25" s="724" t="s">
        <v>2048</v>
      </c>
      <c r="B25" s="627" t="s">
        <v>929</v>
      </c>
      <c r="C25" s="316">
        <v>0.98</v>
      </c>
      <c r="D25" s="580">
        <f>IF(ImportBiologie!C12&gt;18,2,1)</f>
        <v>1</v>
      </c>
      <c r="E25" s="316" t="s">
        <v>1177</v>
      </c>
      <c r="F25" s="316" t="str">
        <f>IF(ISBLANK(ImportBiologie!C12),"Non Fait","Fait")</f>
        <v>Non Fait</v>
      </c>
      <c r="G25" s="520">
        <f t="shared" si="0"/>
        <v>0.98</v>
      </c>
      <c r="H25" s="316" t="str">
        <f t="shared" si="1"/>
        <v>Usuel</v>
      </c>
      <c r="I25" s="316" t="str">
        <f t="shared" si="2"/>
        <v>Usuel</v>
      </c>
      <c r="J25" s="316" t="str">
        <f t="shared" si="3"/>
        <v>Usuel</v>
      </c>
      <c r="L25" s="719" t="s">
        <v>2096</v>
      </c>
      <c r="M25" s="823">
        <f t="shared" si="4"/>
        <v>0.98</v>
      </c>
      <c r="N25" s="823">
        <f t="shared" si="5"/>
        <v>0.98</v>
      </c>
      <c r="O25" s="824">
        <f t="shared" si="6"/>
        <v>1</v>
      </c>
      <c r="P25" s="823">
        <f t="shared" si="7"/>
        <v>1</v>
      </c>
    </row>
    <row r="26" spans="1:16">
      <c r="A26" s="724" t="s">
        <v>2048</v>
      </c>
      <c r="B26" s="627" t="s">
        <v>930</v>
      </c>
      <c r="C26" s="316">
        <v>0.98</v>
      </c>
      <c r="D26" s="580">
        <f>IF(ImportBiologie!C19&lt;150,2,IF(ImportBiologie!C19&gt;450,2,0))</f>
        <v>2</v>
      </c>
      <c r="E26" s="316" t="s">
        <v>1177</v>
      </c>
      <c r="F26" s="316" t="str">
        <f>IF(ISBLANK(ImportBiologie!C19),"Non Fait","Fait")</f>
        <v>Non Fait</v>
      </c>
      <c r="G26" s="520">
        <f t="shared" si="0"/>
        <v>0.98</v>
      </c>
      <c r="H26" s="316" t="str">
        <f t="shared" si="1"/>
        <v>Usuel</v>
      </c>
      <c r="I26" s="316" t="str">
        <f t="shared" si="2"/>
        <v>Usuel</v>
      </c>
      <c r="J26" s="316" t="str">
        <f t="shared" si="3"/>
        <v>Usuel</v>
      </c>
      <c r="L26" s="719" t="s">
        <v>2097</v>
      </c>
      <c r="M26" s="823">
        <f t="shared" si="4"/>
        <v>0.98</v>
      </c>
      <c r="N26" s="823">
        <f t="shared" si="5"/>
        <v>0.98</v>
      </c>
      <c r="O26" s="824">
        <f t="shared" si="6"/>
        <v>2</v>
      </c>
      <c r="P26" s="823">
        <f t="shared" si="7"/>
        <v>2</v>
      </c>
    </row>
    <row r="27" spans="1:16">
      <c r="A27" s="724" t="s">
        <v>2048</v>
      </c>
      <c r="B27" s="627" t="s">
        <v>931</v>
      </c>
      <c r="C27" s="316">
        <v>0.98</v>
      </c>
      <c r="D27" s="580">
        <f>IF(ImportBiologie!C19&lt;150,2,IF(ImportBiologie!C19&gt;450,2,0))</f>
        <v>2</v>
      </c>
      <c r="E27" s="316" t="s">
        <v>1177</v>
      </c>
      <c r="F27" s="316" t="str">
        <f>IF(ISBLANK(ImportBiologie!C19),"Non Fait","Fait")</f>
        <v>Non Fait</v>
      </c>
      <c r="G27" s="520">
        <f t="shared" si="0"/>
        <v>0.98</v>
      </c>
      <c r="H27" s="316" t="str">
        <f t="shared" si="1"/>
        <v>Usuel</v>
      </c>
      <c r="I27" s="316" t="str">
        <f t="shared" si="2"/>
        <v>Usuel</v>
      </c>
      <c r="J27" s="316" t="str">
        <f t="shared" si="3"/>
        <v>Usuel</v>
      </c>
      <c r="L27" s="719" t="s">
        <v>2098</v>
      </c>
      <c r="M27" s="823">
        <f t="shared" si="4"/>
        <v>0.98</v>
      </c>
      <c r="N27" s="823">
        <f t="shared" si="5"/>
        <v>0.98</v>
      </c>
      <c r="O27" s="824">
        <f t="shared" si="6"/>
        <v>2</v>
      </c>
      <c r="P27" s="823">
        <f t="shared" si="7"/>
        <v>2</v>
      </c>
    </row>
    <row r="28" spans="1:16">
      <c r="A28" s="724" t="s">
        <v>2048</v>
      </c>
      <c r="B28" s="627" t="s">
        <v>1716</v>
      </c>
      <c r="C28" s="316">
        <v>0.98</v>
      </c>
      <c r="D28" s="580">
        <f>IF(ImportBiologie!C15&lt;3,2,IF(ImportBiologie!C15&gt;15,2,0))</f>
        <v>2</v>
      </c>
      <c r="E28" s="316" t="s">
        <v>1177</v>
      </c>
      <c r="F28" s="316" t="str">
        <f>IF(ISBLANK(ImportBiologie!C15),"Non Fait","Fait")</f>
        <v>Non Fait</v>
      </c>
      <c r="G28" s="520">
        <f t="shared" si="0"/>
        <v>0.98</v>
      </c>
      <c r="H28" s="316" t="str">
        <f t="shared" si="1"/>
        <v>Usuel</v>
      </c>
      <c r="I28" s="316" t="str">
        <f t="shared" si="2"/>
        <v>Usuel</v>
      </c>
      <c r="J28" s="316" t="str">
        <f t="shared" si="3"/>
        <v>Usuel</v>
      </c>
      <c r="L28" s="719" t="s">
        <v>2099</v>
      </c>
      <c r="M28" s="823">
        <f t="shared" si="4"/>
        <v>0.98</v>
      </c>
      <c r="N28" s="823">
        <f t="shared" si="5"/>
        <v>0.98</v>
      </c>
      <c r="O28" s="824">
        <f t="shared" si="6"/>
        <v>2</v>
      </c>
      <c r="P28" s="823">
        <f t="shared" si="7"/>
        <v>2</v>
      </c>
    </row>
    <row r="29" spans="1:16">
      <c r="A29" s="724" t="s">
        <v>2048</v>
      </c>
      <c r="B29" s="627" t="s">
        <v>933</v>
      </c>
      <c r="C29" s="316">
        <v>0.98</v>
      </c>
      <c r="D29" s="580">
        <f>IF(ImportBiologie!C15&lt;3,2,IF(ImportBiologie!C15&gt;15,2,0))</f>
        <v>2</v>
      </c>
      <c r="E29" s="316" t="s">
        <v>1177</v>
      </c>
      <c r="F29" s="316" t="str">
        <f>IF(ISBLANK(ImportBiologie!C15),"Non Fait","Fait")</f>
        <v>Non Fait</v>
      </c>
      <c r="G29" s="520">
        <f t="shared" si="0"/>
        <v>0.98</v>
      </c>
      <c r="H29" s="316" t="str">
        <f t="shared" si="1"/>
        <v>Usuel</v>
      </c>
      <c r="I29" s="316" t="str">
        <f t="shared" si="2"/>
        <v>Usuel</v>
      </c>
      <c r="J29" s="316" t="str">
        <f t="shared" si="3"/>
        <v>Usuel</v>
      </c>
      <c r="L29" s="719" t="s">
        <v>2100</v>
      </c>
      <c r="M29" s="823">
        <f t="shared" si="4"/>
        <v>0.98</v>
      </c>
      <c r="N29" s="823">
        <f t="shared" si="5"/>
        <v>0.98</v>
      </c>
      <c r="O29" s="824">
        <f t="shared" si="6"/>
        <v>2</v>
      </c>
      <c r="P29" s="823">
        <f t="shared" si="7"/>
        <v>2</v>
      </c>
    </row>
    <row r="30" spans="1:16">
      <c r="A30" s="724" t="s">
        <v>2048</v>
      </c>
      <c r="B30" s="627" t="s">
        <v>1199</v>
      </c>
      <c r="C30" s="316">
        <v>0.98</v>
      </c>
      <c r="D30" s="580">
        <f>IF(ImportBiologie!C18&lt;0.9,2,IF(ImportBiologie!C18&gt;4,2,0))</f>
        <v>2</v>
      </c>
      <c r="E30" s="316" t="s">
        <v>1177</v>
      </c>
      <c r="F30" s="316" t="str">
        <f>IF(ISBLANK(ImportBiologie!C18),"Non Fait","Fait")</f>
        <v>Non Fait</v>
      </c>
      <c r="G30" s="520">
        <f t="shared" si="0"/>
        <v>0.98</v>
      </c>
      <c r="H30" s="316" t="str">
        <f t="shared" si="1"/>
        <v>Usuel</v>
      </c>
      <c r="I30" s="316" t="str">
        <f t="shared" si="2"/>
        <v>Usuel</v>
      </c>
      <c r="J30" s="316" t="str">
        <f t="shared" si="3"/>
        <v>Usuel</v>
      </c>
      <c r="L30" s="719" t="s">
        <v>2101</v>
      </c>
      <c r="M30" s="823">
        <f t="shared" si="4"/>
        <v>0.98</v>
      </c>
      <c r="N30" s="823">
        <f t="shared" si="5"/>
        <v>0.98</v>
      </c>
      <c r="O30" s="824">
        <f t="shared" si="6"/>
        <v>2</v>
      </c>
      <c r="P30" s="823">
        <f t="shared" si="7"/>
        <v>2</v>
      </c>
    </row>
    <row r="31" spans="1:16">
      <c r="A31" s="724" t="s">
        <v>2048</v>
      </c>
      <c r="B31" s="627" t="s">
        <v>2103</v>
      </c>
      <c r="C31" s="316">
        <v>0.98</v>
      </c>
      <c r="D31" s="580">
        <f>IF(ImportBiologie!C17&gt;0.5,2,0)</f>
        <v>0</v>
      </c>
      <c r="E31" s="316" t="s">
        <v>1177</v>
      </c>
      <c r="F31" s="316" t="str">
        <f>IF(ISBLANK(ImportBiologie!C17),"Non Fait","Fait")</f>
        <v>Non Fait</v>
      </c>
      <c r="G31" s="520">
        <f t="shared" si="0"/>
        <v>0.98</v>
      </c>
      <c r="H31" s="316" t="str">
        <f t="shared" si="1"/>
        <v>Usuel</v>
      </c>
      <c r="I31" s="316" t="str">
        <f t="shared" si="2"/>
        <v>Usuel</v>
      </c>
      <c r="J31" s="316" t="str">
        <f t="shared" si="3"/>
        <v>Usuel</v>
      </c>
      <c r="L31" s="719" t="s">
        <v>2102</v>
      </c>
      <c r="M31" s="823">
        <f t="shared" si="4"/>
        <v>0.98</v>
      </c>
      <c r="N31" s="823">
        <f t="shared" si="5"/>
        <v>0.98</v>
      </c>
      <c r="O31" s="824">
        <f t="shared" si="6"/>
        <v>0.98</v>
      </c>
      <c r="P31" s="823">
        <f t="shared" si="7"/>
        <v>0.98</v>
      </c>
    </row>
    <row r="32" spans="1:16">
      <c r="A32" s="724" t="s">
        <v>2048</v>
      </c>
      <c r="B32" s="627" t="s">
        <v>1718</v>
      </c>
      <c r="C32" s="316">
        <v>0.98</v>
      </c>
      <c r="D32" s="580">
        <f>IF(ImportBiologie!C97&gt;1,2,0)</f>
        <v>0</v>
      </c>
      <c r="E32" s="316" t="s">
        <v>1177</v>
      </c>
      <c r="F32" s="316" t="str">
        <f>IF(ISBLANK(ImportBiologie!C97),"Non Fait","Fait")</f>
        <v>Fait</v>
      </c>
      <c r="G32" s="520">
        <f t="shared" si="0"/>
        <v>0</v>
      </c>
      <c r="H32" s="316" t="str">
        <f t="shared" si="1"/>
        <v>Usuel</v>
      </c>
      <c r="I32" s="316" t="str">
        <f t="shared" si="2"/>
        <v>Usuel</v>
      </c>
      <c r="J32" s="316" t="str">
        <f t="shared" si="3"/>
        <v>Usuel</v>
      </c>
      <c r="L32" s="696" t="s">
        <v>2121</v>
      </c>
      <c r="M32" s="823">
        <f t="shared" si="4"/>
        <v>0</v>
      </c>
      <c r="N32" s="823">
        <f t="shared" si="5"/>
        <v>0</v>
      </c>
      <c r="O32" s="824">
        <f t="shared" si="6"/>
        <v>0.98</v>
      </c>
      <c r="P32" s="823">
        <f t="shared" si="7"/>
        <v>0.98</v>
      </c>
    </row>
    <row r="33" spans="1:16">
      <c r="A33" s="724" t="s">
        <v>2048</v>
      </c>
      <c r="B33" s="627" t="s">
        <v>1861</v>
      </c>
      <c r="C33" s="316">
        <f>AUTOQUESTIONNAIRE!G168</f>
        <v>0</v>
      </c>
      <c r="D33" s="580">
        <f>IF(ImportBiologie!F118&gt;0.5,1.5,0)</f>
        <v>1.5</v>
      </c>
      <c r="E33" s="316" t="s">
        <v>1177</v>
      </c>
      <c r="F33" s="316" t="str">
        <f>IF(ISBLANK(ImportBiologie!C116),"Non Fait","Fait")</f>
        <v>Fait</v>
      </c>
      <c r="G33" s="520">
        <f t="shared" ref="G33" si="12">C33*(IF(F33="Fait",D33,1))</f>
        <v>0</v>
      </c>
      <c r="H33" s="316" t="str">
        <f t="shared" ref="H33" si="13">IF(G33&lt;0.99,"Usuel",IF(G33&gt;1.2,"Alerte","Vigilance"))</f>
        <v>Usuel</v>
      </c>
      <c r="I33" s="316" t="str">
        <f t="shared" ref="I33" si="14">IF(G33&gt;99,"Suivi",H33)</f>
        <v>Usuel</v>
      </c>
      <c r="J33" s="316" t="str">
        <f t="shared" si="3"/>
        <v>Usuel</v>
      </c>
      <c r="L33" s="719" t="s">
        <v>2122</v>
      </c>
      <c r="M33" s="823">
        <f t="shared" si="4"/>
        <v>0</v>
      </c>
      <c r="N33" s="823">
        <f t="shared" si="5"/>
        <v>0</v>
      </c>
      <c r="O33" s="824">
        <f t="shared" si="6"/>
        <v>1.5</v>
      </c>
      <c r="P33" s="823">
        <f t="shared" si="7"/>
        <v>1.5</v>
      </c>
    </row>
    <row r="34" spans="1:16">
      <c r="A34" s="725" t="s">
        <v>1933</v>
      </c>
      <c r="B34" s="639" t="s">
        <v>902</v>
      </c>
      <c r="C34" s="580">
        <f>AUTOQUESTIONNAIRE!BJ185</f>
        <v>0.9</v>
      </c>
      <c r="D34" s="316">
        <v>1</v>
      </c>
      <c r="G34" s="520">
        <f t="shared" si="0"/>
        <v>0.9</v>
      </c>
      <c r="H34" s="316" t="str">
        <f t="shared" si="1"/>
        <v>Usuel</v>
      </c>
      <c r="I34" s="316" t="str">
        <f t="shared" si="2"/>
        <v>Usuel</v>
      </c>
      <c r="J34" s="316" t="str">
        <f t="shared" si="3"/>
        <v>Usuel</v>
      </c>
      <c r="L34" s="719" t="s">
        <v>2028</v>
      </c>
      <c r="M34" s="823">
        <f t="shared" si="4"/>
        <v>0.9</v>
      </c>
      <c r="N34" s="823">
        <f t="shared" si="5"/>
        <v>0.9</v>
      </c>
      <c r="O34" s="824">
        <f t="shared" si="6"/>
        <v>1</v>
      </c>
      <c r="P34" s="823">
        <f t="shared" si="7"/>
        <v>1</v>
      </c>
    </row>
    <row r="35" spans="1:16">
      <c r="A35" s="725" t="s">
        <v>1933</v>
      </c>
      <c r="B35" s="726" t="s">
        <v>38</v>
      </c>
      <c r="C35" s="580">
        <f>AUTOQUESTIONNAIRE!AS185</f>
        <v>1.2</v>
      </c>
      <c r="D35" s="318">
        <f>IF(ImportBiologie!C35&lt;0.01,1,IF(ImportBiologie!C35&gt;30,0,2))</f>
        <v>1</v>
      </c>
      <c r="E35" s="316" t="s">
        <v>1696</v>
      </c>
      <c r="F35" s="316" t="str">
        <f>IF(ISBLANK(ImportBiologie!C35),"Non Fait","Fait")</f>
        <v>Non Fait</v>
      </c>
      <c r="G35" s="520">
        <f t="shared" ref="G35:G65" si="15">C35*(IF(F35="Fait",D35,1))</f>
        <v>1.2</v>
      </c>
      <c r="H35" s="316" t="str">
        <f t="shared" ref="H35:H65" si="16">IF(G35&lt;0.99,"Usuel",IF(G35&gt;1.2,"Alerte","Vigilance"))</f>
        <v>Vigilance</v>
      </c>
      <c r="I35" s="316" t="str">
        <f t="shared" ref="I35:I65" si="17">IF(G35&gt;99,"Suivi",H35)</f>
        <v>Vigilance</v>
      </c>
      <c r="J35" s="316" t="str">
        <f t="shared" si="3"/>
        <v>Vigilance</v>
      </c>
      <c r="L35" s="719" t="s">
        <v>2018</v>
      </c>
      <c r="M35" s="823">
        <f t="shared" si="4"/>
        <v>1.2</v>
      </c>
      <c r="N35" s="823">
        <f t="shared" si="5"/>
        <v>1.2</v>
      </c>
      <c r="O35" s="824">
        <f t="shared" si="6"/>
        <v>1.2</v>
      </c>
      <c r="P35" s="823">
        <f t="shared" si="7"/>
        <v>1.2</v>
      </c>
    </row>
    <row r="36" spans="1:16">
      <c r="A36" s="725" t="s">
        <v>1933</v>
      </c>
      <c r="B36" s="631" t="s">
        <v>922</v>
      </c>
      <c r="C36" s="520">
        <f>AUTOQUESTIONNAIRE!AT185</f>
        <v>1.2</v>
      </c>
      <c r="D36" s="318">
        <f>IF(ImportBiologie!C36&lt;5,1.2,1)</f>
        <v>1.2</v>
      </c>
      <c r="E36" s="316" t="s">
        <v>1715</v>
      </c>
      <c r="G36" s="520">
        <f t="shared" si="15"/>
        <v>1.2</v>
      </c>
      <c r="H36" s="316" t="str">
        <f t="shared" si="16"/>
        <v>Vigilance</v>
      </c>
      <c r="I36" s="316" t="str">
        <f t="shared" si="17"/>
        <v>Vigilance</v>
      </c>
      <c r="J36" s="316" t="str">
        <f t="shared" si="3"/>
        <v>Vigilance</v>
      </c>
      <c r="L36" s="719" t="s">
        <v>2104</v>
      </c>
      <c r="M36" s="823">
        <f t="shared" si="4"/>
        <v>1.2</v>
      </c>
      <c r="N36" s="823">
        <f t="shared" si="5"/>
        <v>1.2</v>
      </c>
      <c r="O36" s="824">
        <f t="shared" si="6"/>
        <v>1.2</v>
      </c>
      <c r="P36" s="823">
        <f t="shared" si="7"/>
        <v>1.2</v>
      </c>
    </row>
    <row r="37" spans="1:16">
      <c r="A37" s="725" t="s">
        <v>1933</v>
      </c>
      <c r="B37" s="631" t="s">
        <v>923</v>
      </c>
      <c r="C37" s="580">
        <f>AUTOQUESTIONNAIRE!AU185</f>
        <v>0.8</v>
      </c>
      <c r="D37" s="316">
        <v>1</v>
      </c>
      <c r="G37" s="520">
        <f t="shared" si="15"/>
        <v>0.8</v>
      </c>
      <c r="H37" s="316" t="str">
        <f t="shared" si="16"/>
        <v>Usuel</v>
      </c>
      <c r="I37" s="316" t="str">
        <f t="shared" si="17"/>
        <v>Usuel</v>
      </c>
      <c r="J37" s="316" t="str">
        <f>I37</f>
        <v>Usuel</v>
      </c>
      <c r="L37" s="719" t="s">
        <v>2105</v>
      </c>
      <c r="M37" s="823">
        <f t="shared" si="4"/>
        <v>0.8</v>
      </c>
      <c r="N37" s="823">
        <f t="shared" si="5"/>
        <v>0.8</v>
      </c>
      <c r="O37" s="824">
        <f t="shared" si="6"/>
        <v>1</v>
      </c>
      <c r="P37" s="823">
        <f t="shared" si="7"/>
        <v>1</v>
      </c>
    </row>
    <row r="38" spans="1:16">
      <c r="A38" s="725" t="s">
        <v>1933</v>
      </c>
      <c r="B38" s="631" t="s">
        <v>924</v>
      </c>
      <c r="C38" s="580">
        <f>AUTOQUESTIONNAIRE!AV185</f>
        <v>0.9</v>
      </c>
      <c r="D38" s="316">
        <f>IF(ImportBiologie!C7&gt;10,2,IF(ImportBiologie!C7&lt;5,0,1))</f>
        <v>2</v>
      </c>
      <c r="F38" s="316" t="str">
        <f>IF(ISBLANK(ImportBiologie!C7),"Non Fait","Fait")</f>
        <v>Fait</v>
      </c>
      <c r="G38" s="520">
        <f t="shared" si="15"/>
        <v>1.8</v>
      </c>
      <c r="H38" s="316" t="str">
        <f t="shared" si="16"/>
        <v>Alerte</v>
      </c>
      <c r="I38" s="316" t="str">
        <f t="shared" si="17"/>
        <v>Alerte</v>
      </c>
      <c r="J38" s="316" t="str">
        <f t="shared" si="3"/>
        <v>Alerte</v>
      </c>
      <c r="L38" s="719" t="s">
        <v>2106</v>
      </c>
      <c r="M38" s="823">
        <f t="shared" si="4"/>
        <v>1.8</v>
      </c>
      <c r="N38" s="823">
        <f t="shared" si="5"/>
        <v>1.8</v>
      </c>
      <c r="O38" s="824">
        <f t="shared" si="6"/>
        <v>2</v>
      </c>
      <c r="P38" s="823">
        <f t="shared" si="7"/>
        <v>2</v>
      </c>
    </row>
    <row r="39" spans="1:16">
      <c r="A39" s="717" t="s">
        <v>1742</v>
      </c>
      <c r="B39" s="727" t="s">
        <v>2049</v>
      </c>
      <c r="C39" s="580">
        <f>AUTOQUESTIONNAIRE!AK185</f>
        <v>2</v>
      </c>
      <c r="D39" s="520">
        <f>D5</f>
        <v>1.2</v>
      </c>
      <c r="E39" s="720" t="s">
        <v>86</v>
      </c>
      <c r="G39" s="520">
        <f t="shared" si="15"/>
        <v>2</v>
      </c>
      <c r="H39" s="316" t="str">
        <f t="shared" si="16"/>
        <v>Alerte</v>
      </c>
      <c r="I39" s="316" t="str">
        <f t="shared" si="17"/>
        <v>Alerte</v>
      </c>
      <c r="J39" s="316" t="str">
        <f t="shared" si="3"/>
        <v>Alerte</v>
      </c>
      <c r="L39" s="719" t="s">
        <v>2026</v>
      </c>
      <c r="M39" s="823">
        <f t="shared" si="4"/>
        <v>2</v>
      </c>
      <c r="N39" s="823">
        <f t="shared" si="5"/>
        <v>2</v>
      </c>
      <c r="O39" s="824">
        <f t="shared" si="6"/>
        <v>2</v>
      </c>
      <c r="P39" s="823">
        <f t="shared" si="7"/>
        <v>2</v>
      </c>
    </row>
    <row r="40" spans="1:16">
      <c r="A40" s="717" t="s">
        <v>1742</v>
      </c>
      <c r="B40" s="636" t="s">
        <v>916</v>
      </c>
      <c r="C40" s="580">
        <f>AUTOQUESTIONNAIRE!AJ185</f>
        <v>1.2</v>
      </c>
      <c r="D40" s="520">
        <v>1</v>
      </c>
      <c r="G40" s="520">
        <f t="shared" si="15"/>
        <v>1.2</v>
      </c>
      <c r="H40" s="316" t="str">
        <f t="shared" si="16"/>
        <v>Vigilance</v>
      </c>
      <c r="I40" s="316" t="str">
        <f t="shared" si="17"/>
        <v>Vigilance</v>
      </c>
      <c r="J40" s="316" t="str">
        <f t="shared" si="3"/>
        <v>Vigilance</v>
      </c>
      <c r="L40" s="719" t="s">
        <v>2107</v>
      </c>
      <c r="M40" s="823">
        <f t="shared" si="4"/>
        <v>1.2</v>
      </c>
      <c r="N40" s="823">
        <f t="shared" si="5"/>
        <v>1.2</v>
      </c>
      <c r="O40" s="824">
        <f t="shared" si="6"/>
        <v>1.2</v>
      </c>
      <c r="P40" s="823">
        <f t="shared" si="7"/>
        <v>1.2</v>
      </c>
    </row>
    <row r="41" spans="1:16">
      <c r="A41" s="717" t="s">
        <v>1742</v>
      </c>
      <c r="B41" s="636" t="s">
        <v>917</v>
      </c>
      <c r="C41" s="580">
        <f>AUTOQUESTIONNAIRE!AL185</f>
        <v>2</v>
      </c>
      <c r="D41" s="316">
        <v>1</v>
      </c>
      <c r="G41" s="520">
        <f t="shared" si="15"/>
        <v>2</v>
      </c>
      <c r="H41" s="316" t="str">
        <f t="shared" si="16"/>
        <v>Alerte</v>
      </c>
      <c r="I41" s="316" t="str">
        <f t="shared" si="17"/>
        <v>Alerte</v>
      </c>
      <c r="J41" s="316" t="str">
        <f t="shared" si="3"/>
        <v>Alerte</v>
      </c>
      <c r="L41" s="719" t="s">
        <v>2108</v>
      </c>
      <c r="M41" s="823">
        <f t="shared" si="4"/>
        <v>2</v>
      </c>
      <c r="N41" s="823">
        <f t="shared" si="5"/>
        <v>2</v>
      </c>
      <c r="O41" s="824">
        <f t="shared" si="6"/>
        <v>2</v>
      </c>
      <c r="P41" s="823">
        <f t="shared" si="7"/>
        <v>2</v>
      </c>
    </row>
    <row r="42" spans="1:16" ht="409.5">
      <c r="A42" s="717" t="s">
        <v>1742</v>
      </c>
      <c r="B42" s="636" t="s">
        <v>2050</v>
      </c>
      <c r="C42" s="580">
        <f>AUTOQUESTIONNAIRE!AM185</f>
        <v>1.2</v>
      </c>
      <c r="D42" s="316">
        <v>1</v>
      </c>
      <c r="G42" s="520">
        <f t="shared" si="15"/>
        <v>1.2</v>
      </c>
      <c r="H42" s="316" t="str">
        <f t="shared" si="16"/>
        <v>Vigilance</v>
      </c>
      <c r="I42" s="316" t="str">
        <f t="shared" si="17"/>
        <v>Vigilance</v>
      </c>
      <c r="J42" s="316" t="str">
        <f t="shared" si="3"/>
        <v>Vigilance</v>
      </c>
      <c r="L42" s="713" t="s">
        <v>2109</v>
      </c>
      <c r="M42" s="823">
        <f t="shared" si="4"/>
        <v>1.2</v>
      </c>
      <c r="N42" s="823">
        <f t="shared" si="5"/>
        <v>1.2</v>
      </c>
      <c r="O42" s="824">
        <f t="shared" si="6"/>
        <v>1.2</v>
      </c>
      <c r="P42" s="823">
        <f t="shared" si="7"/>
        <v>1.2</v>
      </c>
    </row>
    <row r="43" spans="1:16" ht="409.5">
      <c r="A43" s="717" t="s">
        <v>1742</v>
      </c>
      <c r="B43" s="716" t="s">
        <v>2124</v>
      </c>
      <c r="C43" s="580">
        <f>AUTOQUESTIONNAIRE!H172</f>
        <v>0.8</v>
      </c>
      <c r="D43" s="316">
        <v>1</v>
      </c>
      <c r="G43" s="520">
        <f t="shared" si="15"/>
        <v>0.8</v>
      </c>
      <c r="H43" s="316" t="str">
        <f t="shared" si="16"/>
        <v>Usuel</v>
      </c>
      <c r="I43" s="316" t="str">
        <f t="shared" si="17"/>
        <v>Usuel</v>
      </c>
      <c r="J43" s="316" t="str">
        <f t="shared" si="3"/>
        <v>Usuel</v>
      </c>
      <c r="L43" s="713" t="s">
        <v>2123</v>
      </c>
      <c r="M43" s="823">
        <f t="shared" si="4"/>
        <v>0.8</v>
      </c>
      <c r="N43" s="823">
        <f t="shared" si="5"/>
        <v>0.8</v>
      </c>
      <c r="O43" s="824">
        <f t="shared" si="6"/>
        <v>1</v>
      </c>
      <c r="P43" s="823">
        <f t="shared" si="7"/>
        <v>1</v>
      </c>
    </row>
    <row r="44" spans="1:16">
      <c r="A44" s="717" t="s">
        <v>1744</v>
      </c>
      <c r="B44" s="633" t="s">
        <v>896</v>
      </c>
      <c r="C44" s="580">
        <f>AUTOQUESTIONNAIRE!BH185</f>
        <v>1.2</v>
      </c>
      <c r="D44" s="316">
        <v>1</v>
      </c>
      <c r="G44" s="520">
        <f t="shared" si="15"/>
        <v>1.2</v>
      </c>
      <c r="H44" s="316" t="str">
        <f t="shared" si="16"/>
        <v>Vigilance</v>
      </c>
      <c r="I44" s="316" t="str">
        <f t="shared" si="17"/>
        <v>Vigilance</v>
      </c>
      <c r="J44" s="316" t="str">
        <f t="shared" si="3"/>
        <v>Vigilance</v>
      </c>
      <c r="L44" s="719" t="s">
        <v>2033</v>
      </c>
      <c r="M44" s="823">
        <f t="shared" si="4"/>
        <v>1.2</v>
      </c>
      <c r="N44" s="823">
        <f t="shared" si="5"/>
        <v>1.2</v>
      </c>
      <c r="O44" s="824">
        <f t="shared" si="6"/>
        <v>1.2</v>
      </c>
      <c r="P44" s="823">
        <f t="shared" si="7"/>
        <v>1.2</v>
      </c>
    </row>
    <row r="45" spans="1:16">
      <c r="A45" s="717" t="s">
        <v>1744</v>
      </c>
      <c r="B45" s="633" t="s">
        <v>897</v>
      </c>
      <c r="C45" s="520">
        <f>AUTOQUESTIONNAIRE!BI185</f>
        <v>0.6</v>
      </c>
      <c r="D45" s="316">
        <v>1</v>
      </c>
      <c r="G45" s="520">
        <f t="shared" si="15"/>
        <v>0.6</v>
      </c>
      <c r="H45" s="316" t="str">
        <f t="shared" si="16"/>
        <v>Usuel</v>
      </c>
      <c r="I45" s="316" t="str">
        <f t="shared" si="17"/>
        <v>Usuel</v>
      </c>
      <c r="J45" s="316" t="str">
        <f t="shared" si="3"/>
        <v>Usuel</v>
      </c>
      <c r="L45" s="719" t="s">
        <v>2032</v>
      </c>
      <c r="M45" s="823">
        <f t="shared" si="4"/>
        <v>0.6</v>
      </c>
      <c r="N45" s="823">
        <f t="shared" si="5"/>
        <v>0.6</v>
      </c>
      <c r="O45" s="824">
        <f t="shared" si="6"/>
        <v>1</v>
      </c>
      <c r="P45" s="823">
        <f t="shared" si="7"/>
        <v>1</v>
      </c>
    </row>
    <row r="46" spans="1:16">
      <c r="A46" s="717" t="s">
        <v>1744</v>
      </c>
      <c r="B46" s="728" t="s">
        <v>1713</v>
      </c>
      <c r="C46" s="580">
        <f>AUTOQUESTIONNAIRE!AW185</f>
        <v>1200</v>
      </c>
      <c r="D46" s="316">
        <v>1</v>
      </c>
      <c r="G46" s="520">
        <f t="shared" si="15"/>
        <v>1200</v>
      </c>
      <c r="H46" s="316" t="str">
        <f t="shared" si="16"/>
        <v>Alerte</v>
      </c>
      <c r="I46" s="316" t="str">
        <f t="shared" si="17"/>
        <v>Suivi</v>
      </c>
      <c r="J46" s="316" t="str">
        <f t="shared" si="3"/>
        <v>Suivi</v>
      </c>
      <c r="L46" s="719" t="s">
        <v>2035</v>
      </c>
      <c r="M46" s="823">
        <f t="shared" si="4"/>
        <v>1200</v>
      </c>
      <c r="N46" s="823">
        <f t="shared" si="5"/>
        <v>3</v>
      </c>
      <c r="O46" s="824">
        <f t="shared" si="6"/>
        <v>1200</v>
      </c>
      <c r="P46" s="823">
        <f t="shared" si="7"/>
        <v>3</v>
      </c>
    </row>
    <row r="47" spans="1:16">
      <c r="A47" s="717" t="s">
        <v>1744</v>
      </c>
      <c r="B47" s="728" t="s">
        <v>2051</v>
      </c>
      <c r="C47" s="580">
        <f>AUTOQUESTIONNAIRE!AX185</f>
        <v>1.2</v>
      </c>
      <c r="D47" s="316">
        <v>1</v>
      </c>
      <c r="G47" s="520">
        <f t="shared" si="15"/>
        <v>1.2</v>
      </c>
      <c r="H47" s="316" t="str">
        <f t="shared" si="16"/>
        <v>Vigilance</v>
      </c>
      <c r="I47" s="316" t="str">
        <f t="shared" si="17"/>
        <v>Vigilance</v>
      </c>
      <c r="J47" s="316" t="str">
        <f t="shared" si="3"/>
        <v>Vigilance</v>
      </c>
      <c r="L47" s="719" t="s">
        <v>2036</v>
      </c>
      <c r="M47" s="823">
        <f t="shared" si="4"/>
        <v>1.2</v>
      </c>
      <c r="N47" s="823">
        <f t="shared" si="5"/>
        <v>1.2</v>
      </c>
      <c r="O47" s="824">
        <f t="shared" si="6"/>
        <v>1.2</v>
      </c>
      <c r="P47" s="823">
        <f t="shared" si="7"/>
        <v>1.2</v>
      </c>
    </row>
    <row r="48" spans="1:16">
      <c r="A48" s="717" t="s">
        <v>1744</v>
      </c>
      <c r="B48" s="632" t="s">
        <v>2052</v>
      </c>
      <c r="C48" s="580">
        <f>AUTOQUESTIONNAIRE!AY185</f>
        <v>900</v>
      </c>
      <c r="D48" s="316">
        <v>1</v>
      </c>
      <c r="G48" s="520">
        <f t="shared" si="15"/>
        <v>900</v>
      </c>
      <c r="H48" s="316" t="str">
        <f t="shared" si="16"/>
        <v>Alerte</v>
      </c>
      <c r="I48" s="316" t="str">
        <f t="shared" si="17"/>
        <v>Suivi</v>
      </c>
      <c r="J48" s="316" t="str">
        <f t="shared" si="3"/>
        <v>Suivi</v>
      </c>
      <c r="L48" s="719" t="s">
        <v>2110</v>
      </c>
      <c r="M48" s="823">
        <f t="shared" si="4"/>
        <v>900</v>
      </c>
      <c r="N48" s="823">
        <f t="shared" si="5"/>
        <v>3</v>
      </c>
      <c r="O48" s="824">
        <f t="shared" si="6"/>
        <v>900</v>
      </c>
      <c r="P48" s="823">
        <f t="shared" si="7"/>
        <v>3</v>
      </c>
    </row>
    <row r="49" spans="1:16">
      <c r="A49" s="717" t="s">
        <v>1744</v>
      </c>
      <c r="B49" s="633" t="s">
        <v>927</v>
      </c>
      <c r="C49" s="580">
        <f>AUTOQUESTIONNAIRE!BN185</f>
        <v>0</v>
      </c>
      <c r="D49" s="316">
        <v>1</v>
      </c>
      <c r="G49" s="520">
        <f t="shared" si="15"/>
        <v>0</v>
      </c>
      <c r="H49" s="316" t="str">
        <f t="shared" si="16"/>
        <v>Usuel</v>
      </c>
      <c r="I49" s="316" t="str">
        <f t="shared" si="17"/>
        <v>Usuel</v>
      </c>
      <c r="J49" s="316" t="str">
        <f t="shared" si="3"/>
        <v>Usuel</v>
      </c>
      <c r="L49" s="719" t="s">
        <v>2111</v>
      </c>
      <c r="M49" s="823">
        <f t="shared" si="4"/>
        <v>0</v>
      </c>
      <c r="N49" s="823">
        <f t="shared" si="5"/>
        <v>0</v>
      </c>
      <c r="O49" s="824">
        <f t="shared" si="6"/>
        <v>1</v>
      </c>
      <c r="P49" s="823">
        <f t="shared" si="7"/>
        <v>1</v>
      </c>
    </row>
    <row r="50" spans="1:16">
      <c r="A50" s="717" t="s">
        <v>1740</v>
      </c>
      <c r="B50" s="729" t="s">
        <v>2053</v>
      </c>
      <c r="C50" s="520">
        <f>AUTOQUESTIONNAIRE!BE185</f>
        <v>1.2</v>
      </c>
      <c r="D50" s="316">
        <v>1</v>
      </c>
      <c r="G50" s="520">
        <f t="shared" si="15"/>
        <v>1.2</v>
      </c>
      <c r="H50" s="316" t="str">
        <f t="shared" si="16"/>
        <v>Vigilance</v>
      </c>
      <c r="I50" s="316" t="str">
        <f t="shared" si="17"/>
        <v>Vigilance</v>
      </c>
      <c r="J50" s="316" t="str">
        <f>IF(AUTOQUESTIONNAIRE!$I$3=0,"NA",RRImmédiat!I50)</f>
        <v>Vigilance</v>
      </c>
      <c r="K50" s="316" t="s">
        <v>1570</v>
      </c>
      <c r="L50" s="719" t="s">
        <v>2029</v>
      </c>
      <c r="M50" s="823">
        <f t="shared" si="4"/>
        <v>1.2</v>
      </c>
      <c r="N50" s="823">
        <f t="shared" si="5"/>
        <v>1.2</v>
      </c>
      <c r="O50" s="824">
        <f t="shared" si="6"/>
        <v>1.2</v>
      </c>
      <c r="P50" s="823">
        <f t="shared" si="7"/>
        <v>1.2</v>
      </c>
    </row>
    <row r="51" spans="1:16">
      <c r="A51" s="717" t="s">
        <v>1740</v>
      </c>
      <c r="B51" s="638" t="s">
        <v>899</v>
      </c>
      <c r="C51" s="520">
        <f>AUTOQUESTIONNAIRE!BF185</f>
        <v>0.9</v>
      </c>
      <c r="D51" s="316">
        <v>1</v>
      </c>
      <c r="E51" s="720" t="s">
        <v>1699</v>
      </c>
      <c r="G51" s="520">
        <f t="shared" si="15"/>
        <v>0.9</v>
      </c>
      <c r="H51" s="316" t="str">
        <f t="shared" si="16"/>
        <v>Usuel</v>
      </c>
      <c r="I51" s="316" t="str">
        <f t="shared" si="17"/>
        <v>Usuel</v>
      </c>
      <c r="J51" s="316" t="str">
        <f>IF(AUTOQUESTIONNAIRE!$I$3=0,"NA",RRImmédiat!I51)</f>
        <v>Usuel</v>
      </c>
      <c r="K51" s="316" t="s">
        <v>1570</v>
      </c>
      <c r="L51" s="719" t="s">
        <v>2030</v>
      </c>
      <c r="M51" s="823">
        <f t="shared" si="4"/>
        <v>0.9</v>
      </c>
      <c r="N51" s="823">
        <f t="shared" si="5"/>
        <v>0.9</v>
      </c>
      <c r="O51" s="824">
        <f t="shared" si="6"/>
        <v>1</v>
      </c>
      <c r="P51" s="823">
        <f t="shared" si="7"/>
        <v>1</v>
      </c>
    </row>
    <row r="52" spans="1:16">
      <c r="A52" s="717" t="s">
        <v>1740</v>
      </c>
      <c r="B52" s="638" t="s">
        <v>900</v>
      </c>
      <c r="C52" s="520">
        <f>AUTOQUESTIONNAIRE!BM185</f>
        <v>0.9</v>
      </c>
      <c r="D52" s="316">
        <v>1</v>
      </c>
      <c r="G52" s="520">
        <f t="shared" si="15"/>
        <v>0.9</v>
      </c>
      <c r="H52" s="316" t="str">
        <f t="shared" si="16"/>
        <v>Usuel</v>
      </c>
      <c r="I52" s="316" t="str">
        <f t="shared" si="17"/>
        <v>Usuel</v>
      </c>
      <c r="J52" s="316" t="str">
        <f>IF(AUTOQUESTIONNAIRE!$I$3=0,"NA",RRImmédiat!I52)</f>
        <v>Usuel</v>
      </c>
      <c r="K52" s="316" t="s">
        <v>1570</v>
      </c>
      <c r="L52" s="719" t="s">
        <v>2112</v>
      </c>
      <c r="M52" s="823">
        <f t="shared" si="4"/>
        <v>0.9</v>
      </c>
      <c r="N52" s="823">
        <f t="shared" si="5"/>
        <v>0.9</v>
      </c>
      <c r="O52" s="824">
        <f t="shared" si="6"/>
        <v>1</v>
      </c>
      <c r="P52" s="823">
        <f t="shared" si="7"/>
        <v>1</v>
      </c>
    </row>
    <row r="53" spans="1:16">
      <c r="A53" s="717" t="s">
        <v>1740</v>
      </c>
      <c r="B53" s="638" t="s">
        <v>901</v>
      </c>
      <c r="C53" s="520">
        <f>AUTOQUESTIONNAIRE!BG185</f>
        <v>0.9</v>
      </c>
      <c r="D53" s="316">
        <v>1</v>
      </c>
      <c r="G53" s="520">
        <f t="shared" si="15"/>
        <v>0.9</v>
      </c>
      <c r="H53" s="316" t="str">
        <f t="shared" si="16"/>
        <v>Usuel</v>
      </c>
      <c r="I53" s="316" t="str">
        <f t="shared" si="17"/>
        <v>Usuel</v>
      </c>
      <c r="J53" s="316" t="str">
        <f>IF(AUTOQUESTIONNAIRE!$I$3=0,"NA",RRImmédiat!I53)</f>
        <v>Usuel</v>
      </c>
      <c r="L53" s="719" t="s">
        <v>2113</v>
      </c>
      <c r="M53" s="823">
        <f t="shared" si="4"/>
        <v>0.9</v>
      </c>
      <c r="N53" s="823">
        <f t="shared" si="5"/>
        <v>0.9</v>
      </c>
      <c r="O53" s="824">
        <f t="shared" si="6"/>
        <v>1</v>
      </c>
      <c r="P53" s="823">
        <f t="shared" si="7"/>
        <v>1</v>
      </c>
    </row>
    <row r="54" spans="1:16">
      <c r="A54" s="717" t="s">
        <v>1740</v>
      </c>
      <c r="B54" s="635" t="s">
        <v>898</v>
      </c>
      <c r="C54" s="520">
        <f>AUTOQUESTIONNAIRE!BK185</f>
        <v>1.2</v>
      </c>
      <c r="D54" s="318">
        <v>1</v>
      </c>
      <c r="G54" s="520">
        <f t="shared" si="15"/>
        <v>1.2</v>
      </c>
      <c r="H54" s="316" t="str">
        <f t="shared" si="16"/>
        <v>Vigilance</v>
      </c>
      <c r="I54" s="316" t="str">
        <f t="shared" si="17"/>
        <v>Vigilance</v>
      </c>
      <c r="J54" s="316" t="str">
        <f>I54</f>
        <v>Vigilance</v>
      </c>
      <c r="L54" s="719" t="s">
        <v>2114</v>
      </c>
      <c r="M54" s="823">
        <f t="shared" si="4"/>
        <v>1.2</v>
      </c>
      <c r="N54" s="823">
        <f t="shared" si="5"/>
        <v>1.2</v>
      </c>
      <c r="O54" s="824">
        <f t="shared" si="6"/>
        <v>1.2</v>
      </c>
      <c r="P54" s="823">
        <f t="shared" si="7"/>
        <v>1.2</v>
      </c>
    </row>
    <row r="55" spans="1:16">
      <c r="A55" s="717" t="s">
        <v>1740</v>
      </c>
      <c r="B55" s="729" t="s">
        <v>2054</v>
      </c>
      <c r="C55" s="520">
        <f>AUTOQUESTIONNAIRE!BL185</f>
        <v>1.2</v>
      </c>
      <c r="D55" s="318">
        <f>ImportBiologie!H47</f>
        <v>1</v>
      </c>
      <c r="E55" s="316" t="s">
        <v>1698</v>
      </c>
      <c r="G55" s="520">
        <f t="shared" si="15"/>
        <v>1.2</v>
      </c>
      <c r="H55" s="316" t="str">
        <f t="shared" si="16"/>
        <v>Vigilance</v>
      </c>
      <c r="I55" s="316" t="str">
        <f t="shared" si="17"/>
        <v>Vigilance</v>
      </c>
      <c r="J55" s="316" t="str">
        <f>I55</f>
        <v>Vigilance</v>
      </c>
      <c r="L55" s="719" t="s">
        <v>2115</v>
      </c>
      <c r="M55" s="823">
        <f t="shared" si="4"/>
        <v>1.2</v>
      </c>
      <c r="N55" s="823">
        <f t="shared" si="5"/>
        <v>1.2</v>
      </c>
      <c r="O55" s="824">
        <f t="shared" si="6"/>
        <v>1.2</v>
      </c>
      <c r="P55" s="823">
        <f t="shared" si="7"/>
        <v>1.2</v>
      </c>
    </row>
    <row r="56" spans="1:16">
      <c r="A56" s="717" t="s">
        <v>1740</v>
      </c>
      <c r="B56" s="634" t="s">
        <v>54</v>
      </c>
      <c r="C56" s="520">
        <f>AUTOQUESTIONNAIRE!AZ185</f>
        <v>0</v>
      </c>
      <c r="D56" s="318">
        <f>IF(ImportBiologie!H32&gt;3,2,IF(ImportBiologie!H32&lt;1,0.5,1))</f>
        <v>0.5</v>
      </c>
      <c r="E56" s="316" t="s">
        <v>1695</v>
      </c>
      <c r="F56" s="316" t="str">
        <f>IF(ISBLANK(ImportBiologie!C11),"Non Fait","Fait")</f>
        <v>Non Fait</v>
      </c>
      <c r="G56" s="520">
        <f t="shared" si="15"/>
        <v>0</v>
      </c>
      <c r="H56" s="316" t="str">
        <f t="shared" si="16"/>
        <v>Usuel</v>
      </c>
      <c r="I56" s="316" t="str">
        <f t="shared" si="17"/>
        <v>Usuel</v>
      </c>
      <c r="J56" s="316" t="str">
        <f>IF(AUTOQUESTIONNAIRE!$I$3=1,"NA",RRImmédiat!I56)</f>
        <v>NA</v>
      </c>
      <c r="K56" s="316" t="s">
        <v>560</v>
      </c>
      <c r="L56" s="719" t="s">
        <v>2031</v>
      </c>
      <c r="M56" s="823">
        <f t="shared" si="4"/>
        <v>0</v>
      </c>
      <c r="N56" s="823">
        <f t="shared" si="5"/>
        <v>0</v>
      </c>
      <c r="O56" s="824">
        <f t="shared" si="6"/>
        <v>0.5</v>
      </c>
      <c r="P56" s="823">
        <f t="shared" si="7"/>
        <v>0.5</v>
      </c>
    </row>
    <row r="57" spans="1:16">
      <c r="A57" s="717" t="s">
        <v>1740</v>
      </c>
      <c r="B57" s="635" t="s">
        <v>905</v>
      </c>
      <c r="C57" s="580">
        <f>AUTOQUESTIONNAIRE!O185</f>
        <v>0</v>
      </c>
      <c r="D57" s="316">
        <v>1</v>
      </c>
      <c r="E57" s="316" t="s">
        <v>1694</v>
      </c>
      <c r="F57" s="316" t="str">
        <f>IF(ISBLANK(ImportBiologie!C12),"Non Fait","Fait")</f>
        <v>Non Fait</v>
      </c>
      <c r="G57" s="520">
        <f t="shared" si="15"/>
        <v>0</v>
      </c>
      <c r="H57" s="316" t="str">
        <f t="shared" si="16"/>
        <v>Usuel</v>
      </c>
      <c r="I57" s="316" t="str">
        <f t="shared" si="17"/>
        <v>Usuel</v>
      </c>
      <c r="J57" s="316" t="str">
        <f>IF(AUTOQUESTIONNAIRE!$I$3=1,"NA",RRImmédiat!I57)</f>
        <v>NA</v>
      </c>
      <c r="K57" s="316" t="s">
        <v>560</v>
      </c>
      <c r="L57" s="719" t="s">
        <v>2015</v>
      </c>
      <c r="M57" s="823">
        <f t="shared" si="4"/>
        <v>0</v>
      </c>
      <c r="N57" s="823">
        <f t="shared" si="5"/>
        <v>0</v>
      </c>
      <c r="O57" s="824">
        <f t="shared" si="6"/>
        <v>1</v>
      </c>
      <c r="P57" s="823">
        <f t="shared" si="7"/>
        <v>1</v>
      </c>
    </row>
    <row r="58" spans="1:16">
      <c r="A58" s="717" t="s">
        <v>1740</v>
      </c>
      <c r="B58" s="729" t="s">
        <v>906</v>
      </c>
      <c r="C58" s="520">
        <f>AUTOQUESTIONNAIRE!P185</f>
        <v>0.8</v>
      </c>
      <c r="D58" s="318" t="e">
        <f>IF(ImportBiologie!H37&lt;30,2,IF(ImportBiologie!H37&gt;90,0,1))</f>
        <v>#DIV/0!</v>
      </c>
      <c r="E58" s="316" t="s">
        <v>1091</v>
      </c>
      <c r="G58" s="520">
        <f t="shared" si="15"/>
        <v>0.8</v>
      </c>
      <c r="H58" s="316" t="str">
        <f t="shared" si="16"/>
        <v>Usuel</v>
      </c>
      <c r="I58" s="316" t="str">
        <f t="shared" si="17"/>
        <v>Usuel</v>
      </c>
      <c r="J58" s="316" t="str">
        <f t="shared" ref="J58:J60" si="18">I58</f>
        <v>Usuel</v>
      </c>
      <c r="L58" s="719" t="s">
        <v>2016</v>
      </c>
      <c r="M58" s="823">
        <f t="shared" si="4"/>
        <v>0.8</v>
      </c>
      <c r="N58" s="823">
        <f t="shared" si="5"/>
        <v>0.8</v>
      </c>
      <c r="O58" s="824" t="e">
        <f t="shared" si="6"/>
        <v>#DIV/0!</v>
      </c>
      <c r="P58" s="823" t="e">
        <f t="shared" si="7"/>
        <v>#DIV/0!</v>
      </c>
    </row>
    <row r="59" spans="1:16">
      <c r="A59" s="717" t="s">
        <v>1740</v>
      </c>
      <c r="B59" s="729" t="s">
        <v>2055</v>
      </c>
      <c r="C59" s="520">
        <f>AUTOQUESTIONNAIRE!S185</f>
        <v>0.9</v>
      </c>
      <c r="D59" s="318">
        <f>ImportBiologie!H35</f>
        <v>1</v>
      </c>
      <c r="E59" s="316" t="s">
        <v>86</v>
      </c>
      <c r="F59" s="316" t="str">
        <f>IF(ISBLANK(ImportBiologie!H35),"Non Fait","Fait")</f>
        <v>Fait</v>
      </c>
      <c r="G59" s="520">
        <f t="shared" si="15"/>
        <v>0.9</v>
      </c>
      <c r="H59" s="316" t="str">
        <f t="shared" si="16"/>
        <v>Usuel</v>
      </c>
      <c r="I59" s="316" t="str">
        <f t="shared" si="17"/>
        <v>Usuel</v>
      </c>
      <c r="J59" s="316" t="str">
        <f t="shared" si="18"/>
        <v>Usuel</v>
      </c>
      <c r="L59" s="719" t="s">
        <v>2017</v>
      </c>
      <c r="M59" s="823">
        <f t="shared" si="4"/>
        <v>0.9</v>
      </c>
      <c r="N59" s="823">
        <f t="shared" si="5"/>
        <v>0.9</v>
      </c>
      <c r="O59" s="824">
        <f t="shared" si="6"/>
        <v>1</v>
      </c>
      <c r="P59" s="823">
        <f t="shared" si="7"/>
        <v>1</v>
      </c>
    </row>
    <row r="60" spans="1:16">
      <c r="A60" s="717" t="s">
        <v>1740</v>
      </c>
      <c r="B60" s="635" t="s">
        <v>1692</v>
      </c>
      <c r="C60" s="580">
        <f>AUTOQUESTIONNAIRE!Q185</f>
        <v>0.8</v>
      </c>
      <c r="D60" s="316">
        <v>1</v>
      </c>
      <c r="G60" s="520">
        <f t="shared" si="15"/>
        <v>0.8</v>
      </c>
      <c r="H60" s="316" t="str">
        <f t="shared" si="16"/>
        <v>Usuel</v>
      </c>
      <c r="I60" s="316" t="str">
        <f t="shared" si="17"/>
        <v>Usuel</v>
      </c>
      <c r="J60" s="316" t="str">
        <f t="shared" si="18"/>
        <v>Usuel</v>
      </c>
      <c r="L60" s="719" t="s">
        <v>2120</v>
      </c>
      <c r="M60" s="823">
        <f t="shared" si="4"/>
        <v>0.8</v>
      </c>
      <c r="N60" s="823">
        <f t="shared" si="5"/>
        <v>0.8</v>
      </c>
      <c r="O60" s="824">
        <f t="shared" si="6"/>
        <v>1</v>
      </c>
      <c r="P60" s="823">
        <f t="shared" si="7"/>
        <v>1</v>
      </c>
    </row>
    <row r="61" spans="1:16">
      <c r="A61" s="717" t="s">
        <v>1740</v>
      </c>
      <c r="B61" s="635" t="s">
        <v>2056</v>
      </c>
      <c r="C61" s="580">
        <f>AUTOQUESTIONNAIRE!R185</f>
        <v>0</v>
      </c>
      <c r="D61" s="316">
        <v>1</v>
      </c>
      <c r="G61" s="520">
        <f t="shared" si="15"/>
        <v>0</v>
      </c>
      <c r="H61" s="316" t="str">
        <f t="shared" si="16"/>
        <v>Usuel</v>
      </c>
      <c r="I61" s="316" t="str">
        <f t="shared" si="17"/>
        <v>Usuel</v>
      </c>
      <c r="J61" s="316" t="str">
        <f>IF(AUTOQUESTIONNAIRE!$I$3=1,"NA",RRImmédiat!I61)</f>
        <v>NA</v>
      </c>
      <c r="K61" s="316" t="s">
        <v>560</v>
      </c>
      <c r="L61" s="719" t="s">
        <v>2116</v>
      </c>
      <c r="M61" s="823">
        <f t="shared" si="4"/>
        <v>0</v>
      </c>
      <c r="N61" s="823">
        <f t="shared" si="5"/>
        <v>0</v>
      </c>
      <c r="O61" s="824">
        <f t="shared" si="6"/>
        <v>1</v>
      </c>
      <c r="P61" s="823">
        <f t="shared" si="7"/>
        <v>1</v>
      </c>
    </row>
    <row r="62" spans="1:16">
      <c r="A62" s="717" t="s">
        <v>1740</v>
      </c>
      <c r="B62" s="635" t="s">
        <v>799</v>
      </c>
      <c r="C62" s="580">
        <f>AUTOQUESTIONNAIRE!T185</f>
        <v>0.9</v>
      </c>
      <c r="D62" s="316">
        <v>1</v>
      </c>
      <c r="G62" s="520">
        <f t="shared" si="15"/>
        <v>0.9</v>
      </c>
      <c r="H62" s="316" t="str">
        <f t="shared" si="16"/>
        <v>Usuel</v>
      </c>
      <c r="I62" s="316" t="str">
        <f t="shared" si="17"/>
        <v>Usuel</v>
      </c>
      <c r="J62" s="316" t="str">
        <f>IF(AUTOQUESTIONNAIRE!$I$3=0,"NA",RRImmédiat!I62)</f>
        <v>Usuel</v>
      </c>
      <c r="K62" s="316" t="s">
        <v>1570</v>
      </c>
      <c r="L62" s="719" t="s">
        <v>2117</v>
      </c>
      <c r="M62" s="823">
        <f t="shared" si="4"/>
        <v>0.9</v>
      </c>
      <c r="N62" s="823">
        <f t="shared" si="5"/>
        <v>0.9</v>
      </c>
      <c r="O62" s="824">
        <f t="shared" si="6"/>
        <v>1</v>
      </c>
      <c r="P62" s="823">
        <f t="shared" si="7"/>
        <v>1</v>
      </c>
    </row>
    <row r="63" spans="1:16">
      <c r="A63" s="717" t="s">
        <v>1740</v>
      </c>
      <c r="B63" s="635" t="s">
        <v>2057</v>
      </c>
      <c r="C63" s="580">
        <f>AUTOQUESTIONNAIRE!U185</f>
        <v>0.9</v>
      </c>
      <c r="D63" s="316">
        <v>1</v>
      </c>
      <c r="G63" s="520">
        <f t="shared" si="15"/>
        <v>0.9</v>
      </c>
      <c r="H63" s="316" t="str">
        <f t="shared" si="16"/>
        <v>Usuel</v>
      </c>
      <c r="I63" s="316" t="str">
        <f t="shared" si="17"/>
        <v>Usuel</v>
      </c>
      <c r="J63" s="316" t="str">
        <f>IF(AUTOQUESTIONNAIRE!$I$3=0,"NA",RRImmédiat!I63)</f>
        <v>Usuel</v>
      </c>
      <c r="K63" s="316" t="s">
        <v>1570</v>
      </c>
      <c r="L63" s="719" t="s">
        <v>2118</v>
      </c>
      <c r="M63" s="823">
        <f t="shared" si="4"/>
        <v>0.9</v>
      </c>
      <c r="N63" s="823">
        <f t="shared" si="5"/>
        <v>0.9</v>
      </c>
      <c r="O63" s="824">
        <f t="shared" si="6"/>
        <v>1</v>
      </c>
      <c r="P63" s="823">
        <f t="shared" si="7"/>
        <v>1</v>
      </c>
    </row>
    <row r="64" spans="1:16">
      <c r="A64" s="717" t="s">
        <v>1740</v>
      </c>
      <c r="B64" s="635" t="s">
        <v>2061</v>
      </c>
      <c r="C64" s="318">
        <f>AUTOQUESTIONNAIRE!G21</f>
        <v>0</v>
      </c>
      <c r="D64" s="318">
        <f>IF(ImportBiologie!C89&lt;1.5,2,IF(ImportBiologie!C89&gt;15,2,0))</f>
        <v>0</v>
      </c>
      <c r="E64" s="316" t="s">
        <v>1232</v>
      </c>
      <c r="F64" s="316" t="str">
        <f>IF(ISBLANK(ImportBiologie!C89),"Non Fait","Fait")</f>
        <v>Fait</v>
      </c>
      <c r="G64" s="520">
        <f t="shared" si="15"/>
        <v>0</v>
      </c>
      <c r="H64" s="316" t="str">
        <f t="shared" si="16"/>
        <v>Usuel</v>
      </c>
      <c r="I64" s="316" t="str">
        <f t="shared" si="17"/>
        <v>Usuel</v>
      </c>
      <c r="J64" s="316" t="str">
        <f>IF(AUTOQUESTIONNAIRE!$I$3=0,"NA",RRImmédiat!I64)</f>
        <v>Usuel</v>
      </c>
      <c r="K64" s="316" t="s">
        <v>1570</v>
      </c>
      <c r="L64" s="719" t="s">
        <v>2119</v>
      </c>
      <c r="M64" s="823">
        <f t="shared" si="4"/>
        <v>0</v>
      </c>
      <c r="N64" s="823">
        <f t="shared" si="5"/>
        <v>0</v>
      </c>
      <c r="O64" s="824">
        <f t="shared" si="6"/>
        <v>0</v>
      </c>
      <c r="P64" s="823">
        <f t="shared" si="7"/>
        <v>0</v>
      </c>
    </row>
    <row r="65" spans="1:16" ht="409.5">
      <c r="A65" s="717" t="s">
        <v>1740</v>
      </c>
      <c r="B65" s="635" t="s">
        <v>2060</v>
      </c>
      <c r="C65" s="318">
        <v>1</v>
      </c>
      <c r="D65" s="318">
        <f>IF(ImportBiologie!C89&lt;1.5,2,IF(ImportBiologie!C89&gt;15,2,0))</f>
        <v>0</v>
      </c>
      <c r="E65" s="316" t="s">
        <v>1232</v>
      </c>
      <c r="F65" s="316" t="str">
        <f>IF(ISBLANK(ImportBiologie!C89),"Non Fait","Fait")</f>
        <v>Fait</v>
      </c>
      <c r="G65" s="520">
        <f t="shared" si="15"/>
        <v>0</v>
      </c>
      <c r="H65" s="316" t="str">
        <f t="shared" si="16"/>
        <v>Usuel</v>
      </c>
      <c r="I65" s="316" t="str">
        <f t="shared" si="17"/>
        <v>Usuel</v>
      </c>
      <c r="J65" s="316" t="str">
        <f>IF(AUTOQUESTIONNAIRE!$I$3=1,"NA",RRImmédiat!I65)</f>
        <v>NA</v>
      </c>
      <c r="K65" s="316" t="s">
        <v>560</v>
      </c>
      <c r="L65" s="715" t="s">
        <v>2125</v>
      </c>
      <c r="M65" s="823">
        <f t="shared" si="4"/>
        <v>0</v>
      </c>
      <c r="N65" s="823">
        <f t="shared" si="5"/>
        <v>0</v>
      </c>
      <c r="O65" s="824">
        <f t="shared" si="6"/>
        <v>1</v>
      </c>
      <c r="P65" s="823">
        <f t="shared" si="7"/>
        <v>1</v>
      </c>
    </row>
    <row r="66" spans="1:16">
      <c r="L66" s="715"/>
    </row>
    <row r="69" spans="1:16">
      <c r="A69" s="437" t="s">
        <v>1459</v>
      </c>
    </row>
    <row r="70" spans="1:16">
      <c r="A70" t="s">
        <v>1458</v>
      </c>
      <c r="B70" s="847">
        <f>MAX(G8,G9,G10,G34,G44,G45,G50,G51,G52,G53,G54,G55,G56)</f>
        <v>1.2</v>
      </c>
      <c r="C70" s="316">
        <f>IF(B70&gt;3,3,B70)</f>
        <v>1.2</v>
      </c>
      <c r="D70" s="316">
        <v>1</v>
      </c>
      <c r="E70" s="316">
        <v>2</v>
      </c>
      <c r="F70" s="316" t="str">
        <f>INDEX(B2:B7,MATCH(C74,C70:C79,0))</f>
        <v>Hypertension artérielle</v>
      </c>
    </row>
    <row r="71" spans="1:16">
      <c r="A71" t="s">
        <v>1464</v>
      </c>
      <c r="B71" s="847">
        <f>MAX(G57:G60)</f>
        <v>0.9</v>
      </c>
      <c r="C71" s="316">
        <f t="shared" ref="C71:C79" si="19">IF(B71&gt;3,3,B71)</f>
        <v>0.9</v>
      </c>
      <c r="D71" s="316">
        <v>1</v>
      </c>
      <c r="E71" s="316">
        <v>2</v>
      </c>
    </row>
    <row r="72" spans="1:16">
      <c r="A72" t="s">
        <v>1465</v>
      </c>
      <c r="B72" s="847">
        <f>MAX(G63,G62,G61)</f>
        <v>0.9</v>
      </c>
      <c r="C72" s="316">
        <f t="shared" si="19"/>
        <v>0.9</v>
      </c>
      <c r="D72" s="316">
        <v>1</v>
      </c>
      <c r="E72" s="316">
        <v>2</v>
      </c>
    </row>
    <row r="73" spans="1:16">
      <c r="A73" t="s">
        <v>1460</v>
      </c>
      <c r="B73" s="847">
        <f>MAX(G39:G43)</f>
        <v>2</v>
      </c>
      <c r="C73" s="316">
        <f t="shared" si="19"/>
        <v>2</v>
      </c>
      <c r="D73" s="316">
        <v>1</v>
      </c>
      <c r="E73" s="316">
        <v>2</v>
      </c>
    </row>
    <row r="74" spans="1:16">
      <c r="A74" t="s">
        <v>1461</v>
      </c>
      <c r="B74" s="847">
        <f>MAX(G2:G7)</f>
        <v>2.4</v>
      </c>
      <c r="C74" s="316">
        <f t="shared" si="19"/>
        <v>2.4</v>
      </c>
      <c r="D74" s="316">
        <v>1</v>
      </c>
      <c r="E74" s="316">
        <v>2</v>
      </c>
    </row>
    <row r="75" spans="1:16">
      <c r="A75" t="s">
        <v>1462</v>
      </c>
      <c r="B75" s="847">
        <f>MAX(G44:G49)</f>
        <v>1200</v>
      </c>
      <c r="C75" s="316">
        <f t="shared" si="19"/>
        <v>3</v>
      </c>
      <c r="D75" s="316">
        <v>1</v>
      </c>
      <c r="E75" s="316">
        <v>2</v>
      </c>
    </row>
    <row r="76" spans="1:16">
      <c r="A76" t="s">
        <v>1463</v>
      </c>
      <c r="B76" s="847">
        <f>MAX(G8,G9,G10,G15,G16,G17,G18)</f>
        <v>1.2</v>
      </c>
      <c r="C76" s="316">
        <f t="shared" si="19"/>
        <v>1.2</v>
      </c>
      <c r="D76" s="316">
        <v>1</v>
      </c>
      <c r="E76" s="316">
        <v>2</v>
      </c>
    </row>
    <row r="77" spans="1:16">
      <c r="A77" t="s">
        <v>1471</v>
      </c>
      <c r="B77" s="847">
        <f>MAX(G14,G13,G12,G10)</f>
        <v>1.2</v>
      </c>
      <c r="C77" s="316">
        <f t="shared" si="19"/>
        <v>1.2</v>
      </c>
      <c r="D77" s="316">
        <v>1</v>
      </c>
      <c r="E77" s="316">
        <v>2</v>
      </c>
    </row>
    <row r="78" spans="1:16">
      <c r="A78" t="s">
        <v>253</v>
      </c>
      <c r="B78" s="847">
        <f>MAX(G35:G38)</f>
        <v>1.8</v>
      </c>
      <c r="C78" s="316">
        <f t="shared" si="19"/>
        <v>1.8</v>
      </c>
      <c r="D78" s="316">
        <v>1</v>
      </c>
      <c r="E78" s="316">
        <v>2</v>
      </c>
    </row>
    <row r="79" spans="1:16">
      <c r="A79" t="s">
        <v>2377</v>
      </c>
      <c r="B79" s="847">
        <f>MAX(G19:G23)</f>
        <v>1320</v>
      </c>
      <c r="C79" s="316">
        <f t="shared" si="19"/>
        <v>3</v>
      </c>
      <c r="D79" s="316">
        <v>1</v>
      </c>
      <c r="E79" s="316">
        <v>2</v>
      </c>
    </row>
  </sheetData>
  <autoFilter ref="A1:R66" xr:uid="{A3163DEB-0FF9-4B85-B5DF-385AA855E8CB}"/>
  <sortState xmlns:xlrd2="http://schemas.microsoft.com/office/spreadsheetml/2017/richdata2" ref="A2:I65">
    <sortCondition ref="A2:A65"/>
  </sortState>
  <conditionalFormatting sqref="A1:A68 A80:A1048576">
    <cfRule type="containsText" dxfId="90" priority="8" operator="containsText" text="Respiratoire">
      <formula>NOT(ISERROR(SEARCH("Respiratoire",A1)))</formula>
    </cfRule>
    <cfRule type="containsText" dxfId="89" priority="9" operator="containsText" text="Uro">
      <formula>NOT(ISERROR(SEARCH("Uro",A1)))</formula>
    </cfRule>
    <cfRule type="containsText" dxfId="88" priority="11" operator="containsText" text="Nerveux">
      <formula>NOT(ISERROR(SEARCH("Nerveux",A1)))</formula>
    </cfRule>
    <cfRule type="containsText" dxfId="87" priority="12" operator="containsText" text="Loco">
      <formula>NOT(ISERROR(SEARCH("Loco",A1)))</formula>
    </cfRule>
    <cfRule type="containsText" dxfId="86" priority="13" operator="containsText" text="Hematologie">
      <formula>NOT(ISERROR(SEARCH("Hematologie",A1)))</formula>
    </cfRule>
    <cfRule type="containsText" dxfId="85" priority="14" operator="containsText" text="Endocrino">
      <formula>NOT(ISERROR(SEARCH("Endocrino",A1)))</formula>
    </cfRule>
    <cfRule type="containsText" dxfId="84" priority="15" operator="containsText" text="Digestif">
      <formula>NOT(ISERROR(SEARCH("Digestif",A1)))</formula>
    </cfRule>
    <cfRule type="containsText" dxfId="83" priority="16" operator="containsText" text="Cardio">
      <formula>NOT(ISERROR(SEARCH("Cardio",A1)))</formula>
    </cfRule>
    <cfRule type="containsText" dxfId="82" priority="17" operator="containsText" text="Cancer">
      <formula>NOT(ISERROR(SEARCH("Cancer",A1)))</formula>
    </cfRule>
  </conditionalFormatting>
  <conditionalFormatting sqref="B1">
    <cfRule type="iconSet" priority="1359">
      <iconSet reverse="1">
        <cfvo type="percent" val="0"/>
        <cfvo type="percent" val="33"/>
        <cfvo type="percent" val="67"/>
      </iconSet>
    </cfRule>
  </conditionalFormatting>
  <conditionalFormatting sqref="B1:B42 B44:B1048576">
    <cfRule type="duplicateValues" dxfId="81" priority="1360"/>
  </conditionalFormatting>
  <conditionalFormatting sqref="B3:B6 B9:B11 B13:B17">
    <cfRule type="colorScale" priority="1361">
      <colorScale>
        <cfvo type="min"/>
        <cfvo type="percentile" val="50"/>
        <cfvo type="max"/>
        <color rgb="FF5A8AC6"/>
        <color rgb="FFFCFCFF"/>
        <color rgb="FFF8696B"/>
      </colorScale>
    </cfRule>
  </conditionalFormatting>
  <conditionalFormatting sqref="B12">
    <cfRule type="colorScale" priority="1364">
      <colorScale>
        <cfvo type="min"/>
        <cfvo type="percentile" val="50"/>
        <cfvo type="max"/>
        <color rgb="FF5A8AC6"/>
        <color rgb="FFFCFCFF"/>
        <color rgb="FFF8696B"/>
      </colorScale>
    </cfRule>
  </conditionalFormatting>
  <conditionalFormatting sqref="B19:B20">
    <cfRule type="colorScale" priority="1365">
      <colorScale>
        <cfvo type="min"/>
        <cfvo type="percentile" val="50"/>
        <cfvo type="max"/>
        <color rgb="FF5A8AC6"/>
        <color rgb="FFFCFCFF"/>
        <color rgb="FFF8696B"/>
      </colorScale>
    </cfRule>
  </conditionalFormatting>
  <conditionalFormatting sqref="B22:B23">
    <cfRule type="iconSet" priority="1366">
      <iconSet reverse="1">
        <cfvo type="percent" val="0"/>
        <cfvo type="percent" val="33"/>
        <cfvo type="percent" val="67"/>
      </iconSet>
    </cfRule>
  </conditionalFormatting>
  <conditionalFormatting sqref="C1:C1048576">
    <cfRule type="colorScale" priority="22">
      <colorScale>
        <cfvo type="min"/>
        <cfvo type="percentile" val="50"/>
        <cfvo type="max"/>
        <color rgb="FF63BE7B"/>
        <color rgb="FFFFEB84"/>
        <color rgb="FFF8696B"/>
      </colorScale>
    </cfRule>
  </conditionalFormatting>
  <conditionalFormatting sqref="D1:D1048576">
    <cfRule type="colorScale" priority="24">
      <colorScale>
        <cfvo type="min"/>
        <cfvo type="percentile" val="50"/>
        <cfvo type="max"/>
        <color rgb="FF63BE7B"/>
        <color rgb="FFFFEB84"/>
        <color rgb="FFF8696B"/>
      </colorScale>
    </cfRule>
  </conditionalFormatting>
  <conditionalFormatting sqref="E3">
    <cfRule type="colorScale" priority="25">
      <colorScale>
        <cfvo type="min"/>
        <cfvo type="percentile" val="50"/>
        <cfvo type="max"/>
        <color rgb="FF63BE7B"/>
        <color rgb="FFFFEB84"/>
        <color rgb="FFF8696B"/>
      </colorScale>
    </cfRule>
  </conditionalFormatting>
  <conditionalFormatting sqref="G1:G1048576">
    <cfRule type="colorScale" priority="21">
      <colorScale>
        <cfvo type="min"/>
        <cfvo type="percentile" val="50"/>
        <cfvo type="max"/>
        <color rgb="FF63BE7B"/>
        <color rgb="FFFFEB84"/>
        <color rgb="FFF8696B"/>
      </colorScale>
    </cfRule>
  </conditionalFormatting>
  <conditionalFormatting sqref="J1:L3 J4:K4 J5:L5 J6:K7 J8:L8 J9:K13 J14:L15 J16:K18 J19:L31 J32:K32 J33:L41 J42:K43 J44:L64 J65:K66 J67:L1048576">
    <cfRule type="cellIs" dxfId="80" priority="4" operator="equal">
      <formula>"Usuel"</formula>
    </cfRule>
    <cfRule type="cellIs" dxfId="79" priority="5" operator="equal">
      <formula>"Alerte"</formula>
    </cfRule>
    <cfRule type="cellIs" dxfId="78" priority="6" operator="equal">
      <formula>"Vigilance"</formula>
    </cfRule>
    <cfRule type="cellIs" dxfId="77" priority="7" operator="equal">
      <formula>"Suivi"</formula>
    </cfRule>
  </conditionalFormatting>
  <conditionalFormatting sqref="M1:O1048576">
    <cfRule type="colorScale" priority="3">
      <colorScale>
        <cfvo type="min"/>
        <cfvo type="percentile" val="50"/>
        <cfvo type="max"/>
        <color rgb="FF63BE7B"/>
        <color rgb="FFFFEB84"/>
        <color rgb="FFF8696B"/>
      </colorScale>
    </cfRule>
  </conditionalFormatting>
  <conditionalFormatting sqref="P1:P1048576">
    <cfRule type="colorScale" priority="1">
      <colorScale>
        <cfvo type="min"/>
        <cfvo type="percentile" val="50"/>
        <cfvo type="max"/>
        <color rgb="FF63BE7B"/>
        <color rgb="FFFFEB84"/>
        <color rgb="FFF8696B"/>
      </colorScale>
    </cfRule>
  </conditionalFormatting>
  <conditionalFormatting sqref="P2:P65">
    <cfRule type="colorScale" priority="2">
      <colorScale>
        <cfvo type="min"/>
        <cfvo type="percentile" val="50"/>
        <cfvo type="max"/>
        <color rgb="FF63BE7B"/>
        <color rgb="FFFFEB84"/>
        <color rgb="FFF8696B"/>
      </colorScale>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7B44-90B3-4743-BBC8-3300D7AB1983}">
  <sheetPr codeName="Feuil12">
    <tabColor rgb="FF9966FF"/>
    <pageSetUpPr fitToPage="1"/>
  </sheetPr>
  <dimension ref="A1:DL210"/>
  <sheetViews>
    <sheetView zoomScale="70" zoomScaleNormal="70" workbookViewId="0">
      <pane xSplit="5" ySplit="2" topLeftCell="AH179" activePane="bottomRight" state="frozen"/>
      <selection pane="topRight" activeCell="F1" sqref="F1"/>
      <selection pane="bottomLeft" activeCell="A3" sqref="A3"/>
      <selection pane="bottomRight" activeCell="AH208" sqref="AH208"/>
    </sheetView>
  </sheetViews>
  <sheetFormatPr baseColWidth="10" defaultColWidth="26.28515625" defaultRowHeight="15"/>
  <cols>
    <col min="1" max="1" width="6.28515625" style="358" customWidth="1"/>
    <col min="2" max="2" width="48.7109375" style="651" customWidth="1"/>
    <col min="3" max="3" width="4.85546875" style="404" bestFit="1" customWidth="1"/>
    <col min="4" max="4" width="17.7109375" style="400" customWidth="1"/>
    <col min="5" max="5" width="4" style="400" bestFit="1" customWidth="1"/>
    <col min="6" max="24" width="3.5703125" style="443" customWidth="1"/>
    <col min="25" max="25" width="3.5703125" style="952" customWidth="1"/>
    <col min="26" max="36" width="3.5703125" style="443" customWidth="1"/>
    <col min="37" max="37" width="5" style="443" customWidth="1"/>
    <col min="38" max="38" width="3.5703125" style="443" customWidth="1"/>
    <col min="39" max="41" width="3.5703125" style="445" customWidth="1"/>
    <col min="42" max="42" width="5.7109375" style="445" customWidth="1"/>
    <col min="43" max="49" width="3.5703125" style="445" customWidth="1"/>
    <col min="50" max="52" width="5.5703125" style="445" customWidth="1"/>
    <col min="53" max="71" width="5.5703125" style="443" customWidth="1"/>
    <col min="72" max="72" width="7.5703125" style="730" customWidth="1"/>
    <col min="73" max="90" width="5.5703125" style="411" customWidth="1"/>
    <col min="91" max="93" width="5.5703125" style="400" customWidth="1"/>
    <col min="94" max="16384" width="26.28515625" style="400"/>
  </cols>
  <sheetData>
    <row r="1" spans="1:101" ht="30">
      <c r="A1" s="357" t="s">
        <v>1158</v>
      </c>
      <c r="B1" s="642" t="s">
        <v>1159</v>
      </c>
      <c r="BT1" s="140" t="s">
        <v>55</v>
      </c>
    </row>
    <row r="2" spans="1:101" ht="323.25">
      <c r="A2" s="413"/>
      <c r="B2" s="318" t="str">
        <f>AUTOQUESTIONNAIRE!D2</f>
        <v>REFERENCE</v>
      </c>
      <c r="F2" s="444" t="s">
        <v>1177</v>
      </c>
      <c r="G2" s="444" t="s">
        <v>1284</v>
      </c>
      <c r="H2" s="444" t="s">
        <v>1285</v>
      </c>
      <c r="I2" s="444" t="s">
        <v>1179</v>
      </c>
      <c r="J2" s="444" t="s">
        <v>1180</v>
      </c>
      <c r="K2" s="444" t="s">
        <v>1326</v>
      </c>
      <c r="L2" s="444" t="s">
        <v>1325</v>
      </c>
      <c r="M2" s="444" t="s">
        <v>1320</v>
      </c>
      <c r="N2" s="444" t="s">
        <v>1181</v>
      </c>
      <c r="O2" s="444" t="s">
        <v>1182</v>
      </c>
      <c r="P2" s="444" t="s">
        <v>1183</v>
      </c>
      <c r="Q2" s="444" t="s">
        <v>1184</v>
      </c>
      <c r="R2" s="444" t="s">
        <v>2750</v>
      </c>
      <c r="S2" s="444" t="s">
        <v>1185</v>
      </c>
      <c r="T2" s="444" t="s">
        <v>1319</v>
      </c>
      <c r="U2" s="444" t="s">
        <v>1289</v>
      </c>
      <c r="V2" s="444" t="s">
        <v>1288</v>
      </c>
      <c r="W2" s="444" t="s">
        <v>1291</v>
      </c>
      <c r="X2" s="444" t="s">
        <v>1196</v>
      </c>
      <c r="Y2" s="953" t="s">
        <v>1290</v>
      </c>
      <c r="Z2" s="444" t="s">
        <v>1186</v>
      </c>
      <c r="AA2" s="444" t="s">
        <v>1287</v>
      </c>
      <c r="AB2" s="444" t="s">
        <v>1286</v>
      </c>
      <c r="AC2" s="444" t="s">
        <v>1338</v>
      </c>
      <c r="AD2" s="444"/>
      <c r="AE2" s="951" t="s">
        <v>1374</v>
      </c>
      <c r="AF2" s="951" t="s">
        <v>1322</v>
      </c>
      <c r="AG2" s="951" t="s">
        <v>1321</v>
      </c>
      <c r="AH2" s="951" t="s">
        <v>1327</v>
      </c>
      <c r="AI2" s="666" t="s">
        <v>1381</v>
      </c>
      <c r="AJ2" s="666" t="s">
        <v>1366</v>
      </c>
      <c r="AK2" s="666" t="s">
        <v>1334</v>
      </c>
      <c r="AL2" s="666" t="s">
        <v>1364</v>
      </c>
      <c r="AM2" s="667" t="s">
        <v>1328</v>
      </c>
      <c r="AN2" s="667" t="s">
        <v>1329</v>
      </c>
      <c r="AO2" s="667" t="s">
        <v>1330</v>
      </c>
      <c r="AP2" s="667" t="s">
        <v>1331</v>
      </c>
      <c r="AQ2" s="667" t="s">
        <v>1332</v>
      </c>
      <c r="AR2" s="667" t="s">
        <v>1333</v>
      </c>
      <c r="AS2" s="667" t="s">
        <v>1379</v>
      </c>
      <c r="AT2" s="667" t="s">
        <v>2369</v>
      </c>
      <c r="AU2" s="667" t="s">
        <v>1378</v>
      </c>
      <c r="AV2" s="667" t="s">
        <v>1475</v>
      </c>
      <c r="AW2" s="667" t="s">
        <v>1476</v>
      </c>
      <c r="AX2" s="668" t="s">
        <v>1335</v>
      </c>
      <c r="AY2" s="668" t="s">
        <v>1336</v>
      </c>
      <c r="AZ2" s="668" t="s">
        <v>1337</v>
      </c>
      <c r="BA2" s="668" t="s">
        <v>1342</v>
      </c>
      <c r="BB2" s="669" t="s">
        <v>1412</v>
      </c>
      <c r="BC2" s="669" t="s">
        <v>1413</v>
      </c>
      <c r="BD2" s="669" t="s">
        <v>1414</v>
      </c>
      <c r="BE2" s="669" t="s">
        <v>2203</v>
      </c>
      <c r="BF2" s="669" t="s">
        <v>2207</v>
      </c>
      <c r="BG2" s="669" t="s">
        <v>1415</v>
      </c>
      <c r="BH2" s="669" t="s">
        <v>2208</v>
      </c>
      <c r="BI2" s="819" t="s">
        <v>2204</v>
      </c>
      <c r="BJ2" s="819" t="s">
        <v>2205</v>
      </c>
      <c r="BK2" s="819" t="s">
        <v>2727</v>
      </c>
      <c r="BL2" s="819" t="s">
        <v>2728</v>
      </c>
      <c r="BM2" s="819" t="s">
        <v>2206</v>
      </c>
      <c r="BN2" s="444" t="s">
        <v>1416</v>
      </c>
      <c r="BO2" s="444" t="s">
        <v>1417</v>
      </c>
      <c r="BP2" s="444" t="s">
        <v>1418</v>
      </c>
      <c r="BQ2" s="444" t="s">
        <v>1419</v>
      </c>
      <c r="BR2" s="444" t="s">
        <v>1420</v>
      </c>
      <c r="BS2" s="444" t="s">
        <v>1738</v>
      </c>
      <c r="BT2" s="944" t="s">
        <v>2037</v>
      </c>
      <c r="BU2" s="825" t="s">
        <v>2226</v>
      </c>
      <c r="BV2" s="826" t="s">
        <v>2231</v>
      </c>
      <c r="BW2" s="826" t="s">
        <v>1727</v>
      </c>
      <c r="BX2" s="825" t="s">
        <v>1721</v>
      </c>
      <c r="BY2" s="825" t="s">
        <v>1722</v>
      </c>
      <c r="BZ2" s="825" t="s">
        <v>1723</v>
      </c>
      <c r="CA2" s="825" t="s">
        <v>1725</v>
      </c>
      <c r="CB2" s="826" t="s">
        <v>2214</v>
      </c>
      <c r="CC2" s="827" t="s">
        <v>2219</v>
      </c>
      <c r="CD2" s="827" t="s">
        <v>2220</v>
      </c>
      <c r="CE2" s="827" t="s">
        <v>2228</v>
      </c>
      <c r="CF2" s="827" t="s">
        <v>2221</v>
      </c>
      <c r="CG2" s="827" t="s">
        <v>2222</v>
      </c>
      <c r="CH2" s="827" t="s">
        <v>2223</v>
      </c>
      <c r="CI2" s="827" t="s">
        <v>2224</v>
      </c>
      <c r="CJ2" s="827" t="s">
        <v>2225</v>
      </c>
      <c r="CK2" s="828" t="s">
        <v>2227</v>
      </c>
      <c r="CL2" s="828" t="s">
        <v>2229</v>
      </c>
      <c r="CM2" s="442"/>
      <c r="CN2" s="442"/>
      <c r="CO2" s="442"/>
      <c r="CP2" s="442"/>
      <c r="CQ2" s="442"/>
      <c r="CR2" s="442"/>
      <c r="CS2" s="442"/>
      <c r="CT2" s="442"/>
      <c r="CU2" s="442"/>
      <c r="CV2" s="442"/>
      <c r="CW2" s="442"/>
    </row>
    <row r="3" spans="1:101">
      <c r="A3" s="414" t="s">
        <v>1040</v>
      </c>
      <c r="B3" s="643" t="str">
        <f>AUTOQUESTIONNAIRE!D3</f>
        <v>Quel est votre sexe assigné à la naissance ? (Données utilisées pour les courbes de référence médicale)  "H"=1;"F"=0</v>
      </c>
      <c r="C3" s="401"/>
      <c r="F3" s="445"/>
      <c r="G3" s="445"/>
      <c r="H3" s="445"/>
      <c r="I3" s="445"/>
      <c r="J3" s="445"/>
      <c r="K3" s="445">
        <f>AUTOQUESTIONNAIRE!H3</f>
        <v>0</v>
      </c>
      <c r="L3" s="445">
        <f>AUTOQUESTIONNAIRE!I3</f>
        <v>1</v>
      </c>
      <c r="M3" s="445"/>
      <c r="N3" s="445">
        <f>AUTOQUESTIONNAIRE!H3</f>
        <v>0</v>
      </c>
      <c r="O3" s="445"/>
      <c r="P3" s="445"/>
      <c r="Q3" s="445"/>
      <c r="R3" s="445"/>
      <c r="S3" s="445"/>
      <c r="T3" s="445"/>
      <c r="U3" s="445"/>
      <c r="V3" s="445"/>
      <c r="W3" s="445"/>
      <c r="X3" s="445"/>
      <c r="Y3" s="954"/>
      <c r="Z3" s="445"/>
      <c r="AA3" s="445"/>
      <c r="AI3" s="670"/>
      <c r="AM3" s="445">
        <f>E4</f>
        <v>1</v>
      </c>
      <c r="AP3" s="445">
        <f>AUTOQUESTIONNAIRE!I3</f>
        <v>1</v>
      </c>
      <c r="BS3" s="443">
        <f>AUTOQUESTIONNAIRE!I3</f>
        <v>1</v>
      </c>
      <c r="BT3" s="718" t="s">
        <v>1972</v>
      </c>
      <c r="CH3" s="411">
        <f>IF(RRImmédiat!$G3&gt;1.2,1,0)</f>
        <v>0</v>
      </c>
    </row>
    <row r="4" spans="1:101">
      <c r="A4" s="414" t="s">
        <v>1040</v>
      </c>
      <c r="B4" s="643" t="str">
        <f>AUTOQUESTIONNAIRE!D4</f>
        <v>Quel est votre âge ? // Quelle est votre date de naissance ? (Données utilisées pour les courbes de référence médicale)</v>
      </c>
      <c r="C4" s="401">
        <f>AUTOQUESTIONNAIRE!F4</f>
        <v>65</v>
      </c>
      <c r="D4" s="402" t="s">
        <v>203</v>
      </c>
      <c r="E4" s="402">
        <f>IF(C4&gt;50,1,0)</f>
        <v>1</v>
      </c>
      <c r="F4" s="445">
        <f>$E4</f>
        <v>1</v>
      </c>
      <c r="G4" s="445">
        <f t="shared" ref="G4:Y4" si="0">$E4</f>
        <v>1</v>
      </c>
      <c r="H4" s="445">
        <f t="shared" si="0"/>
        <v>1</v>
      </c>
      <c r="I4" s="445">
        <f t="shared" si="0"/>
        <v>1</v>
      </c>
      <c r="J4" s="445">
        <f t="shared" si="0"/>
        <v>1</v>
      </c>
      <c r="K4" s="445">
        <f t="shared" si="0"/>
        <v>1</v>
      </c>
      <c r="L4" s="445">
        <f t="shared" si="0"/>
        <v>1</v>
      </c>
      <c r="M4" s="445"/>
      <c r="N4" s="445">
        <f t="shared" si="0"/>
        <v>1</v>
      </c>
      <c r="O4" s="445"/>
      <c r="P4" s="445"/>
      <c r="Q4" s="445">
        <f t="shared" si="0"/>
        <v>1</v>
      </c>
      <c r="R4" s="445"/>
      <c r="S4" s="445">
        <f t="shared" si="0"/>
        <v>1</v>
      </c>
      <c r="T4" s="445"/>
      <c r="U4" s="445"/>
      <c r="V4" s="445"/>
      <c r="W4" s="445">
        <f t="shared" si="0"/>
        <v>1</v>
      </c>
      <c r="X4" s="445"/>
      <c r="Y4" s="954">
        <f t="shared" si="0"/>
        <v>1</v>
      </c>
      <c r="Z4" s="445"/>
      <c r="AA4" s="445"/>
      <c r="AB4" s="445"/>
      <c r="AC4" s="445"/>
      <c r="AD4" s="445"/>
      <c r="AE4" s="445"/>
      <c r="AI4" s="670"/>
      <c r="BB4" s="445">
        <f>IF(C4&gt;65,1,0)</f>
        <v>0</v>
      </c>
      <c r="BN4" s="443">
        <f>IF($C$4&gt;50,1,0)</f>
        <v>1</v>
      </c>
      <c r="BO4" s="443">
        <f t="shared" ref="BO4:BP4" si="1">IF($C$4&gt;50,1,0)</f>
        <v>1</v>
      </c>
      <c r="BP4" s="443">
        <f t="shared" si="1"/>
        <v>1</v>
      </c>
      <c r="BS4" s="443">
        <f t="shared" ref="BS4" si="2">IF($C$4&gt;50,1,0)</f>
        <v>1</v>
      </c>
      <c r="BT4" s="718" t="s">
        <v>2038</v>
      </c>
      <c r="CH4" s="411">
        <f>IF(RRImmédiat!$G4&gt;1.2,1,0)</f>
        <v>0</v>
      </c>
    </row>
    <row r="5" spans="1:101">
      <c r="A5" s="414" t="s">
        <v>1040</v>
      </c>
      <c r="B5" s="643" t="str">
        <f>AUTOQUESTIONNAIRE!D5</f>
        <v>Quelle est votre origine ethnique principale ? (Européen(ne) ou Hispanique "0" , Asiatique ou Indien(ne) "1", Africain(e) ou AfroCarribéen(ne) "2", Ne souhaite pas répondre (défaut "0")) (Données utilisées pour les courbes de référence médicale)</v>
      </c>
      <c r="C5" s="401">
        <f>AUTOQUESTIONNAIRE!G5</f>
        <v>0</v>
      </c>
      <c r="F5" s="445"/>
      <c r="G5" s="445"/>
      <c r="H5" s="445"/>
      <c r="I5" s="445"/>
      <c r="J5" s="445"/>
      <c r="K5" s="445"/>
      <c r="L5" s="445"/>
      <c r="M5" s="445"/>
      <c r="N5" s="445"/>
      <c r="O5" s="445"/>
      <c r="P5" s="445"/>
      <c r="Q5" s="445"/>
      <c r="R5" s="445"/>
      <c r="S5" s="445"/>
      <c r="T5" s="445"/>
      <c r="U5" s="445"/>
      <c r="V5" s="445"/>
      <c r="W5" s="445"/>
      <c r="X5" s="445"/>
      <c r="Y5" s="954"/>
      <c r="Z5" s="445"/>
      <c r="AA5" s="445"/>
      <c r="AI5" s="670"/>
      <c r="BT5" s="718" t="s">
        <v>48</v>
      </c>
      <c r="CG5" s="411">
        <f>IF(RRImmédiat!$G5&gt;1.2,1,0)</f>
        <v>1</v>
      </c>
    </row>
    <row r="6" spans="1:101">
      <c r="A6" s="414" t="s">
        <v>1040</v>
      </c>
      <c r="B6" s="643" t="str">
        <f>AUTOQUESTIONNAIRE!D6</f>
        <v>Quelle est votre taille (en cm) ?</v>
      </c>
      <c r="C6" s="401"/>
      <c r="F6" s="445"/>
      <c r="G6" s="445"/>
      <c r="H6" s="445"/>
      <c r="I6" s="445"/>
      <c r="J6" s="445"/>
      <c r="K6" s="445"/>
      <c r="L6" s="445"/>
      <c r="M6" s="445"/>
      <c r="N6" s="445"/>
      <c r="O6" s="445"/>
      <c r="P6" s="445"/>
      <c r="Q6" s="445"/>
      <c r="R6" s="445"/>
      <c r="S6" s="445"/>
      <c r="T6" s="445"/>
      <c r="U6" s="445"/>
      <c r="V6" s="445"/>
      <c r="W6" s="445"/>
      <c r="X6" s="445"/>
      <c r="Y6" s="954"/>
      <c r="Z6" s="445"/>
      <c r="AA6" s="445"/>
      <c r="AI6" s="670"/>
      <c r="BT6" s="576" t="s">
        <v>914</v>
      </c>
      <c r="CH6" s="411">
        <f>IF(RRImmédiat!$G6&gt;1.2,1,0)</f>
        <v>0</v>
      </c>
    </row>
    <row r="7" spans="1:101">
      <c r="A7" s="414" t="s">
        <v>1040</v>
      </c>
      <c r="B7" s="643" t="str">
        <f>AUTOQUESTIONNAIRE!D7</f>
        <v>Quel est votre poids (en kg) ?</v>
      </c>
      <c r="C7" s="401">
        <f>AUTOQUESTIONNAIRE!H6</f>
        <v>0.20061728395061729</v>
      </c>
      <c r="D7" s="402" t="s">
        <v>0</v>
      </c>
      <c r="E7" s="402">
        <f>IF(C7&gt;0.28,1,0)</f>
        <v>0</v>
      </c>
      <c r="F7" s="445">
        <f>$E7</f>
        <v>0</v>
      </c>
      <c r="G7" s="445">
        <f t="shared" ref="G7:V7" si="3">$E7</f>
        <v>0</v>
      </c>
      <c r="H7" s="445">
        <f t="shared" si="3"/>
        <v>0</v>
      </c>
      <c r="I7" s="445">
        <f t="shared" si="3"/>
        <v>0</v>
      </c>
      <c r="J7" s="445">
        <f t="shared" si="3"/>
        <v>0</v>
      </c>
      <c r="K7" s="445">
        <f t="shared" si="3"/>
        <v>0</v>
      </c>
      <c r="L7" s="445">
        <f t="shared" si="3"/>
        <v>0</v>
      </c>
      <c r="M7" s="445"/>
      <c r="N7" s="445"/>
      <c r="O7" s="445"/>
      <c r="P7" s="445"/>
      <c r="Q7" s="445">
        <f t="shared" si="3"/>
        <v>0</v>
      </c>
      <c r="R7" s="445"/>
      <c r="S7" s="445">
        <f t="shared" si="3"/>
        <v>0</v>
      </c>
      <c r="T7" s="445"/>
      <c r="U7" s="445"/>
      <c r="V7" s="445">
        <f t="shared" si="3"/>
        <v>0</v>
      </c>
      <c r="W7" s="445"/>
      <c r="X7" s="445"/>
      <c r="Y7" s="954"/>
      <c r="Z7" s="445"/>
      <c r="AA7" s="445"/>
      <c r="AB7" s="445"/>
      <c r="AC7" s="445"/>
      <c r="AD7" s="445"/>
      <c r="AE7" s="445">
        <f>$E7</f>
        <v>0</v>
      </c>
      <c r="AI7" s="671"/>
      <c r="AQ7" s="445">
        <f>$E7</f>
        <v>0</v>
      </c>
      <c r="BT7" s="576" t="s">
        <v>915</v>
      </c>
    </row>
    <row r="8" spans="1:101">
      <c r="A8" s="415" t="s">
        <v>1124</v>
      </c>
      <c r="B8" s="318" t="str">
        <f>AUTOQUESTIONNAIRE!D8</f>
        <v>Avez-vous un rôle d’aidant ou des personnes à charge à la maison (enfants, personnes en situation de handicap ou âgées) ?  (non=0, oui=1)</v>
      </c>
      <c r="C8" s="401"/>
      <c r="F8" s="445"/>
      <c r="G8" s="445"/>
      <c r="H8" s="445"/>
      <c r="I8" s="445"/>
      <c r="J8" s="445"/>
      <c r="K8" s="445"/>
      <c r="L8" s="445"/>
      <c r="M8" s="445"/>
      <c r="N8" s="445"/>
      <c r="O8" s="445"/>
      <c r="P8" s="445"/>
      <c r="Q8" s="445"/>
      <c r="R8" s="445"/>
      <c r="S8" s="445"/>
      <c r="T8" s="445"/>
      <c r="U8" s="445"/>
      <c r="V8" s="445"/>
      <c r="W8" s="445"/>
      <c r="X8" s="445"/>
      <c r="Y8" s="954"/>
      <c r="Z8" s="445"/>
      <c r="AA8" s="445"/>
      <c r="AI8" s="670"/>
      <c r="BT8" s="629" t="s">
        <v>2041</v>
      </c>
    </row>
    <row r="9" spans="1:101">
      <c r="A9" s="415" t="s">
        <v>1124</v>
      </c>
      <c r="B9" s="318" t="str">
        <f>AUTOQUESTIONNAIRE!D9</f>
        <v>En cas de besoin, pouvez-vous compter sur quelqu’un de votre entourage proche pour vous aider ?  (non=0, oui=1)</v>
      </c>
      <c r="C9" s="401"/>
      <c r="F9" s="445"/>
      <c r="G9" s="445"/>
      <c r="H9" s="445"/>
      <c r="I9" s="445"/>
      <c r="J9" s="445"/>
      <c r="K9" s="445"/>
      <c r="L9" s="445"/>
      <c r="M9" s="445"/>
      <c r="N9" s="445"/>
      <c r="O9" s="445"/>
      <c r="P9" s="445"/>
      <c r="Q9" s="445"/>
      <c r="R9" s="445"/>
      <c r="S9" s="445"/>
      <c r="T9" s="445"/>
      <c r="U9" s="445"/>
      <c r="V9" s="445"/>
      <c r="W9" s="445"/>
      <c r="X9" s="445"/>
      <c r="Y9" s="954"/>
      <c r="Z9" s="445"/>
      <c r="AA9" s="445"/>
      <c r="AI9" s="670"/>
      <c r="BT9" s="629" t="s">
        <v>903</v>
      </c>
    </row>
    <row r="10" spans="1:101">
      <c r="A10" s="415" t="s">
        <v>1124</v>
      </c>
      <c r="B10" s="318" t="str">
        <f>AUTOQUESTIONNAIRE!D10</f>
        <v>Quelle est votre occupation ? Étudiant·e (0) ; Salarié·e (1) ; Indépendant·e (1); En congé (parental, médical, sabbatique) (1) ; Étudiant·e et salarié·e (1) ; Sans emploi (en recherche) (2) ; Retraité·e (3) ; Parent au foyer / aidant·e (4); Autre (5)</v>
      </c>
      <c r="C10" s="401"/>
      <c r="F10" s="445"/>
      <c r="G10" s="445"/>
      <c r="H10" s="445"/>
      <c r="I10" s="445"/>
      <c r="J10" s="445"/>
      <c r="K10" s="445"/>
      <c r="L10" s="445"/>
      <c r="M10" s="445"/>
      <c r="N10" s="445"/>
      <c r="O10" s="445"/>
      <c r="P10" s="445"/>
      <c r="Q10" s="445"/>
      <c r="R10" s="445"/>
      <c r="S10" s="445"/>
      <c r="T10" s="445"/>
      <c r="U10" s="445"/>
      <c r="V10" s="445"/>
      <c r="W10" s="445"/>
      <c r="X10" s="445"/>
      <c r="Y10" s="954"/>
      <c r="Z10" s="445"/>
      <c r="AA10" s="445"/>
      <c r="AI10" s="670"/>
      <c r="BT10" s="629" t="s">
        <v>904</v>
      </c>
      <c r="CE10" s="411">
        <f>IF(RRImmédiat!$G10&gt;1.2,1,0)</f>
        <v>0</v>
      </c>
    </row>
    <row r="11" spans="1:101">
      <c r="A11" s="415" t="s">
        <v>1124</v>
      </c>
      <c r="B11" s="318" t="str">
        <f>AUTOQUESTIONNAIRE!D11</f>
        <v>Vous habitez : 
(0=Seul·e; 1=Avec vos parents ou votre famille ; 1=Avec un·e partenaire ; 1=En colocation / logement partagé ; 1=Autre)</v>
      </c>
      <c r="C11" s="401"/>
      <c r="F11" s="445"/>
      <c r="G11" s="445"/>
      <c r="H11" s="445"/>
      <c r="I11" s="445"/>
      <c r="J11" s="445"/>
      <c r="K11" s="445"/>
      <c r="L11" s="445"/>
      <c r="M11" s="445"/>
      <c r="N11" s="445"/>
      <c r="O11" s="445"/>
      <c r="P11" s="445"/>
      <c r="Q11" s="445"/>
      <c r="R11" s="445"/>
      <c r="S11" s="445"/>
      <c r="T11" s="445"/>
      <c r="U11" s="445"/>
      <c r="V11" s="445"/>
      <c r="W11" s="445"/>
      <c r="X11" s="445"/>
      <c r="Y11" s="954"/>
      <c r="Z11" s="445"/>
      <c r="AA11" s="445"/>
      <c r="AI11" s="670"/>
      <c r="BT11" s="629" t="s">
        <v>1714</v>
      </c>
      <c r="CF11" s="411">
        <f>IF(RRImmédiat!$G11&gt;1.2,1,0)</f>
        <v>0</v>
      </c>
    </row>
    <row r="12" spans="1:101">
      <c r="A12" s="415" t="s">
        <v>1124</v>
      </c>
      <c r="B12" s="318" t="str">
        <f>AUTOQUESTIONNAIRE!D12</f>
        <v>Prévoyez-vous d’avoir un enfant dans les cinq prochaines années ? (oui=1, non=0, ne sais pas=2)</v>
      </c>
      <c r="C12" s="401"/>
      <c r="F12" s="445"/>
      <c r="G12" s="445"/>
      <c r="H12" s="445"/>
      <c r="I12" s="445"/>
      <c r="J12" s="445"/>
      <c r="K12" s="445"/>
      <c r="L12" s="445"/>
      <c r="M12" s="445"/>
      <c r="N12" s="445"/>
      <c r="O12" s="445"/>
      <c r="P12" s="445"/>
      <c r="Q12" s="445"/>
      <c r="R12" s="445"/>
      <c r="S12" s="445"/>
      <c r="T12" s="445"/>
      <c r="U12" s="445"/>
      <c r="V12" s="445"/>
      <c r="W12" s="445"/>
      <c r="X12" s="445"/>
      <c r="Y12" s="954"/>
      <c r="Z12" s="445"/>
      <c r="AA12" s="445"/>
      <c r="AI12" s="670"/>
      <c r="BT12" s="628" t="s">
        <v>2042</v>
      </c>
      <c r="CE12" s="411">
        <f>IF(RRImmédiat!$G12&gt;1.2,1,0)</f>
        <v>0</v>
      </c>
    </row>
    <row r="13" spans="1:101">
      <c r="A13" s="415" t="s">
        <v>1124</v>
      </c>
      <c r="B13" s="318" t="str">
        <f>AUTOQUESTIONNAIRE!D13</f>
        <v>Au cours des six derniers mois, avez-vous eu des contacts avec des proches ou des amis ? (non=0, oui=1)</v>
      </c>
      <c r="C13" s="401"/>
      <c r="F13" s="445"/>
      <c r="G13" s="445"/>
      <c r="H13" s="445"/>
      <c r="I13" s="445"/>
      <c r="J13" s="445"/>
      <c r="K13" s="445"/>
      <c r="L13" s="445"/>
      <c r="M13" s="445"/>
      <c r="N13" s="445"/>
      <c r="O13" s="445"/>
      <c r="P13" s="445"/>
      <c r="Q13" s="445"/>
      <c r="R13" s="445"/>
      <c r="S13" s="445"/>
      <c r="T13" s="445"/>
      <c r="U13" s="445"/>
      <c r="V13" s="445"/>
      <c r="W13" s="445"/>
      <c r="X13" s="445"/>
      <c r="Y13" s="954"/>
      <c r="Z13" s="445"/>
      <c r="AA13" s="445"/>
      <c r="AI13" s="670"/>
      <c r="BT13" s="628" t="s">
        <v>909</v>
      </c>
      <c r="CE13" s="411">
        <f>IF(RRImmédiat!$G13&gt;1.2,1,0)</f>
        <v>0</v>
      </c>
    </row>
    <row r="14" spans="1:101">
      <c r="A14" s="415" t="s">
        <v>1124</v>
      </c>
      <c r="B14" s="318" t="str">
        <f>AUTOQUESTIONNAIRE!D14</f>
        <v>Vos conditions de vie ou de travail sont-elles physiquement exigeantes ?  (non=0, oui=1)</v>
      </c>
      <c r="C14" s="401"/>
      <c r="F14" s="445"/>
      <c r="G14" s="445"/>
      <c r="H14" s="445"/>
      <c r="I14" s="445"/>
      <c r="J14" s="445"/>
      <c r="K14" s="445"/>
      <c r="L14" s="445"/>
      <c r="M14" s="445"/>
      <c r="N14" s="445"/>
      <c r="O14" s="445"/>
      <c r="P14" s="445"/>
      <c r="Q14" s="445"/>
      <c r="R14" s="445"/>
      <c r="S14" s="445"/>
      <c r="T14" s="445"/>
      <c r="U14" s="445"/>
      <c r="V14" s="445"/>
      <c r="W14" s="445"/>
      <c r="X14" s="445"/>
      <c r="Y14" s="954"/>
      <c r="Z14" s="445"/>
      <c r="AA14" s="445"/>
      <c r="AI14" s="670"/>
      <c r="BT14" s="628" t="s">
        <v>910</v>
      </c>
      <c r="CE14" s="411">
        <f>IF(RRImmédiat!$G14&gt;1.2,1,0)</f>
        <v>0</v>
      </c>
    </row>
    <row r="15" spans="1:101">
      <c r="A15" s="415" t="s">
        <v>1124</v>
      </c>
      <c r="B15" s="318" t="str">
        <f>AUTOQUESTIONNAIRE!D15</f>
        <v>Avez-vous un travail de nuit (entre 21h et 7h) ou en horaires décalés (en dehors de la tranche 7h-21h ou 3x8 ou 2x12) ?  (non=0, oui=1)</v>
      </c>
      <c r="C15" s="401"/>
      <c r="F15" s="445"/>
      <c r="G15" s="445"/>
      <c r="H15" s="445"/>
      <c r="I15" s="445"/>
      <c r="J15" s="445"/>
      <c r="K15" s="445"/>
      <c r="L15" s="445"/>
      <c r="M15" s="445"/>
      <c r="N15" s="445"/>
      <c r="O15" s="445"/>
      <c r="P15" s="445"/>
      <c r="Q15" s="445"/>
      <c r="R15" s="445"/>
      <c r="S15" s="445"/>
      <c r="T15" s="445"/>
      <c r="U15" s="445"/>
      <c r="V15" s="445"/>
      <c r="W15" s="445"/>
      <c r="X15" s="445"/>
      <c r="Y15" s="954"/>
      <c r="Z15" s="445"/>
      <c r="AA15" s="445"/>
      <c r="AI15" s="670"/>
      <c r="BT15" s="628" t="s">
        <v>2043</v>
      </c>
    </row>
    <row r="16" spans="1:101">
      <c r="A16" s="415" t="s">
        <v>1124</v>
      </c>
      <c r="B16" s="318" t="str">
        <f>AUTOQUESTIONNAIRE!D16</f>
        <v>Votre logement est-il adapté à votre état de santé ou de celle des personnes que vous accompagnez ?
(par ex. : accessible en cas de mobilité réduite, sécurisé pour prévenir les chutes chez les personnes âgées) (non=0, oui=1)</v>
      </c>
      <c r="C16" s="401"/>
      <c r="F16" s="445"/>
      <c r="G16" s="445"/>
      <c r="H16" s="445"/>
      <c r="I16" s="445"/>
      <c r="J16" s="445"/>
      <c r="K16" s="445"/>
      <c r="L16" s="445"/>
      <c r="M16" s="445"/>
      <c r="N16" s="445"/>
      <c r="O16" s="445"/>
      <c r="P16" s="445"/>
      <c r="Q16" s="445"/>
      <c r="R16" s="445"/>
      <c r="S16" s="445"/>
      <c r="T16" s="445"/>
      <c r="U16" s="445"/>
      <c r="V16" s="445"/>
      <c r="W16" s="445"/>
      <c r="X16" s="445"/>
      <c r="Y16" s="954"/>
      <c r="Z16" s="445"/>
      <c r="AA16" s="445"/>
      <c r="AI16" s="670"/>
      <c r="BT16" s="628" t="s">
        <v>2044</v>
      </c>
    </row>
    <row r="17" spans="1:90">
      <c r="A17" s="415" t="s">
        <v>1124</v>
      </c>
      <c r="B17" s="318" t="str">
        <f>AUTOQUESTIONNAIRE!D17</f>
        <v>Comment ressentez-vous le fait d’être à la retraite ou d’approcher de la retraite ? (Plutôt positivement=1 / Plutôt négativement=0 / Ne me concerne pas=2)</v>
      </c>
      <c r="C17" s="401"/>
      <c r="F17" s="445"/>
      <c r="G17" s="445"/>
      <c r="H17" s="445"/>
      <c r="I17" s="445"/>
      <c r="J17" s="445"/>
      <c r="K17" s="445"/>
      <c r="L17" s="445"/>
      <c r="M17" s="445"/>
      <c r="N17" s="445"/>
      <c r="O17" s="445"/>
      <c r="P17" s="445"/>
      <c r="Q17" s="445"/>
      <c r="R17" s="445"/>
      <c r="S17" s="445"/>
      <c r="T17" s="445"/>
      <c r="U17" s="445"/>
      <c r="V17" s="445"/>
      <c r="W17" s="445"/>
      <c r="X17" s="445"/>
      <c r="Y17" s="954"/>
      <c r="Z17" s="445"/>
      <c r="AA17" s="445"/>
      <c r="AI17" s="670"/>
      <c r="BT17" s="628" t="s">
        <v>913</v>
      </c>
    </row>
    <row r="18" spans="1:90">
      <c r="A18" s="415" t="s">
        <v>1124</v>
      </c>
      <c r="B18" s="318" t="str">
        <f>AUTOQUESTIONNAIRE!D18</f>
        <v>Avez-vous des limitations physiques qui restreignent votre mobilité ou vos activités quotidiennes ? (handicap) (non=0, oui=1)</v>
      </c>
      <c r="C18" s="401"/>
      <c r="F18" s="445"/>
      <c r="G18" s="445"/>
      <c r="H18" s="445"/>
      <c r="I18" s="445"/>
      <c r="J18" s="445"/>
      <c r="K18" s="445"/>
      <c r="L18" s="445"/>
      <c r="M18" s="445"/>
      <c r="N18" s="445"/>
      <c r="O18" s="445"/>
      <c r="P18" s="445"/>
      <c r="Q18" s="445"/>
      <c r="R18" s="445"/>
      <c r="S18" s="445"/>
      <c r="T18" s="445"/>
      <c r="U18" s="445"/>
      <c r="V18" s="445"/>
      <c r="W18" s="445"/>
      <c r="X18" s="445"/>
      <c r="Y18" s="954"/>
      <c r="Z18" s="445"/>
      <c r="AA18" s="445"/>
      <c r="AI18" s="670"/>
      <c r="BT18" s="629" t="s">
        <v>2045</v>
      </c>
    </row>
    <row r="19" spans="1:90">
      <c r="A19" s="415" t="s">
        <v>1124</v>
      </c>
      <c r="B19" s="318" t="str">
        <f>AUTOQUESTIONNAIRE!D19</f>
        <v>Avez-vous déjà été victime de violences physiques, sexuelles ou psychologiques (menaces, chantage, humiliation, agression, mutilation), de harcèlement ou de discrimination ? (non=0, oui=1)</v>
      </c>
      <c r="C19" s="401"/>
      <c r="F19" s="445"/>
      <c r="G19" s="445"/>
      <c r="H19" s="445"/>
      <c r="I19" s="445"/>
      <c r="J19" s="445"/>
      <c r="K19" s="445"/>
      <c r="L19" s="445"/>
      <c r="M19" s="445"/>
      <c r="N19" s="445"/>
      <c r="O19" s="445"/>
      <c r="P19" s="445"/>
      <c r="Q19" s="445"/>
      <c r="R19" s="445"/>
      <c r="S19" s="445"/>
      <c r="T19" s="445"/>
      <c r="U19" s="445"/>
      <c r="V19" s="445"/>
      <c r="W19" s="445"/>
      <c r="X19" s="445"/>
      <c r="Y19" s="954"/>
      <c r="Z19" s="445"/>
      <c r="AA19" s="445"/>
      <c r="AI19" s="670"/>
      <c r="BT19" s="722" t="s">
        <v>42</v>
      </c>
      <c r="CE19" s="411">
        <f>IF(RRImmédiat!$G19&gt;1.2,1,0)</f>
        <v>1</v>
      </c>
      <c r="CH19" s="411">
        <f>IF(RRImmédiat!$G19&gt;1.2,1,0)</f>
        <v>1</v>
      </c>
    </row>
    <row r="20" spans="1:90">
      <c r="A20" s="416"/>
      <c r="B20" s="644"/>
      <c r="C20" s="401"/>
      <c r="F20" s="445"/>
      <c r="G20" s="445"/>
      <c r="H20" s="445"/>
      <c r="I20" s="445"/>
      <c r="J20" s="445"/>
      <c r="K20" s="445"/>
      <c r="L20" s="445"/>
      <c r="M20" s="445"/>
      <c r="N20" s="445"/>
      <c r="O20" s="445"/>
      <c r="P20" s="445"/>
      <c r="Q20" s="445"/>
      <c r="R20" s="445"/>
      <c r="S20" s="445"/>
      <c r="T20" s="445"/>
      <c r="U20" s="445"/>
      <c r="V20" s="445"/>
      <c r="W20" s="445"/>
      <c r="X20" s="445"/>
      <c r="Y20" s="954"/>
      <c r="Z20" s="445"/>
      <c r="AA20" s="445"/>
      <c r="AI20" s="670"/>
      <c r="BT20" s="722" t="s">
        <v>2046</v>
      </c>
      <c r="CH20" s="411">
        <f>IF(RRImmédiat!$G20&gt;1.2,1,0)</f>
        <v>0</v>
      </c>
    </row>
    <row r="21" spans="1:90">
      <c r="A21" s="417" t="s">
        <v>1041</v>
      </c>
      <c r="B21" s="645" t="str">
        <f>AUTOQUESTIONNAIRE!D21</f>
        <v>Etes vous ménopausée? (non=0, oui=1)</v>
      </c>
      <c r="C21" s="401">
        <f>AUTOQUESTIONNAIRE!G21</f>
        <v>0</v>
      </c>
      <c r="F21" s="445">
        <f t="shared" ref="F21:Y36" si="4">$C21</f>
        <v>0</v>
      </c>
      <c r="G21" s="445">
        <f t="shared" si="4"/>
        <v>0</v>
      </c>
      <c r="H21" s="445">
        <f t="shared" si="4"/>
        <v>0</v>
      </c>
      <c r="I21" s="445">
        <f t="shared" si="4"/>
        <v>0</v>
      </c>
      <c r="J21" s="445">
        <f t="shared" si="4"/>
        <v>0</v>
      </c>
      <c r="K21" s="445">
        <f t="shared" si="4"/>
        <v>0</v>
      </c>
      <c r="L21" s="445">
        <f t="shared" si="4"/>
        <v>0</v>
      </c>
      <c r="M21" s="445">
        <f t="shared" si="4"/>
        <v>0</v>
      </c>
      <c r="N21" s="445"/>
      <c r="O21" s="445"/>
      <c r="P21" s="445">
        <f t="shared" si="4"/>
        <v>0</v>
      </c>
      <c r="Q21" s="445">
        <f t="shared" si="4"/>
        <v>0</v>
      </c>
      <c r="R21" s="445"/>
      <c r="S21" s="445">
        <f t="shared" si="4"/>
        <v>0</v>
      </c>
      <c r="T21" s="445"/>
      <c r="U21" s="445"/>
      <c r="V21" s="445">
        <f t="shared" si="4"/>
        <v>0</v>
      </c>
      <c r="W21" s="445"/>
      <c r="X21" s="445"/>
      <c r="Y21" s="954"/>
      <c r="Z21" s="445"/>
      <c r="AA21" s="445"/>
      <c r="AB21" s="445"/>
      <c r="AC21" s="445"/>
      <c r="AD21" s="445"/>
      <c r="AE21" s="445"/>
      <c r="AI21" s="670"/>
      <c r="BT21" s="722" t="s">
        <v>44</v>
      </c>
      <c r="CH21" s="411">
        <f>IF(RRImmédiat!$G21&gt;1.2,1,0)</f>
        <v>0</v>
      </c>
    </row>
    <row r="22" spans="1:90">
      <c r="A22" s="417" t="s">
        <v>1041</v>
      </c>
      <c r="B22" s="645" t="str">
        <f>AUTOQUESTIONNAIRE!D22</f>
        <v>Avez-vous déjà eu un cancer ? (non=0, oui=1)</v>
      </c>
      <c r="C22" s="401">
        <f>AUTOQUESTIONNAIRE!G22</f>
        <v>0</v>
      </c>
      <c r="F22" s="445">
        <f t="shared" si="4"/>
        <v>0</v>
      </c>
      <c r="G22" s="445"/>
      <c r="H22" s="445"/>
      <c r="I22" s="445">
        <f t="shared" si="4"/>
        <v>0</v>
      </c>
      <c r="J22" s="445">
        <f t="shared" si="4"/>
        <v>0</v>
      </c>
      <c r="K22" s="445"/>
      <c r="L22" s="445"/>
      <c r="M22" s="445">
        <f t="shared" si="4"/>
        <v>0</v>
      </c>
      <c r="N22" s="445"/>
      <c r="O22" s="445">
        <f t="shared" si="4"/>
        <v>0</v>
      </c>
      <c r="P22" s="445">
        <f t="shared" si="4"/>
        <v>0</v>
      </c>
      <c r="Q22" s="445">
        <f t="shared" si="4"/>
        <v>0</v>
      </c>
      <c r="R22" s="445"/>
      <c r="S22" s="445">
        <f t="shared" si="4"/>
        <v>0</v>
      </c>
      <c r="T22" s="445"/>
      <c r="U22" s="445"/>
      <c r="V22" s="445"/>
      <c r="W22" s="445"/>
      <c r="X22" s="445"/>
      <c r="Y22" s="954">
        <f t="shared" si="4"/>
        <v>0</v>
      </c>
      <c r="Z22" s="445"/>
      <c r="AA22" s="445">
        <f t="shared" ref="AA22:AB74" si="5">$C22</f>
        <v>0</v>
      </c>
      <c r="AB22" s="445">
        <f t="shared" si="5"/>
        <v>0</v>
      </c>
      <c r="AC22" s="445"/>
      <c r="AD22" s="445"/>
      <c r="AE22" s="445"/>
      <c r="AI22" s="670"/>
      <c r="BT22" s="630" t="s">
        <v>2047</v>
      </c>
      <c r="CL22" s="411">
        <f>IF(RRImmédiat!$G22&gt;1.2,1,0)</f>
        <v>0</v>
      </c>
    </row>
    <row r="23" spans="1:90" s="936" customFormat="1">
      <c r="A23" s="933" t="s">
        <v>1041</v>
      </c>
      <c r="B23" s="934" t="str">
        <f>AUTOQUESTIONNAIRE!D23</f>
        <v>Avez-vous déjà eu un cancer de la prostate ? (non=0, oui=1)</v>
      </c>
      <c r="C23" s="935">
        <f>AUTOQUESTIONNAIRE!G23</f>
        <v>0</v>
      </c>
      <c r="F23" s="937"/>
      <c r="G23" s="937"/>
      <c r="H23" s="937"/>
      <c r="I23" s="937"/>
      <c r="J23" s="937"/>
      <c r="K23" s="937">
        <f t="shared" si="4"/>
        <v>0</v>
      </c>
      <c r="L23" s="937"/>
      <c r="M23" s="937">
        <f t="shared" si="4"/>
        <v>0</v>
      </c>
      <c r="N23" s="937">
        <f t="shared" si="4"/>
        <v>0</v>
      </c>
      <c r="O23" s="937"/>
      <c r="P23" s="937"/>
      <c r="Q23" s="937"/>
      <c r="R23" s="937"/>
      <c r="S23" s="937"/>
      <c r="T23" s="937"/>
      <c r="U23" s="937"/>
      <c r="V23" s="937"/>
      <c r="W23" s="937"/>
      <c r="X23" s="937"/>
      <c r="Y23" s="954"/>
      <c r="Z23" s="937"/>
      <c r="AA23" s="937"/>
      <c r="AB23" s="938"/>
      <c r="AC23" s="938"/>
      <c r="AD23" s="938"/>
      <c r="AE23" s="938"/>
      <c r="AF23" s="938"/>
      <c r="AG23" s="938"/>
      <c r="AH23" s="938"/>
      <c r="AI23" s="938"/>
      <c r="AJ23" s="938"/>
      <c r="AK23" s="938"/>
      <c r="AL23" s="938"/>
      <c r="AM23" s="937"/>
      <c r="AN23" s="937"/>
      <c r="AO23" s="937"/>
      <c r="AP23" s="937"/>
      <c r="AQ23" s="937"/>
      <c r="AR23" s="937"/>
      <c r="AS23" s="937"/>
      <c r="AT23" s="937"/>
      <c r="AU23" s="937"/>
      <c r="AV23" s="937"/>
      <c r="AW23" s="937"/>
      <c r="AX23" s="937"/>
      <c r="AY23" s="937"/>
      <c r="AZ23" s="937"/>
      <c r="BA23" s="938"/>
      <c r="BB23" s="938"/>
      <c r="BC23" s="938"/>
      <c r="BD23" s="938"/>
      <c r="BE23" s="938"/>
      <c r="BF23" s="938"/>
      <c r="BG23" s="938"/>
      <c r="BH23" s="938"/>
      <c r="BI23" s="938"/>
      <c r="BJ23" s="938"/>
      <c r="BK23" s="938"/>
      <c r="BL23" s="938"/>
      <c r="BM23" s="938"/>
      <c r="BN23" s="938"/>
      <c r="BO23" s="938"/>
      <c r="BP23" s="938"/>
      <c r="BQ23" s="938"/>
      <c r="BR23" s="938"/>
      <c r="BS23" s="938"/>
      <c r="BT23" s="939" t="s">
        <v>1973</v>
      </c>
      <c r="CD23" s="936">
        <f>IF(RRImmédiat!$G23&gt;1.2,1,0)</f>
        <v>0</v>
      </c>
    </row>
    <row r="24" spans="1:90" s="936" customFormat="1">
      <c r="A24" s="933" t="s">
        <v>1041</v>
      </c>
      <c r="B24" s="934" t="str">
        <f>AUTOQUESTIONNAIRE!D24</f>
        <v>Avez-vous déjà eu un cancer du côlon ou des polypes du côlon ? (non=0, oui=1)</v>
      </c>
      <c r="C24" s="935">
        <f>AUTOQUESTIONNAIRE!G24</f>
        <v>0</v>
      </c>
      <c r="F24" s="937"/>
      <c r="G24" s="937"/>
      <c r="H24" s="937"/>
      <c r="I24" s="937"/>
      <c r="J24" s="937"/>
      <c r="K24" s="937"/>
      <c r="L24" s="937"/>
      <c r="M24" s="937"/>
      <c r="N24" s="937"/>
      <c r="O24" s="937"/>
      <c r="P24" s="937"/>
      <c r="Q24" s="937"/>
      <c r="R24" s="937"/>
      <c r="S24" s="937"/>
      <c r="T24" s="937"/>
      <c r="U24" s="937"/>
      <c r="V24" s="937"/>
      <c r="W24" s="937"/>
      <c r="X24" s="937"/>
      <c r="Y24" s="954"/>
      <c r="Z24" s="937"/>
      <c r="AA24" s="937"/>
      <c r="AB24" s="938"/>
      <c r="AC24" s="938"/>
      <c r="AD24" s="938"/>
      <c r="AE24" s="938"/>
      <c r="AF24" s="938"/>
      <c r="AG24" s="938"/>
      <c r="AH24" s="938"/>
      <c r="AI24" s="938"/>
      <c r="AJ24" s="938"/>
      <c r="AK24" s="938"/>
      <c r="AL24" s="938"/>
      <c r="AM24" s="937"/>
      <c r="AN24" s="937"/>
      <c r="AO24" s="937"/>
      <c r="AP24" s="937"/>
      <c r="AQ24" s="937"/>
      <c r="AR24" s="937"/>
      <c r="AS24" s="937"/>
      <c r="AT24" s="937"/>
      <c r="AU24" s="937"/>
      <c r="AV24" s="937"/>
      <c r="AW24" s="937"/>
      <c r="AX24" s="937"/>
      <c r="AY24" s="937"/>
      <c r="AZ24" s="937"/>
      <c r="BA24" s="938"/>
      <c r="BB24" s="938"/>
      <c r="BC24" s="938"/>
      <c r="BD24" s="938"/>
      <c r="BE24" s="938"/>
      <c r="BF24" s="938"/>
      <c r="BG24" s="938"/>
      <c r="BH24" s="938"/>
      <c r="BI24" s="938"/>
      <c r="BJ24" s="938"/>
      <c r="BK24" s="938"/>
      <c r="BL24" s="938"/>
      <c r="BM24" s="938"/>
      <c r="BN24" s="938"/>
      <c r="BO24" s="938"/>
      <c r="BP24" s="938"/>
      <c r="BQ24" s="938"/>
      <c r="BR24" s="938"/>
      <c r="BS24" s="938"/>
      <c r="BT24" s="939" t="s">
        <v>928</v>
      </c>
      <c r="CE24" s="936">
        <f>IF(RRImmédiat!$G24&gt;1.2,1,0)</f>
        <v>0</v>
      </c>
    </row>
    <row r="25" spans="1:90" s="936" customFormat="1">
      <c r="A25" s="933" t="s">
        <v>1041</v>
      </c>
      <c r="B25" s="934" t="str">
        <f>AUTOQUESTIONNAIRE!D25</f>
        <v>Avez-vous déjà eu un mélanome ou un autre type de cancer de la peau ? (non=0, oui=1)</v>
      </c>
      <c r="C25" s="935">
        <f>AUTOQUESTIONNAIRE!G25</f>
        <v>0</v>
      </c>
      <c r="F25" s="937"/>
      <c r="G25" s="937"/>
      <c r="H25" s="937"/>
      <c r="I25" s="937"/>
      <c r="J25" s="937"/>
      <c r="K25" s="937"/>
      <c r="L25" s="937"/>
      <c r="M25" s="937"/>
      <c r="N25" s="937"/>
      <c r="O25" s="937"/>
      <c r="P25" s="937"/>
      <c r="Q25" s="937"/>
      <c r="R25" s="937"/>
      <c r="S25" s="937"/>
      <c r="T25" s="937"/>
      <c r="U25" s="937"/>
      <c r="V25" s="937"/>
      <c r="W25" s="937"/>
      <c r="X25" s="937"/>
      <c r="Y25" s="954"/>
      <c r="Z25" s="937"/>
      <c r="AA25" s="937"/>
      <c r="AB25" s="938"/>
      <c r="AC25" s="938"/>
      <c r="AD25" s="938"/>
      <c r="AE25" s="938"/>
      <c r="AF25" s="938"/>
      <c r="AG25" s="938"/>
      <c r="AH25" s="938"/>
      <c r="AI25" s="938"/>
      <c r="AJ25" s="938"/>
      <c r="AK25" s="938"/>
      <c r="AL25" s="938"/>
      <c r="AM25" s="937"/>
      <c r="AN25" s="937"/>
      <c r="AO25" s="937"/>
      <c r="AP25" s="937"/>
      <c r="AQ25" s="937"/>
      <c r="AR25" s="937"/>
      <c r="AS25" s="937"/>
      <c r="AT25" s="937"/>
      <c r="AU25" s="937"/>
      <c r="AV25" s="937"/>
      <c r="AW25" s="937"/>
      <c r="AX25" s="937"/>
      <c r="AY25" s="937"/>
      <c r="AZ25" s="937"/>
      <c r="BA25" s="938"/>
      <c r="BB25" s="938"/>
      <c r="BC25" s="938"/>
      <c r="BD25" s="938"/>
      <c r="BE25" s="938"/>
      <c r="BF25" s="938"/>
      <c r="BG25" s="938"/>
      <c r="BH25" s="938"/>
      <c r="BI25" s="938"/>
      <c r="BJ25" s="938"/>
      <c r="BK25" s="938"/>
      <c r="BL25" s="938"/>
      <c r="BM25" s="938"/>
      <c r="BN25" s="938"/>
      <c r="BO25" s="938"/>
      <c r="BP25" s="938"/>
      <c r="BQ25" s="938"/>
      <c r="BR25" s="938"/>
      <c r="BS25" s="938"/>
      <c r="BT25" s="939" t="s">
        <v>929</v>
      </c>
    </row>
    <row r="26" spans="1:90" s="936" customFormat="1">
      <c r="A26" s="933" t="s">
        <v>1041</v>
      </c>
      <c r="B26" s="934" t="str">
        <f>AUTOQUESTIONNAIRE!D26</f>
        <v>Avez-vous déjà eu un cancer du poumon ? (non=0, oui=1)</v>
      </c>
      <c r="C26" s="935">
        <f>AUTOQUESTIONNAIRE!G26</f>
        <v>0</v>
      </c>
      <c r="F26" s="937"/>
      <c r="G26" s="937"/>
      <c r="H26" s="937"/>
      <c r="I26" s="937"/>
      <c r="J26" s="937"/>
      <c r="K26" s="937"/>
      <c r="L26" s="937"/>
      <c r="M26" s="937"/>
      <c r="N26" s="937"/>
      <c r="O26" s="937"/>
      <c r="P26" s="937"/>
      <c r="Q26" s="937"/>
      <c r="R26" s="937"/>
      <c r="S26" s="937"/>
      <c r="T26" s="937"/>
      <c r="U26" s="937"/>
      <c r="V26" s="937"/>
      <c r="W26" s="445">
        <f t="shared" si="4"/>
        <v>0</v>
      </c>
      <c r="X26" s="937"/>
      <c r="Y26" s="954"/>
      <c r="Z26" s="937"/>
      <c r="AA26" s="937"/>
      <c r="AB26" s="938"/>
      <c r="AC26" s="938"/>
      <c r="AD26" s="938"/>
      <c r="AE26" s="938"/>
      <c r="AF26" s="938"/>
      <c r="AG26" s="938"/>
      <c r="AH26" s="938"/>
      <c r="AI26" s="938"/>
      <c r="AJ26" s="938"/>
      <c r="AK26" s="938"/>
      <c r="AL26" s="938"/>
      <c r="AM26" s="937"/>
      <c r="AN26" s="937"/>
      <c r="AO26" s="937"/>
      <c r="AP26" s="937"/>
      <c r="AQ26" s="937"/>
      <c r="AR26" s="937"/>
      <c r="AS26" s="937"/>
      <c r="AT26" s="937"/>
      <c r="AU26" s="937"/>
      <c r="AV26" s="937"/>
      <c r="AW26" s="937"/>
      <c r="AX26" s="937"/>
      <c r="AY26" s="937"/>
      <c r="AZ26" s="937"/>
      <c r="BA26" s="938"/>
      <c r="BB26" s="938"/>
      <c r="BC26" s="938"/>
      <c r="BD26" s="938"/>
      <c r="BE26" s="938"/>
      <c r="BF26" s="938"/>
      <c r="BG26" s="938"/>
      <c r="BH26" s="938"/>
      <c r="BI26" s="938"/>
      <c r="BJ26" s="938"/>
      <c r="BK26" s="938"/>
      <c r="BL26" s="938"/>
      <c r="BM26" s="938"/>
      <c r="BN26" s="938"/>
      <c r="BO26" s="938"/>
      <c r="BP26" s="938"/>
      <c r="BQ26" s="938"/>
      <c r="BR26" s="938"/>
      <c r="BS26" s="938"/>
      <c r="BT26" s="939" t="s">
        <v>930</v>
      </c>
      <c r="CE26" s="936">
        <f>IF(RRImmédiat!$G26&gt;1.2,1,0)</f>
        <v>0</v>
      </c>
    </row>
    <row r="27" spans="1:90" s="936" customFormat="1">
      <c r="A27" s="933" t="s">
        <v>1041</v>
      </c>
      <c r="B27" s="934" t="str">
        <f>AUTOQUESTIONNAIRE!D27</f>
        <v>Avez-vous déjà eu un cancer du sein ? (non=0, oui=1)</v>
      </c>
      <c r="C27" s="935">
        <f>AUTOQUESTIONNAIRE!G27</f>
        <v>0</v>
      </c>
      <c r="F27" s="937"/>
      <c r="G27" s="937"/>
      <c r="H27" s="937"/>
      <c r="I27" s="937"/>
      <c r="J27" s="937"/>
      <c r="K27" s="937"/>
      <c r="L27" s="445">
        <f t="shared" si="4"/>
        <v>0</v>
      </c>
      <c r="M27" s="937"/>
      <c r="N27" s="937"/>
      <c r="O27" s="937"/>
      <c r="P27" s="937"/>
      <c r="Q27" s="937"/>
      <c r="R27" s="937"/>
      <c r="S27" s="937"/>
      <c r="T27" s="937"/>
      <c r="U27" s="937"/>
      <c r="V27" s="937"/>
      <c r="W27" s="937"/>
      <c r="X27" s="937"/>
      <c r="Y27" s="954"/>
      <c r="Z27" s="937"/>
      <c r="AA27" s="937"/>
      <c r="AB27" s="938"/>
      <c r="AC27" s="938"/>
      <c r="AD27" s="938"/>
      <c r="AE27" s="938"/>
      <c r="AF27" s="938"/>
      <c r="AG27" s="938"/>
      <c r="AH27" s="938"/>
      <c r="AI27" s="938"/>
      <c r="AJ27" s="938"/>
      <c r="AK27" s="938"/>
      <c r="AL27" s="938"/>
      <c r="AM27" s="937"/>
      <c r="AN27" s="937"/>
      <c r="AO27" s="937"/>
      <c r="AP27" s="937"/>
      <c r="AQ27" s="937"/>
      <c r="AR27" s="937"/>
      <c r="AS27" s="937"/>
      <c r="AT27" s="937"/>
      <c r="AU27" s="937"/>
      <c r="AV27" s="937"/>
      <c r="AW27" s="937"/>
      <c r="AX27" s="937"/>
      <c r="AY27" s="937"/>
      <c r="AZ27" s="937"/>
      <c r="BA27" s="938"/>
      <c r="BB27" s="938"/>
      <c r="BC27" s="938"/>
      <c r="BD27" s="938"/>
      <c r="BE27" s="938"/>
      <c r="BF27" s="938"/>
      <c r="BG27" s="938"/>
      <c r="BH27" s="938"/>
      <c r="BI27" s="938"/>
      <c r="BJ27" s="938"/>
      <c r="BK27" s="938"/>
      <c r="BL27" s="938"/>
      <c r="BM27" s="938"/>
      <c r="BN27" s="938"/>
      <c r="BO27" s="938"/>
      <c r="BP27" s="938"/>
      <c r="BQ27" s="938"/>
      <c r="BR27" s="938"/>
      <c r="BS27" s="938"/>
      <c r="BT27" s="939" t="s">
        <v>931</v>
      </c>
    </row>
    <row r="28" spans="1:90" s="936" customFormat="1">
      <c r="A28" s="933" t="s">
        <v>1041</v>
      </c>
      <c r="B28" s="934" t="str">
        <f>AUTOQUESTIONNAIRE!D28</f>
        <v>Avez-vous déjà eu un cancer gynécologique (utérus ou ovaires) ? (non=0, oui=1)</v>
      </c>
      <c r="C28" s="935">
        <f>AUTOQUESTIONNAIRE!G28</f>
        <v>0</v>
      </c>
      <c r="F28" s="937"/>
      <c r="G28" s="937"/>
      <c r="H28" s="937"/>
      <c r="I28" s="937"/>
      <c r="J28" s="937"/>
      <c r="K28" s="937"/>
      <c r="L28" s="445">
        <f t="shared" si="4"/>
        <v>0</v>
      </c>
      <c r="M28" s="937"/>
      <c r="N28" s="937"/>
      <c r="O28" s="937"/>
      <c r="P28" s="937"/>
      <c r="Q28" s="937"/>
      <c r="R28" s="937"/>
      <c r="S28" s="937"/>
      <c r="T28" s="937"/>
      <c r="U28" s="937"/>
      <c r="V28" s="937"/>
      <c r="W28" s="937"/>
      <c r="X28" s="937"/>
      <c r="Y28" s="954"/>
      <c r="Z28" s="937"/>
      <c r="AA28" s="937"/>
      <c r="AB28" s="938"/>
      <c r="AC28" s="938"/>
      <c r="AD28" s="938"/>
      <c r="AE28" s="938"/>
      <c r="AF28" s="938"/>
      <c r="AG28" s="938"/>
      <c r="AH28" s="938"/>
      <c r="AI28" s="938"/>
      <c r="AJ28" s="938"/>
      <c r="AK28" s="938"/>
      <c r="AL28" s="938"/>
      <c r="AM28" s="937"/>
      <c r="AN28" s="937"/>
      <c r="AO28" s="937"/>
      <c r="AP28" s="937"/>
      <c r="AQ28" s="937"/>
      <c r="AR28" s="937"/>
      <c r="AS28" s="937"/>
      <c r="AT28" s="937"/>
      <c r="AU28" s="937"/>
      <c r="AV28" s="937"/>
      <c r="AW28" s="937"/>
      <c r="AX28" s="937"/>
      <c r="AY28" s="937"/>
      <c r="AZ28" s="937"/>
      <c r="BA28" s="938"/>
      <c r="BB28" s="938"/>
      <c r="BC28" s="938"/>
      <c r="BD28" s="938"/>
      <c r="BE28" s="938"/>
      <c r="BF28" s="938"/>
      <c r="BG28" s="938"/>
      <c r="BH28" s="938"/>
      <c r="BI28" s="938"/>
      <c r="BJ28" s="938"/>
      <c r="BK28" s="938"/>
      <c r="BL28" s="938"/>
      <c r="BM28" s="938"/>
      <c r="BN28" s="938"/>
      <c r="BO28" s="938"/>
      <c r="BP28" s="938"/>
      <c r="BQ28" s="938"/>
      <c r="BR28" s="938"/>
      <c r="BS28" s="938"/>
      <c r="BT28" s="939" t="s">
        <v>1716</v>
      </c>
    </row>
    <row r="29" spans="1:90" s="936" customFormat="1">
      <c r="A29" s="933" t="s">
        <v>1041</v>
      </c>
      <c r="B29" s="934" t="str">
        <f>AUTOQUESTIONNAIRE!D29</f>
        <v>Avez-vous déjà eu un cancer du rein ? (non=0, oui=1)</v>
      </c>
      <c r="C29" s="935">
        <f>AUTOQUESTIONNAIRE!G29</f>
        <v>0</v>
      </c>
      <c r="F29" s="937"/>
      <c r="G29" s="937"/>
      <c r="H29" s="937"/>
      <c r="I29" s="937"/>
      <c r="J29" s="937"/>
      <c r="K29" s="937"/>
      <c r="L29" s="937"/>
      <c r="M29" s="937"/>
      <c r="N29" s="937"/>
      <c r="O29" s="937"/>
      <c r="P29" s="937"/>
      <c r="Q29" s="937"/>
      <c r="R29" s="937"/>
      <c r="S29" s="937"/>
      <c r="T29" s="937"/>
      <c r="U29" s="937"/>
      <c r="V29" s="937"/>
      <c r="W29" s="937"/>
      <c r="X29" s="937"/>
      <c r="Y29" s="954"/>
      <c r="Z29" s="937"/>
      <c r="AA29" s="937"/>
      <c r="AB29" s="938"/>
      <c r="AC29" s="938"/>
      <c r="AD29" s="938"/>
      <c r="AE29" s="938"/>
      <c r="AF29" s="938"/>
      <c r="AG29" s="938"/>
      <c r="AH29" s="938"/>
      <c r="AI29" s="938"/>
      <c r="AJ29" s="938"/>
      <c r="AK29" s="938"/>
      <c r="AL29" s="938"/>
      <c r="AM29" s="937"/>
      <c r="AN29" s="937"/>
      <c r="AO29" s="937"/>
      <c r="AP29" s="937"/>
      <c r="AQ29" s="937"/>
      <c r="AR29" s="937"/>
      <c r="AS29" s="937"/>
      <c r="AT29" s="937"/>
      <c r="AU29" s="937"/>
      <c r="AV29" s="937"/>
      <c r="AW29" s="937"/>
      <c r="AX29" s="937"/>
      <c r="AY29" s="937"/>
      <c r="AZ29" s="937"/>
      <c r="BA29" s="938"/>
      <c r="BB29" s="938"/>
      <c r="BC29" s="938"/>
      <c r="BD29" s="938"/>
      <c r="BE29" s="938"/>
      <c r="BF29" s="938"/>
      <c r="BG29" s="938"/>
      <c r="BH29" s="938"/>
      <c r="BI29" s="938"/>
      <c r="BJ29" s="938"/>
      <c r="BK29" s="938"/>
      <c r="BL29" s="938"/>
      <c r="BM29" s="938"/>
      <c r="BN29" s="938"/>
      <c r="BO29" s="938"/>
      <c r="BP29" s="938"/>
      <c r="BQ29" s="938"/>
      <c r="BR29" s="938"/>
      <c r="BS29" s="938"/>
      <c r="BT29" s="939" t="s">
        <v>933</v>
      </c>
    </row>
    <row r="30" spans="1:90" s="936" customFormat="1">
      <c r="A30" s="933" t="s">
        <v>1041</v>
      </c>
      <c r="B30" s="934" t="str">
        <f>AUTOQUESTIONNAIRE!D30</f>
        <v>Avez-vous déjà eu un cancer de l’estomac ? (non=0, oui=1)</v>
      </c>
      <c r="C30" s="935">
        <f>AUTOQUESTIONNAIRE!G30</f>
        <v>0</v>
      </c>
      <c r="F30" s="937"/>
      <c r="G30" s="937"/>
      <c r="H30" s="937"/>
      <c r="I30" s="937"/>
      <c r="J30" s="937"/>
      <c r="K30" s="937"/>
      <c r="L30" s="937"/>
      <c r="M30" s="937"/>
      <c r="N30" s="937"/>
      <c r="O30" s="937"/>
      <c r="P30" s="937"/>
      <c r="Q30" s="937"/>
      <c r="R30" s="937"/>
      <c r="S30" s="937"/>
      <c r="T30" s="937"/>
      <c r="U30" s="937"/>
      <c r="V30" s="937"/>
      <c r="W30" s="937"/>
      <c r="X30" s="937"/>
      <c r="Y30" s="954"/>
      <c r="Z30" s="937"/>
      <c r="AA30" s="937"/>
      <c r="AB30" s="938"/>
      <c r="AC30" s="938"/>
      <c r="AD30" s="938"/>
      <c r="AE30" s="938"/>
      <c r="AF30" s="938"/>
      <c r="AG30" s="938"/>
      <c r="AH30" s="938"/>
      <c r="AI30" s="938"/>
      <c r="AJ30" s="938"/>
      <c r="AK30" s="938"/>
      <c r="AL30" s="938"/>
      <c r="AM30" s="937"/>
      <c r="AN30" s="937"/>
      <c r="AO30" s="937"/>
      <c r="AP30" s="937"/>
      <c r="AQ30" s="937"/>
      <c r="AR30" s="937"/>
      <c r="AS30" s="937"/>
      <c r="AT30" s="937"/>
      <c r="AU30" s="937"/>
      <c r="AV30" s="937"/>
      <c r="AW30" s="937"/>
      <c r="AX30" s="937"/>
      <c r="AY30" s="937"/>
      <c r="AZ30" s="937"/>
      <c r="BA30" s="938"/>
      <c r="BB30" s="938"/>
      <c r="BC30" s="938"/>
      <c r="BD30" s="938"/>
      <c r="BE30" s="938"/>
      <c r="BF30" s="938"/>
      <c r="BG30" s="938"/>
      <c r="BH30" s="938"/>
      <c r="BI30" s="938"/>
      <c r="BJ30" s="938"/>
      <c r="BK30" s="938"/>
      <c r="BL30" s="938"/>
      <c r="BM30" s="938"/>
      <c r="BN30" s="938"/>
      <c r="BO30" s="938"/>
      <c r="BP30" s="938"/>
      <c r="BQ30" s="938"/>
      <c r="BR30" s="938"/>
      <c r="BS30" s="938"/>
      <c r="BT30" s="939" t="s">
        <v>1199</v>
      </c>
    </row>
    <row r="31" spans="1:90" s="936" customFormat="1">
      <c r="A31" s="933" t="s">
        <v>1041</v>
      </c>
      <c r="B31" s="934" t="str">
        <f>AUTOQUESTIONNAIRE!D31</f>
        <v>Avez-vous déjà eu un cancer ORL (langue, gorge, larynx, sinus) ? (non=0, oui=1)</v>
      </c>
      <c r="C31" s="935">
        <f>AUTOQUESTIONNAIRE!G31</f>
        <v>0</v>
      </c>
      <c r="F31" s="937"/>
      <c r="G31" s="937"/>
      <c r="H31" s="937"/>
      <c r="I31" s="937"/>
      <c r="J31" s="937"/>
      <c r="K31" s="937"/>
      <c r="L31" s="937"/>
      <c r="M31" s="937"/>
      <c r="N31" s="937"/>
      <c r="O31" s="937"/>
      <c r="P31" s="937"/>
      <c r="Q31" s="937"/>
      <c r="R31" s="937"/>
      <c r="S31" s="937"/>
      <c r="T31" s="937"/>
      <c r="U31" s="937"/>
      <c r="V31" s="937"/>
      <c r="W31" s="937"/>
      <c r="X31" s="937"/>
      <c r="Y31" s="954"/>
      <c r="Z31" s="937"/>
      <c r="AA31" s="937"/>
      <c r="AB31" s="938"/>
      <c r="AC31" s="938"/>
      <c r="AD31" s="938"/>
      <c r="AE31" s="938"/>
      <c r="AF31" s="938"/>
      <c r="AG31" s="938"/>
      <c r="AH31" s="938"/>
      <c r="AI31" s="938"/>
      <c r="AJ31" s="938"/>
      <c r="AK31" s="938"/>
      <c r="AL31" s="938"/>
      <c r="AM31" s="937"/>
      <c r="AN31" s="937"/>
      <c r="AO31" s="937"/>
      <c r="AP31" s="937"/>
      <c r="AQ31" s="937"/>
      <c r="AR31" s="937"/>
      <c r="AS31" s="937"/>
      <c r="AT31" s="937"/>
      <c r="AU31" s="937"/>
      <c r="AV31" s="937"/>
      <c r="AW31" s="937"/>
      <c r="AX31" s="937"/>
      <c r="AY31" s="937"/>
      <c r="AZ31" s="937"/>
      <c r="BA31" s="938"/>
      <c r="BB31" s="938"/>
      <c r="BC31" s="938"/>
      <c r="BD31" s="938"/>
      <c r="BE31" s="938"/>
      <c r="BF31" s="938"/>
      <c r="BG31" s="938"/>
      <c r="BH31" s="938"/>
      <c r="BI31" s="938"/>
      <c r="BJ31" s="938"/>
      <c r="BK31" s="938"/>
      <c r="BL31" s="938"/>
      <c r="BM31" s="938"/>
      <c r="BN31" s="938"/>
      <c r="BO31" s="938"/>
      <c r="BP31" s="938"/>
      <c r="BQ31" s="938"/>
      <c r="BR31" s="938"/>
      <c r="BS31" s="938"/>
      <c r="BT31" s="939" t="s">
        <v>2103</v>
      </c>
    </row>
    <row r="32" spans="1:90" s="936" customFormat="1">
      <c r="A32" s="933" t="s">
        <v>1041</v>
      </c>
      <c r="B32" s="934" t="str">
        <f>AUTOQUESTIONNAIRE!D32</f>
        <v>Avez-vous déjà eu une tumeur de la vessie ou de l’uretère (appareil urinaire) ? (non=0, oui=1)</v>
      </c>
      <c r="C32" s="935">
        <f>AUTOQUESTIONNAIRE!G32</f>
        <v>0</v>
      </c>
      <c r="F32" s="937"/>
      <c r="G32" s="937"/>
      <c r="H32" s="937"/>
      <c r="I32" s="937"/>
      <c r="J32" s="937"/>
      <c r="K32" s="937"/>
      <c r="L32" s="937"/>
      <c r="M32" s="937"/>
      <c r="N32" s="937"/>
      <c r="O32" s="937"/>
      <c r="P32" s="937"/>
      <c r="Q32" s="937"/>
      <c r="R32" s="937"/>
      <c r="S32" s="937"/>
      <c r="T32" s="937"/>
      <c r="U32" s="937"/>
      <c r="V32" s="937"/>
      <c r="W32" s="445">
        <f t="shared" si="4"/>
        <v>0</v>
      </c>
      <c r="X32" s="937"/>
      <c r="Y32" s="954"/>
      <c r="Z32" s="937"/>
      <c r="AA32" s="937"/>
      <c r="AB32" s="938"/>
      <c r="AC32" s="938"/>
      <c r="AD32" s="938"/>
      <c r="AE32" s="938"/>
      <c r="AF32" s="938"/>
      <c r="AG32" s="938"/>
      <c r="AH32" s="938"/>
      <c r="AI32" s="938"/>
      <c r="AJ32" s="938"/>
      <c r="AK32" s="938"/>
      <c r="AL32" s="938"/>
      <c r="AM32" s="937"/>
      <c r="AN32" s="937"/>
      <c r="AO32" s="937"/>
      <c r="AP32" s="937"/>
      <c r="AQ32" s="937"/>
      <c r="AR32" s="937"/>
      <c r="AS32" s="937"/>
      <c r="AT32" s="937"/>
      <c r="AU32" s="937"/>
      <c r="AV32" s="937"/>
      <c r="AW32" s="937"/>
      <c r="AX32" s="937"/>
      <c r="AY32" s="937"/>
      <c r="AZ32" s="937"/>
      <c r="BA32" s="938"/>
      <c r="BB32" s="938"/>
      <c r="BC32" s="938"/>
      <c r="BD32" s="938"/>
      <c r="BE32" s="938"/>
      <c r="BF32" s="938"/>
      <c r="BG32" s="938"/>
      <c r="BH32" s="938"/>
      <c r="BI32" s="938"/>
      <c r="BJ32" s="938"/>
      <c r="BK32" s="938"/>
      <c r="BL32" s="938"/>
      <c r="BM32" s="938"/>
      <c r="BN32" s="938"/>
      <c r="BO32" s="938"/>
      <c r="BP32" s="938"/>
      <c r="BQ32" s="938"/>
      <c r="BR32" s="938"/>
      <c r="BS32" s="938"/>
      <c r="BT32" s="939" t="s">
        <v>1718</v>
      </c>
    </row>
    <row r="33" spans="1:86">
      <c r="A33" s="417" t="s">
        <v>1041</v>
      </c>
      <c r="B33" s="645" t="str">
        <f>AUTOQUESTIONNAIRE!D33</f>
        <v>Avez-vous déjà eu un anévrisme ou une artériopathie des membres inférieurs ? (non=0, oui=1)</v>
      </c>
      <c r="C33" s="401">
        <f>AUTOQUESTIONNAIRE!G33</f>
        <v>0</v>
      </c>
      <c r="F33" s="445"/>
      <c r="G33" s="445"/>
      <c r="H33" s="445"/>
      <c r="I33" s="445"/>
      <c r="J33" s="445"/>
      <c r="K33" s="445"/>
      <c r="L33" s="445"/>
      <c r="M33" s="445"/>
      <c r="N33" s="445"/>
      <c r="O33" s="445"/>
      <c r="P33" s="445"/>
      <c r="Q33" s="445"/>
      <c r="R33" s="445"/>
      <c r="S33" s="445"/>
      <c r="T33" s="445"/>
      <c r="U33" s="445"/>
      <c r="V33" s="445"/>
      <c r="W33" s="445"/>
      <c r="X33" s="445"/>
      <c r="Y33" s="954"/>
      <c r="Z33" s="445"/>
      <c r="AA33" s="445"/>
      <c r="AI33" s="670"/>
      <c r="BT33" s="627" t="s">
        <v>1861</v>
      </c>
    </row>
    <row r="34" spans="1:86">
      <c r="A34" s="417" t="s">
        <v>1041</v>
      </c>
      <c r="B34" s="645" t="str">
        <f>AUTOQUESTIONNAIRE!D34</f>
        <v>Avez-vous eu des calculs biliaires ou une ablation de la vésicule biliaire ? (non=0, oui=1)</v>
      </c>
      <c r="C34" s="401">
        <f>AUTOQUESTIONNAIRE!G34</f>
        <v>0</v>
      </c>
      <c r="F34" s="445"/>
      <c r="G34" s="445"/>
      <c r="H34" s="445">
        <f t="shared" si="4"/>
        <v>0</v>
      </c>
      <c r="I34" s="445"/>
      <c r="J34" s="445">
        <f t="shared" si="4"/>
        <v>0</v>
      </c>
      <c r="K34" s="445"/>
      <c r="L34" s="445"/>
      <c r="M34" s="445"/>
      <c r="N34" s="445"/>
      <c r="O34" s="445"/>
      <c r="P34" s="445"/>
      <c r="Q34" s="445"/>
      <c r="R34" s="445"/>
      <c r="S34" s="445"/>
      <c r="T34" s="445"/>
      <c r="U34" s="445"/>
      <c r="V34" s="445"/>
      <c r="W34" s="445"/>
      <c r="X34" s="445"/>
      <c r="Y34" s="954"/>
      <c r="Z34" s="445"/>
      <c r="AA34" s="445"/>
      <c r="AI34" s="670"/>
      <c r="BT34" s="639" t="s">
        <v>902</v>
      </c>
    </row>
    <row r="35" spans="1:86">
      <c r="A35" s="417" t="s">
        <v>1041</v>
      </c>
      <c r="B35" s="645" t="str">
        <f>AUTOQUESTIONNAIRE!D35</f>
        <v>Avez-vous déjà eu un ulcère de l’estomac ou du duodénum ? (non=0, oui=1)</v>
      </c>
      <c r="C35" s="401">
        <f>AUTOQUESTIONNAIRE!G35</f>
        <v>0</v>
      </c>
      <c r="F35" s="445">
        <f t="shared" si="4"/>
        <v>0</v>
      </c>
      <c r="G35" s="445"/>
      <c r="H35" s="445"/>
      <c r="I35" s="445"/>
      <c r="J35" s="445"/>
      <c r="K35" s="445"/>
      <c r="L35" s="445"/>
      <c r="M35" s="445"/>
      <c r="N35" s="445"/>
      <c r="O35" s="445"/>
      <c r="P35" s="445"/>
      <c r="Q35" s="445"/>
      <c r="R35" s="445"/>
      <c r="S35" s="445"/>
      <c r="T35" s="445"/>
      <c r="U35" s="445"/>
      <c r="V35" s="445"/>
      <c r="W35" s="445"/>
      <c r="X35" s="445"/>
      <c r="Y35" s="954"/>
      <c r="Z35" s="445"/>
      <c r="AA35" s="445"/>
      <c r="AI35" s="670"/>
      <c r="BR35" s="445">
        <f t="shared" ref="BR35" si="6">$C35</f>
        <v>0</v>
      </c>
      <c r="BT35" s="726" t="s">
        <v>38</v>
      </c>
      <c r="BX35" s="411">
        <f>IF(RRImmédiat!$G35&gt;1.2,1,0)</f>
        <v>0</v>
      </c>
      <c r="BY35" s="411">
        <f>IF(RRImmédiat!$G35&gt;1.2,1,0)</f>
        <v>0</v>
      </c>
      <c r="BZ35" s="411">
        <f>IF(RRImmédiat!$G35&gt;1.2,1,0)</f>
        <v>0</v>
      </c>
      <c r="CA35" s="411">
        <f>IF(RRImmédiat!$G35&gt;1.2,1,0)</f>
        <v>0</v>
      </c>
      <c r="CB35" s="411">
        <f>IF(RRImmédiat!$G35&gt;1.2,1,0)</f>
        <v>0</v>
      </c>
    </row>
    <row r="36" spans="1:86">
      <c r="A36" s="417" t="s">
        <v>1041</v>
      </c>
      <c r="B36" s="645" t="str">
        <f>AUTOQUESTIONNAIRE!D36</f>
        <v>Avez-vous déjà eu une crise cardiaque ou un AVC (accident cardiovasculaire célébral) ? (non=0, oui=1)</v>
      </c>
      <c r="C36" s="401">
        <f>AUTOQUESTIONNAIRE!G36</f>
        <v>0</v>
      </c>
      <c r="F36" s="445">
        <f t="shared" si="4"/>
        <v>0</v>
      </c>
      <c r="G36" s="445"/>
      <c r="H36" s="445"/>
      <c r="I36" s="445"/>
      <c r="J36" s="445"/>
      <c r="K36" s="445"/>
      <c r="L36" s="445"/>
      <c r="M36" s="445"/>
      <c r="N36" s="445"/>
      <c r="O36" s="445"/>
      <c r="P36" s="445"/>
      <c r="Q36" s="445"/>
      <c r="R36" s="445"/>
      <c r="S36" s="445"/>
      <c r="T36" s="445"/>
      <c r="U36" s="445"/>
      <c r="V36" s="445"/>
      <c r="W36" s="445"/>
      <c r="X36" s="445"/>
      <c r="Y36" s="954"/>
      <c r="Z36" s="445"/>
      <c r="AA36" s="445"/>
      <c r="AI36" s="670"/>
      <c r="BT36" s="631" t="s">
        <v>922</v>
      </c>
      <c r="BX36" s="411">
        <f>IF(RRImmédiat!$G36&gt;1.2,1,0)</f>
        <v>0</v>
      </c>
      <c r="BY36" s="411">
        <f>IF(RRImmédiat!$G36&gt;1.2,1,0)</f>
        <v>0</v>
      </c>
      <c r="BZ36" s="411">
        <f>IF(RRImmédiat!$G36&gt;1.2,1,0)</f>
        <v>0</v>
      </c>
      <c r="CA36" s="411">
        <f>IF(RRImmédiat!$G36&gt;1.2,1,0)</f>
        <v>0</v>
      </c>
      <c r="CB36" s="411">
        <f>IF(RRImmédiat!$G36&gt;1.2,1,0)</f>
        <v>0</v>
      </c>
    </row>
    <row r="37" spans="1:86">
      <c r="A37" s="417" t="s">
        <v>1041</v>
      </c>
      <c r="B37" s="645" t="str">
        <f>AUTOQUESTIONNAIRE!D37</f>
        <v>Avez-vous des problèmes de fertilité ? (non=0, oui=1)</v>
      </c>
      <c r="C37" s="401">
        <f>AUTOQUESTIONNAIRE!G37</f>
        <v>0</v>
      </c>
      <c r="F37" s="445"/>
      <c r="G37" s="445"/>
      <c r="H37" s="445"/>
      <c r="I37" s="445"/>
      <c r="J37" s="445"/>
      <c r="K37" s="445">
        <f t="shared" ref="I37:L48" si="7">$C37</f>
        <v>0</v>
      </c>
      <c r="L37" s="445">
        <f t="shared" si="7"/>
        <v>0</v>
      </c>
      <c r="M37" s="445"/>
      <c r="N37" s="445"/>
      <c r="O37" s="445"/>
      <c r="P37" s="445"/>
      <c r="Q37" s="445">
        <f t="shared" ref="Q37" si="8">$C37</f>
        <v>0</v>
      </c>
      <c r="R37" s="445"/>
      <c r="S37" s="445"/>
      <c r="T37" s="445"/>
      <c r="U37" s="445"/>
      <c r="V37" s="445"/>
      <c r="W37" s="445"/>
      <c r="X37" s="445">
        <f t="shared" ref="X37" si="9">$C37</f>
        <v>0</v>
      </c>
      <c r="Y37" s="954"/>
      <c r="Z37" s="445"/>
      <c r="AA37" s="445"/>
      <c r="AI37" s="670"/>
      <c r="BT37" s="631" t="s">
        <v>923</v>
      </c>
    </row>
    <row r="38" spans="1:86">
      <c r="A38" s="417" t="s">
        <v>1041</v>
      </c>
      <c r="B38" s="645" t="str">
        <f>AUTOQUESTIONNAIRE!D38</f>
        <v>Avez-vous eu des calculs rénaux ou des coliques néphrétiques ? (non=0, oui=1)</v>
      </c>
      <c r="C38" s="401">
        <f>AUTOQUESTIONNAIRE!G38</f>
        <v>0</v>
      </c>
      <c r="F38" s="445"/>
      <c r="G38" s="445"/>
      <c r="H38" s="445"/>
      <c r="I38" s="445"/>
      <c r="J38" s="445"/>
      <c r="K38" s="445"/>
      <c r="L38" s="445"/>
      <c r="M38" s="445"/>
      <c r="N38" s="445"/>
      <c r="O38" s="445"/>
      <c r="P38" s="445"/>
      <c r="Q38" s="445"/>
      <c r="R38" s="445"/>
      <c r="S38" s="445"/>
      <c r="T38" s="445"/>
      <c r="U38" s="445"/>
      <c r="V38" s="445"/>
      <c r="W38" s="445"/>
      <c r="X38" s="445"/>
      <c r="Y38" s="954"/>
      <c r="Z38" s="445"/>
      <c r="AA38" s="445"/>
      <c r="AI38" s="670"/>
      <c r="BT38" s="631" t="s">
        <v>924</v>
      </c>
    </row>
    <row r="39" spans="1:86">
      <c r="A39" s="417" t="s">
        <v>1041</v>
      </c>
      <c r="B39" s="645" t="str">
        <f>AUTOQUESTIONNAIRE!D39</f>
        <v>Avez-vous déjà eu des caillots sanguins (phlébite/thrombose ou embolie pulmonaire) ou une déficience en protéine S ? (non=0, oui=1)</v>
      </c>
      <c r="C39" s="401">
        <f>AUTOQUESTIONNAIRE!G39</f>
        <v>0</v>
      </c>
      <c r="F39" s="445">
        <f t="shared" ref="F39:F48" si="10">$C39</f>
        <v>0</v>
      </c>
      <c r="G39" s="445"/>
      <c r="H39" s="445"/>
      <c r="I39" s="445"/>
      <c r="J39" s="445"/>
      <c r="K39" s="445"/>
      <c r="L39" s="445"/>
      <c r="M39" s="445"/>
      <c r="N39" s="445"/>
      <c r="O39" s="445"/>
      <c r="P39" s="445"/>
      <c r="Q39" s="445"/>
      <c r="R39" s="445"/>
      <c r="S39" s="445"/>
      <c r="T39" s="445"/>
      <c r="U39" s="445"/>
      <c r="V39" s="445"/>
      <c r="W39" s="445"/>
      <c r="X39" s="445"/>
      <c r="Y39" s="954"/>
      <c r="Z39" s="445"/>
      <c r="AA39" s="445"/>
      <c r="AI39" s="670"/>
      <c r="BT39" s="727" t="s">
        <v>2049</v>
      </c>
      <c r="CH39" s="411">
        <f>IF(RRImmédiat!$G39&gt;1.2,1,0)</f>
        <v>1</v>
      </c>
    </row>
    <row r="40" spans="1:86">
      <c r="A40" s="417" t="s">
        <v>1041</v>
      </c>
      <c r="B40" s="645" t="str">
        <f>AUTOQUESTIONNAIRE!D40</f>
        <v>Avez-vous une maladie inflammatoire chronique de l’intestin (maladie de Crohn, rectocolite hémorragique) ? (non=0, oui=1)</v>
      </c>
      <c r="C40" s="401">
        <f>AUTOQUESTIONNAIRE!G40</f>
        <v>0</v>
      </c>
      <c r="F40" s="445">
        <f t="shared" si="10"/>
        <v>0</v>
      </c>
      <c r="G40" s="445"/>
      <c r="H40" s="445"/>
      <c r="I40" s="445">
        <f t="shared" si="7"/>
        <v>0</v>
      </c>
      <c r="J40" s="445"/>
      <c r="K40" s="445"/>
      <c r="L40" s="445"/>
      <c r="M40" s="445">
        <f t="shared" ref="M40" si="11">$C40</f>
        <v>0</v>
      </c>
      <c r="N40" s="445"/>
      <c r="O40" s="445">
        <f t="shared" ref="O40" si="12">$C40</f>
        <v>0</v>
      </c>
      <c r="P40" s="445"/>
      <c r="Q40" s="445"/>
      <c r="R40" s="445"/>
      <c r="S40" s="445"/>
      <c r="T40" s="445"/>
      <c r="U40" s="445"/>
      <c r="V40" s="445">
        <f t="shared" ref="V40" si="13">$C40</f>
        <v>0</v>
      </c>
      <c r="W40" s="445"/>
      <c r="X40" s="445"/>
      <c r="Y40" s="954"/>
      <c r="Z40" s="445"/>
      <c r="AA40" s="445"/>
      <c r="AI40" s="670"/>
      <c r="BT40" s="636" t="s">
        <v>916</v>
      </c>
    </row>
    <row r="41" spans="1:86">
      <c r="A41" s="417" t="s">
        <v>1041</v>
      </c>
      <c r="B41" s="645" t="str">
        <f>AUTOQUESTIONNAIRE!D41</f>
        <v>Souffrez-vous d’arthrose ou de maladie rhumatismale ? (non=0, oui=1)</v>
      </c>
      <c r="C41" s="401">
        <f>AUTOQUESTIONNAIRE!G41</f>
        <v>0</v>
      </c>
      <c r="F41" s="445">
        <f t="shared" si="10"/>
        <v>0</v>
      </c>
      <c r="G41" s="445"/>
      <c r="H41" s="445"/>
      <c r="I41" s="445">
        <f t="shared" si="7"/>
        <v>0</v>
      </c>
      <c r="J41" s="445"/>
      <c r="K41" s="445"/>
      <c r="L41" s="445"/>
      <c r="M41" s="445"/>
      <c r="N41" s="445"/>
      <c r="O41" s="445"/>
      <c r="P41" s="445"/>
      <c r="Q41" s="445"/>
      <c r="R41" s="445"/>
      <c r="S41" s="445"/>
      <c r="T41" s="445"/>
      <c r="U41" s="445"/>
      <c r="V41" s="445"/>
      <c r="W41" s="445"/>
      <c r="X41" s="445"/>
      <c r="Y41" s="954"/>
      <c r="Z41" s="445"/>
      <c r="AA41" s="445"/>
      <c r="AI41" s="670"/>
      <c r="BT41" s="636" t="s">
        <v>917</v>
      </c>
    </row>
    <row r="42" spans="1:86">
      <c r="A42" s="417" t="s">
        <v>1041</v>
      </c>
      <c r="B42" s="645" t="str">
        <f>AUTOQUESTIONNAIRE!D42</f>
        <v>Avez-vous eu une fracture ostéoporotique de la colonne vertébrale ou de la hanche ? (non=0, oui=1)</v>
      </c>
      <c r="C42" s="401">
        <f>AUTOQUESTIONNAIRE!G42</f>
        <v>0</v>
      </c>
      <c r="F42" s="445"/>
      <c r="G42" s="445"/>
      <c r="H42" s="445"/>
      <c r="I42" s="445"/>
      <c r="J42" s="445"/>
      <c r="K42" s="445">
        <f t="shared" ref="K42:L42" si="14">$C42</f>
        <v>0</v>
      </c>
      <c r="L42" s="445">
        <f t="shared" si="14"/>
        <v>0</v>
      </c>
      <c r="M42" s="445">
        <f t="shared" ref="M42" si="15">$C42</f>
        <v>0</v>
      </c>
      <c r="N42" s="445"/>
      <c r="O42" s="445"/>
      <c r="P42" s="445"/>
      <c r="Q42" s="445"/>
      <c r="R42" s="445"/>
      <c r="S42" s="445"/>
      <c r="T42" s="445"/>
      <c r="U42" s="445"/>
      <c r="V42" s="445">
        <f t="shared" ref="V42" si="16">$C42</f>
        <v>0</v>
      </c>
      <c r="W42" s="445"/>
      <c r="X42" s="445"/>
      <c r="Y42" s="954"/>
      <c r="Z42" s="445"/>
      <c r="AA42" s="445"/>
      <c r="AI42" s="670"/>
      <c r="BT42" s="636" t="s">
        <v>2050</v>
      </c>
    </row>
    <row r="43" spans="1:86" ht="75">
      <c r="A43" s="417" t="s">
        <v>1041</v>
      </c>
      <c r="B43" s="645" t="str">
        <f>AUTOQUESTIONNAIRE!D43</f>
        <v>Avez-vous déjà eu une maladie respiratoire (comme l’asthme ou la BPCO) ou des allergies respiratoires, telles qu’une pollinose (par exemple le rhume des foins) ? (non=0, oui=1)</v>
      </c>
      <c r="C43" s="401">
        <f>AUTOQUESTIONNAIRE!G43</f>
        <v>1</v>
      </c>
      <c r="F43" s="445">
        <f t="shared" si="10"/>
        <v>1</v>
      </c>
      <c r="G43" s="445"/>
      <c r="H43" s="445"/>
      <c r="I43" s="445">
        <f t="shared" si="7"/>
        <v>1</v>
      </c>
      <c r="J43" s="445"/>
      <c r="K43" s="445"/>
      <c r="L43" s="445"/>
      <c r="M43" s="445"/>
      <c r="N43" s="445"/>
      <c r="O43" s="445"/>
      <c r="P43" s="445"/>
      <c r="Q43" s="445"/>
      <c r="R43" s="445"/>
      <c r="S43" s="445"/>
      <c r="T43" s="445"/>
      <c r="U43" s="445"/>
      <c r="V43" s="445"/>
      <c r="W43" s="445"/>
      <c r="X43" s="445"/>
      <c r="Y43" s="954"/>
      <c r="Z43" s="445">
        <f t="shared" ref="Z43:Z45" si="17">$C43</f>
        <v>1</v>
      </c>
      <c r="AA43" s="445"/>
      <c r="AI43" s="670"/>
      <c r="AN43" s="445">
        <f t="shared" ref="AN43:AN45" si="18">$C43</f>
        <v>1</v>
      </c>
      <c r="BT43" s="716" t="s">
        <v>2124</v>
      </c>
    </row>
    <row r="44" spans="1:86">
      <c r="A44" s="417" t="s">
        <v>1041</v>
      </c>
      <c r="B44" s="645" t="str">
        <f>AUTOQUESTIONNAIRE!D44</f>
        <v>Avez-vous déjà eu une atopie ou des allergies cutanées (par exemple aux métaux, au latex) ? (non=0, oui=1)</v>
      </c>
      <c r="C44" s="401">
        <f>AUTOQUESTIONNAIRE!G44</f>
        <v>0</v>
      </c>
      <c r="F44" s="445">
        <f t="shared" si="10"/>
        <v>0</v>
      </c>
      <c r="G44" s="445"/>
      <c r="H44" s="445"/>
      <c r="I44" s="445">
        <f t="shared" si="7"/>
        <v>0</v>
      </c>
      <c r="J44" s="445"/>
      <c r="K44" s="445"/>
      <c r="L44" s="445"/>
      <c r="M44" s="445"/>
      <c r="N44" s="445"/>
      <c r="O44" s="445"/>
      <c r="P44" s="445"/>
      <c r="Q44" s="445"/>
      <c r="R44" s="445"/>
      <c r="S44" s="445"/>
      <c r="T44" s="445"/>
      <c r="U44" s="445"/>
      <c r="V44" s="445"/>
      <c r="W44" s="445"/>
      <c r="X44" s="445"/>
      <c r="Y44" s="954"/>
      <c r="Z44" s="445"/>
      <c r="AA44" s="445"/>
      <c r="AI44" s="670"/>
      <c r="BT44" s="633" t="s">
        <v>896</v>
      </c>
      <c r="CC44" s="411">
        <f>IF(RRImmédiat!$G44&gt;1.2,1,0)</f>
        <v>0</v>
      </c>
    </row>
    <row r="45" spans="1:86">
      <c r="A45" s="417" t="s">
        <v>1041</v>
      </c>
      <c r="B45" s="645" t="str">
        <f>AUTOQUESTIONNAIRE!D45</f>
        <v>Avez-vous une allergie au latex ou à des aliments (par exemple kiwi, avocat, châtaigne, sarrasin) ? (non=0, oui=1)</v>
      </c>
      <c r="C45" s="401">
        <f>AUTOQUESTIONNAIRE!G45</f>
        <v>0</v>
      </c>
      <c r="F45" s="445">
        <f t="shared" si="10"/>
        <v>0</v>
      </c>
      <c r="G45" s="445"/>
      <c r="H45" s="445"/>
      <c r="I45" s="445"/>
      <c r="J45" s="445"/>
      <c r="K45" s="445"/>
      <c r="L45" s="445"/>
      <c r="M45" s="445"/>
      <c r="N45" s="445"/>
      <c r="O45" s="445"/>
      <c r="P45" s="445"/>
      <c r="Q45" s="445"/>
      <c r="R45" s="445"/>
      <c r="S45" s="445"/>
      <c r="T45" s="445"/>
      <c r="U45" s="445"/>
      <c r="V45" s="445"/>
      <c r="W45" s="445"/>
      <c r="X45" s="445"/>
      <c r="Y45" s="954"/>
      <c r="Z45" s="445">
        <f t="shared" si="17"/>
        <v>0</v>
      </c>
      <c r="AA45" s="445"/>
      <c r="AI45" s="670"/>
      <c r="AN45" s="445">
        <f t="shared" si="18"/>
        <v>0</v>
      </c>
      <c r="BT45" s="633" t="s">
        <v>897</v>
      </c>
    </row>
    <row r="46" spans="1:86">
      <c r="A46" s="417" t="s">
        <v>1041</v>
      </c>
      <c r="B46" s="645" t="str">
        <f>AUTOQUESTIONNAIRE!D46</f>
        <v>Avez-vous une intolérance alimentaire (gluten ou lactose) ? (non=0, oui=1)</v>
      </c>
      <c r="C46" s="401">
        <f>AUTOQUESTIONNAIRE!G46</f>
        <v>0</v>
      </c>
      <c r="F46" s="445">
        <f t="shared" si="10"/>
        <v>0</v>
      </c>
      <c r="G46" s="445"/>
      <c r="H46" s="445"/>
      <c r="I46" s="445"/>
      <c r="J46" s="445"/>
      <c r="K46" s="445"/>
      <c r="L46" s="445"/>
      <c r="M46" s="445"/>
      <c r="N46" s="445"/>
      <c r="O46" s="445"/>
      <c r="P46" s="445"/>
      <c r="Q46" s="445"/>
      <c r="R46" s="445"/>
      <c r="S46" s="445"/>
      <c r="T46" s="445"/>
      <c r="U46" s="445"/>
      <c r="V46" s="445"/>
      <c r="W46" s="445"/>
      <c r="X46" s="445"/>
      <c r="Y46" s="954"/>
      <c r="Z46" s="445"/>
      <c r="AA46" s="445"/>
      <c r="AI46" s="670"/>
      <c r="AU46" s="445">
        <f t="shared" ref="AU46" si="19">$C46</f>
        <v>0</v>
      </c>
      <c r="BT46" s="728" t="s">
        <v>1713</v>
      </c>
    </row>
    <row r="47" spans="1:86">
      <c r="A47" s="417" t="s">
        <v>1041</v>
      </c>
      <c r="B47" s="645" t="str">
        <f>AUTOQUESTIONNAIRE!D47</f>
        <v>Avez-vous des varices aux jambes ? (non=0, oui=1)</v>
      </c>
      <c r="C47" s="401">
        <f>AUTOQUESTIONNAIRE!G47</f>
        <v>0</v>
      </c>
      <c r="F47" s="445"/>
      <c r="G47" s="445"/>
      <c r="H47" s="445"/>
      <c r="I47" s="445"/>
      <c r="J47" s="445"/>
      <c r="K47" s="445"/>
      <c r="L47" s="445"/>
      <c r="M47" s="445"/>
      <c r="N47" s="445"/>
      <c r="O47" s="445"/>
      <c r="P47" s="445"/>
      <c r="Q47" s="445"/>
      <c r="R47" s="445"/>
      <c r="S47" s="445"/>
      <c r="T47" s="445"/>
      <c r="U47" s="445"/>
      <c r="V47" s="445"/>
      <c r="W47" s="445"/>
      <c r="X47" s="445"/>
      <c r="Y47" s="954"/>
      <c r="Z47" s="445"/>
      <c r="AA47" s="445"/>
      <c r="AI47" s="670"/>
      <c r="BT47" s="728" t="s">
        <v>2051</v>
      </c>
      <c r="CC47" s="411">
        <f>IF(RRImmédiat!$G47&gt;1.2,1,0)</f>
        <v>0</v>
      </c>
    </row>
    <row r="48" spans="1:86">
      <c r="A48" s="417" t="s">
        <v>1041</v>
      </c>
      <c r="B48" s="645" t="str">
        <f>AUTOQUESTIONNAIRE!D48</f>
        <v>Avez-vous déjà eu une infection sexuellement transmissible (IST) ? (non=0, oui=1)</v>
      </c>
      <c r="C48" s="401">
        <f>AUTOQUESTIONNAIRE!G48</f>
        <v>0</v>
      </c>
      <c r="F48" s="445">
        <f t="shared" si="10"/>
        <v>0</v>
      </c>
      <c r="G48" s="445"/>
      <c r="H48" s="445"/>
      <c r="I48" s="445">
        <f t="shared" si="7"/>
        <v>0</v>
      </c>
      <c r="J48" s="445"/>
      <c r="K48" s="445"/>
      <c r="L48" s="445"/>
      <c r="M48" s="445"/>
      <c r="N48" s="445"/>
      <c r="O48" s="445"/>
      <c r="P48" s="445"/>
      <c r="Q48" s="445"/>
      <c r="R48" s="445"/>
      <c r="S48" s="445"/>
      <c r="T48" s="445"/>
      <c r="U48" s="445"/>
      <c r="V48" s="445"/>
      <c r="W48" s="445"/>
      <c r="X48" s="445">
        <f t="shared" ref="X48" si="20">$C48</f>
        <v>0</v>
      </c>
      <c r="Y48" s="954"/>
      <c r="Z48" s="445"/>
      <c r="AA48" s="445"/>
      <c r="AI48" s="670"/>
      <c r="BT48" s="632" t="s">
        <v>2052</v>
      </c>
    </row>
    <row r="49" spans="1:89">
      <c r="A49" s="417" t="s">
        <v>1041</v>
      </c>
      <c r="B49" s="645" t="str">
        <f>AUTOQUESTIONNAIRE!D49</f>
        <v>Avez-vous déjà subi une intervention chirurgicale ? (non=0, oui=1)</v>
      </c>
      <c r="C49" s="401">
        <f>AUTOQUESTIONNAIRE!G49</f>
        <v>0</v>
      </c>
      <c r="F49" s="445"/>
      <c r="G49" s="445"/>
      <c r="H49" s="445"/>
      <c r="I49" s="445"/>
      <c r="J49" s="445"/>
      <c r="K49" s="445"/>
      <c r="L49" s="445"/>
      <c r="M49" s="445"/>
      <c r="N49" s="445"/>
      <c r="O49" s="445"/>
      <c r="P49" s="445"/>
      <c r="Q49" s="445"/>
      <c r="R49" s="445"/>
      <c r="S49" s="445"/>
      <c r="T49" s="445"/>
      <c r="U49" s="445"/>
      <c r="V49" s="445"/>
      <c r="W49" s="445"/>
      <c r="X49" s="445"/>
      <c r="Y49" s="954"/>
      <c r="Z49" s="445"/>
      <c r="AA49" s="445"/>
      <c r="AI49" s="670"/>
      <c r="BT49" s="633" t="s">
        <v>927</v>
      </c>
    </row>
    <row r="50" spans="1:89">
      <c r="A50" s="418"/>
      <c r="B50" s="646"/>
      <c r="C50" s="401"/>
      <c r="F50" s="445"/>
      <c r="G50" s="445"/>
      <c r="H50" s="445"/>
      <c r="I50" s="445"/>
      <c r="J50" s="445"/>
      <c r="K50" s="445"/>
      <c r="L50" s="445"/>
      <c r="M50" s="445"/>
      <c r="N50" s="445"/>
      <c r="O50" s="445"/>
      <c r="P50" s="445"/>
      <c r="Q50" s="445"/>
      <c r="R50" s="445"/>
      <c r="S50" s="445"/>
      <c r="T50" s="445"/>
      <c r="U50" s="445"/>
      <c r="V50" s="445"/>
      <c r="W50" s="445"/>
      <c r="X50" s="445"/>
      <c r="Y50" s="954"/>
      <c r="Z50" s="445"/>
      <c r="AA50" s="445"/>
      <c r="AI50" s="670"/>
      <c r="BT50" s="729" t="s">
        <v>2053</v>
      </c>
      <c r="CJ50" s="411">
        <f>IF(RRImmédiat!$G50&gt;1.2,1,0)</f>
        <v>0</v>
      </c>
    </row>
    <row r="51" spans="1:89">
      <c r="A51" s="413"/>
      <c r="B51" s="318"/>
      <c r="F51" s="444"/>
      <c r="G51" s="444"/>
      <c r="H51" s="444"/>
      <c r="I51" s="444"/>
      <c r="J51" s="444"/>
      <c r="K51" s="444"/>
      <c r="L51" s="444"/>
      <c r="M51" s="444"/>
      <c r="N51" s="444"/>
      <c r="O51" s="444"/>
      <c r="P51" s="444"/>
      <c r="Q51" s="444"/>
      <c r="R51" s="444"/>
      <c r="S51" s="444"/>
      <c r="T51" s="444"/>
      <c r="U51" s="444"/>
      <c r="V51" s="444"/>
      <c r="W51" s="444"/>
      <c r="X51" s="444"/>
      <c r="Y51" s="953"/>
      <c r="Z51" s="444"/>
      <c r="AA51" s="444"/>
      <c r="AB51" s="444"/>
      <c r="AC51" s="444"/>
      <c r="AD51" s="444"/>
      <c r="AE51" s="444"/>
      <c r="AF51" s="444"/>
      <c r="AG51" s="444"/>
      <c r="AH51" s="444"/>
      <c r="AI51" s="666"/>
      <c r="AJ51" s="666"/>
      <c r="AK51" s="666"/>
      <c r="AL51" s="666"/>
      <c r="AM51" s="667"/>
      <c r="AN51" s="667"/>
      <c r="AO51" s="667"/>
      <c r="AP51" s="667"/>
      <c r="AQ51" s="667"/>
      <c r="AR51" s="667"/>
      <c r="AS51" s="667"/>
      <c r="AT51" s="667"/>
      <c r="AU51" s="667"/>
      <c r="AV51" s="667"/>
      <c r="AW51" s="667"/>
      <c r="AX51" s="668"/>
      <c r="AY51" s="668"/>
      <c r="AZ51" s="668"/>
      <c r="BA51" s="668"/>
      <c r="BB51" s="669"/>
      <c r="BC51" s="669"/>
      <c r="BD51" s="669"/>
      <c r="BE51" s="669"/>
      <c r="BF51" s="669"/>
      <c r="BG51" s="669"/>
      <c r="BH51" s="669"/>
      <c r="BI51" s="669"/>
      <c r="BJ51" s="669"/>
      <c r="BK51" s="669"/>
      <c r="BL51" s="669"/>
      <c r="BM51" s="669"/>
      <c r="BN51" s="444"/>
      <c r="BO51" s="444"/>
      <c r="BP51" s="444"/>
      <c r="BQ51" s="444"/>
      <c r="BR51" s="444"/>
      <c r="BS51" s="444"/>
      <c r="BT51" s="638" t="s">
        <v>899</v>
      </c>
      <c r="BU51" s="828"/>
      <c r="BV51" s="828"/>
      <c r="BW51" s="828"/>
      <c r="BX51" s="828"/>
      <c r="BY51" s="828"/>
      <c r="BZ51" s="828"/>
      <c r="CA51" s="828"/>
      <c r="CB51" s="828"/>
      <c r="CC51" s="828"/>
      <c r="CD51" s="828"/>
      <c r="CE51" s="828"/>
      <c r="CK51" s="411">
        <f>IF(RRImmédiat!$G51&gt;1.2,1,0)</f>
        <v>0</v>
      </c>
    </row>
    <row r="52" spans="1:89">
      <c r="A52" s="419" t="s">
        <v>1155</v>
      </c>
      <c r="B52" s="647" t="str">
        <f>AUTOQUESTIONNAIRE!D52</f>
        <v>Au cours des deux dernières années, avez-vous passé un scanner thoracique ou une radiographie des poumons ? (non=0, oui=1)</v>
      </c>
      <c r="C52" s="401">
        <f>AUTOQUESTIONNAIRE!G52</f>
        <v>1</v>
      </c>
      <c r="F52" s="664"/>
      <c r="G52" s="664"/>
      <c r="H52" s="664"/>
      <c r="I52" s="664"/>
      <c r="J52" s="664"/>
      <c r="K52" s="664"/>
      <c r="L52" s="664"/>
      <c r="M52" s="664"/>
      <c r="N52" s="664"/>
      <c r="O52" s="664"/>
      <c r="P52" s="664"/>
      <c r="Q52" s="664"/>
      <c r="R52" s="664"/>
      <c r="S52" s="664"/>
      <c r="T52" s="664"/>
      <c r="U52" s="664"/>
      <c r="V52" s="664"/>
      <c r="W52" s="664"/>
      <c r="X52" s="664"/>
      <c r="Y52" s="954"/>
      <c r="Z52" s="664"/>
      <c r="AA52" s="664"/>
      <c r="AB52" s="665"/>
      <c r="AC52" s="665"/>
      <c r="AD52" s="665"/>
      <c r="AE52" s="665"/>
      <c r="AF52" s="665"/>
      <c r="AG52" s="665"/>
      <c r="AH52" s="665"/>
      <c r="AI52" s="665"/>
      <c r="AJ52" s="665"/>
      <c r="AK52" s="665"/>
      <c r="AL52" s="665"/>
      <c r="AM52" s="664"/>
      <c r="AN52" s="664"/>
      <c r="AO52" s="664"/>
      <c r="AP52" s="664"/>
      <c r="AQ52" s="664"/>
      <c r="AR52" s="664"/>
      <c r="AS52" s="664"/>
      <c r="AT52" s="664"/>
      <c r="AU52" s="664"/>
      <c r="AV52" s="664"/>
      <c r="AW52" s="664"/>
      <c r="AX52" s="664"/>
      <c r="AY52" s="664"/>
      <c r="AZ52" s="664"/>
      <c r="BA52" s="665"/>
      <c r="BB52" s="665"/>
      <c r="BC52" s="665"/>
      <c r="BD52" s="665"/>
      <c r="BE52" s="665"/>
      <c r="BF52" s="665"/>
      <c r="BG52" s="665"/>
      <c r="BH52" s="665"/>
      <c r="BI52" s="665"/>
      <c r="BJ52" s="665"/>
      <c r="BK52" s="665"/>
      <c r="BL52" s="665"/>
      <c r="BM52" s="665"/>
      <c r="BN52" s="665"/>
      <c r="BO52" s="665"/>
      <c r="BP52" s="665"/>
      <c r="BQ52" s="665"/>
      <c r="BR52" s="665"/>
      <c r="BS52" s="665"/>
      <c r="BT52" s="638" t="s">
        <v>900</v>
      </c>
    </row>
    <row r="53" spans="1:89">
      <c r="A53" s="419" t="s">
        <v>1155</v>
      </c>
      <c r="B53" s="647" t="str">
        <f>AUTOQUESTIONNAIRE!D53</f>
        <v>Au cours des deux dernières années, avez-vous passé une IRM de la prostate ? (non=0, oui=1)</v>
      </c>
      <c r="C53" s="401">
        <f>AUTOQUESTIONNAIRE!G53</f>
        <v>1</v>
      </c>
      <c r="F53" s="664"/>
      <c r="G53" s="664"/>
      <c r="H53" s="664"/>
      <c r="I53" s="664"/>
      <c r="J53" s="664"/>
      <c r="K53" s="664"/>
      <c r="L53" s="664"/>
      <c r="M53" s="664"/>
      <c r="N53" s="664"/>
      <c r="O53" s="664"/>
      <c r="P53" s="664"/>
      <c r="Q53" s="664"/>
      <c r="R53" s="664"/>
      <c r="S53" s="664"/>
      <c r="T53" s="664"/>
      <c r="U53" s="664"/>
      <c r="V53" s="664"/>
      <c r="W53" s="664"/>
      <c r="X53" s="664"/>
      <c r="Y53" s="954"/>
      <c r="Z53" s="664"/>
      <c r="AA53" s="664"/>
      <c r="AB53" s="665"/>
      <c r="AC53" s="665"/>
      <c r="AD53" s="665"/>
      <c r="AE53" s="665"/>
      <c r="AF53" s="665"/>
      <c r="AG53" s="665"/>
      <c r="AH53" s="665"/>
      <c r="AI53" s="665"/>
      <c r="AJ53" s="665"/>
      <c r="AK53" s="665"/>
      <c r="AL53" s="665"/>
      <c r="AM53" s="664"/>
      <c r="AN53" s="664"/>
      <c r="AO53" s="664"/>
      <c r="AP53" s="664"/>
      <c r="AQ53" s="664"/>
      <c r="AR53" s="664"/>
      <c r="AS53" s="664"/>
      <c r="AT53" s="664"/>
      <c r="AU53" s="664"/>
      <c r="AV53" s="664"/>
      <c r="AW53" s="664"/>
      <c r="AX53" s="664"/>
      <c r="AY53" s="664"/>
      <c r="AZ53" s="664"/>
      <c r="BA53" s="665"/>
      <c r="BB53" s="665"/>
      <c r="BC53" s="665"/>
      <c r="BD53" s="665"/>
      <c r="BE53" s="665"/>
      <c r="BF53" s="665"/>
      <c r="BG53" s="665"/>
      <c r="BH53" s="665"/>
      <c r="BI53" s="665"/>
      <c r="BJ53" s="665"/>
      <c r="BK53" s="665"/>
      <c r="BL53" s="665"/>
      <c r="BM53" s="665"/>
      <c r="BN53" s="665"/>
      <c r="BO53" s="665"/>
      <c r="BP53" s="665"/>
      <c r="BQ53" s="665"/>
      <c r="BR53" s="665"/>
      <c r="BS53" s="665"/>
      <c r="BT53" s="638" t="s">
        <v>901</v>
      </c>
    </row>
    <row r="54" spans="1:89">
      <c r="A54" s="419" t="s">
        <v>1155</v>
      </c>
      <c r="B54" s="647" t="str">
        <f>AUTOQUESTIONNAIRE!D54</f>
        <v>Au cours des deux dernières années, avez-vous effectué un dépistage du cancer du sein par mammographie ? (non=0, oui=1)</v>
      </c>
      <c r="C54" s="401">
        <f>AUTOQUESTIONNAIRE!G54</f>
        <v>1</v>
      </c>
      <c r="F54" s="664"/>
      <c r="G54" s="664"/>
      <c r="H54" s="664"/>
      <c r="I54" s="664"/>
      <c r="J54" s="664"/>
      <c r="K54" s="664"/>
      <c r="L54" s="664"/>
      <c r="M54" s="664"/>
      <c r="N54" s="664"/>
      <c r="O54" s="664"/>
      <c r="P54" s="664"/>
      <c r="Q54" s="664"/>
      <c r="R54" s="664"/>
      <c r="S54" s="664"/>
      <c r="T54" s="664"/>
      <c r="U54" s="664"/>
      <c r="V54" s="664"/>
      <c r="W54" s="664"/>
      <c r="X54" s="664"/>
      <c r="Y54" s="954"/>
      <c r="Z54" s="664"/>
      <c r="AA54" s="664"/>
      <c r="AB54" s="665"/>
      <c r="AC54" s="665"/>
      <c r="AD54" s="665"/>
      <c r="AE54" s="665"/>
      <c r="AF54" s="665"/>
      <c r="AG54" s="665"/>
      <c r="AH54" s="665"/>
      <c r="AI54" s="665"/>
      <c r="AJ54" s="665"/>
      <c r="AK54" s="665"/>
      <c r="AL54" s="665"/>
      <c r="AM54" s="664"/>
      <c r="AN54" s="664"/>
      <c r="AO54" s="664"/>
      <c r="AP54" s="664"/>
      <c r="AQ54" s="664"/>
      <c r="AR54" s="664"/>
      <c r="AS54" s="664"/>
      <c r="AT54" s="664"/>
      <c r="AU54" s="664"/>
      <c r="AV54" s="664"/>
      <c r="AW54" s="664"/>
      <c r="AX54" s="664"/>
      <c r="AY54" s="664"/>
      <c r="AZ54" s="664"/>
      <c r="BA54" s="665"/>
      <c r="BB54" s="665"/>
      <c r="BC54" s="665"/>
      <c r="BD54" s="665"/>
      <c r="BE54" s="665"/>
      <c r="BF54" s="665"/>
      <c r="BG54" s="665"/>
      <c r="BH54" s="665"/>
      <c r="BI54" s="665"/>
      <c r="BJ54" s="665"/>
      <c r="BK54" s="665"/>
      <c r="BL54" s="665"/>
      <c r="BM54" s="665"/>
      <c r="BN54" s="664"/>
      <c r="BO54" s="665"/>
      <c r="BP54" s="665"/>
      <c r="BQ54" s="665"/>
      <c r="BR54" s="665"/>
      <c r="BS54" s="665"/>
      <c r="BT54" s="635" t="s">
        <v>898</v>
      </c>
      <c r="CD54" s="411">
        <f>IF(RRImmédiat!$G54&gt;1.2,1,0)</f>
        <v>0</v>
      </c>
    </row>
    <row r="55" spans="1:89">
      <c r="A55" s="419" t="s">
        <v>1155</v>
      </c>
      <c r="B55" s="647" t="str">
        <f>AUTOQUESTIONNAIRE!D55</f>
        <v>Au cours des cinq dernières années, avez-vous effectué un dépistage du cancer du col de l’utérus ou été vacciné(e) contre le HPV ? (non=0, oui=1)</v>
      </c>
      <c r="C55" s="401">
        <f>AUTOQUESTIONNAIRE!G55</f>
        <v>1</v>
      </c>
      <c r="F55" s="664"/>
      <c r="G55" s="664"/>
      <c r="H55" s="664"/>
      <c r="I55" s="664"/>
      <c r="J55" s="664"/>
      <c r="K55" s="664"/>
      <c r="L55" s="664"/>
      <c r="M55" s="664"/>
      <c r="N55" s="664"/>
      <c r="O55" s="664"/>
      <c r="P55" s="664"/>
      <c r="Q55" s="664"/>
      <c r="R55" s="664"/>
      <c r="S55" s="664"/>
      <c r="T55" s="664"/>
      <c r="U55" s="664"/>
      <c r="V55" s="664"/>
      <c r="W55" s="664"/>
      <c r="X55" s="664"/>
      <c r="Y55" s="954"/>
      <c r="Z55" s="664"/>
      <c r="AA55" s="664"/>
      <c r="AB55" s="665"/>
      <c r="AC55" s="665"/>
      <c r="AD55" s="665"/>
      <c r="AE55" s="665"/>
      <c r="AF55" s="665"/>
      <c r="AG55" s="665"/>
      <c r="AH55" s="665"/>
      <c r="AI55" s="665"/>
      <c r="AJ55" s="665"/>
      <c r="AK55" s="665"/>
      <c r="AL55" s="665"/>
      <c r="AM55" s="664"/>
      <c r="AN55" s="664"/>
      <c r="AO55" s="664"/>
      <c r="AP55" s="664"/>
      <c r="AQ55" s="664"/>
      <c r="AR55" s="664"/>
      <c r="AS55" s="664"/>
      <c r="AT55" s="664"/>
      <c r="AU55" s="664"/>
      <c r="AV55" s="664"/>
      <c r="AW55" s="664"/>
      <c r="AX55" s="664"/>
      <c r="AY55" s="664"/>
      <c r="AZ55" s="664"/>
      <c r="BA55" s="665"/>
      <c r="BB55" s="665"/>
      <c r="BC55" s="665"/>
      <c r="BD55" s="665"/>
      <c r="BE55" s="665"/>
      <c r="BF55" s="665"/>
      <c r="BG55" s="664">
        <f t="shared" ref="BG55" si="21">$C55</f>
        <v>1</v>
      </c>
      <c r="BH55" s="664"/>
      <c r="BI55" s="664"/>
      <c r="BJ55" s="664"/>
      <c r="BK55" s="664"/>
      <c r="BL55" s="664"/>
      <c r="BM55" s="664"/>
      <c r="BN55" s="665"/>
      <c r="BO55" s="665"/>
      <c r="BP55" s="665"/>
      <c r="BQ55" s="665"/>
      <c r="BR55" s="665"/>
      <c r="BS55" s="665"/>
      <c r="BT55" s="729" t="s">
        <v>2054</v>
      </c>
      <c r="CF55" s="411">
        <f>IF(RRImmédiat!$G55&gt;1.2,1,0)</f>
        <v>0</v>
      </c>
    </row>
    <row r="56" spans="1:89">
      <c r="A56" s="419" t="s">
        <v>1155</v>
      </c>
      <c r="B56" s="647" t="str">
        <f>AUTOQUESTIONNAIRE!D56</f>
        <v>Au cours des deux dernières années, avez-vous réalisé une épreuve d’effort ou un scanner coronaire ? (non=0, oui=1)</v>
      </c>
      <c r="C56" s="401">
        <f>AUTOQUESTIONNAIRE!G56</f>
        <v>1</v>
      </c>
      <c r="F56" s="664"/>
      <c r="G56" s="664"/>
      <c r="H56" s="664"/>
      <c r="I56" s="664"/>
      <c r="J56" s="664"/>
      <c r="K56" s="664"/>
      <c r="L56" s="664"/>
      <c r="M56" s="664"/>
      <c r="N56" s="664"/>
      <c r="O56" s="664"/>
      <c r="P56" s="664"/>
      <c r="Q56" s="664"/>
      <c r="R56" s="664"/>
      <c r="S56" s="664"/>
      <c r="T56" s="664"/>
      <c r="U56" s="664"/>
      <c r="V56" s="664"/>
      <c r="W56" s="664"/>
      <c r="X56" s="664"/>
      <c r="Y56" s="954"/>
      <c r="Z56" s="664"/>
      <c r="AA56" s="664"/>
      <c r="AB56" s="665"/>
      <c r="AC56" s="665"/>
      <c r="AD56" s="665"/>
      <c r="AE56" s="665"/>
      <c r="AF56" s="665"/>
      <c r="AG56" s="665"/>
      <c r="AH56" s="665"/>
      <c r="AI56" s="665"/>
      <c r="AJ56" s="665"/>
      <c r="AK56" s="665"/>
      <c r="AL56" s="665"/>
      <c r="AM56" s="664"/>
      <c r="AN56" s="664"/>
      <c r="AO56" s="664"/>
      <c r="AP56" s="664"/>
      <c r="AQ56" s="664"/>
      <c r="AR56" s="664"/>
      <c r="AS56" s="664"/>
      <c r="AT56" s="664"/>
      <c r="AU56" s="664"/>
      <c r="AV56" s="664"/>
      <c r="AW56" s="664"/>
      <c r="AX56" s="664"/>
      <c r="AY56" s="664"/>
      <c r="AZ56" s="664"/>
      <c r="BA56" s="665"/>
      <c r="BB56" s="665"/>
      <c r="BC56" s="665"/>
      <c r="BD56" s="665"/>
      <c r="BE56" s="665"/>
      <c r="BF56" s="665"/>
      <c r="BG56" s="665"/>
      <c r="BH56" s="665"/>
      <c r="BI56" s="665"/>
      <c r="BJ56" s="665"/>
      <c r="BK56" s="665"/>
      <c r="BL56" s="665"/>
      <c r="BM56" s="665"/>
      <c r="BN56" s="665"/>
      <c r="BO56" s="665"/>
      <c r="BP56" s="665"/>
      <c r="BQ56" s="665"/>
      <c r="BR56" s="665"/>
      <c r="BS56" s="665"/>
      <c r="BT56" s="634" t="s">
        <v>54</v>
      </c>
      <c r="CI56" s="411">
        <f>IF(RRImmédiat!$G56&gt;1.2,1,0)</f>
        <v>0</v>
      </c>
    </row>
    <row r="57" spans="1:89">
      <c r="A57" s="419" t="s">
        <v>1155</v>
      </c>
      <c r="B57" s="647" t="str">
        <f>AUTOQUESTIONNAIRE!D57</f>
        <v>Au cours des deux dernières années, avez-vous passé un scanner abdominal ou une échographie abdominale ?  (non=0, oui=1)</v>
      </c>
      <c r="C57" s="401">
        <f>AUTOQUESTIONNAIRE!G57</f>
        <v>1</v>
      </c>
      <c r="F57" s="664"/>
      <c r="G57" s="664"/>
      <c r="H57" s="664"/>
      <c r="I57" s="664"/>
      <c r="J57" s="664"/>
      <c r="K57" s="664"/>
      <c r="L57" s="664"/>
      <c r="M57" s="664"/>
      <c r="N57" s="664"/>
      <c r="O57" s="664"/>
      <c r="P57" s="664"/>
      <c r="Q57" s="664"/>
      <c r="R57" s="664"/>
      <c r="S57" s="664"/>
      <c r="T57" s="664"/>
      <c r="U57" s="664"/>
      <c r="V57" s="664"/>
      <c r="W57" s="664"/>
      <c r="X57" s="664"/>
      <c r="Y57" s="954"/>
      <c r="Z57" s="664"/>
      <c r="AA57" s="664"/>
      <c r="AB57" s="665"/>
      <c r="AC57" s="665"/>
      <c r="AD57" s="665"/>
      <c r="AE57" s="665"/>
      <c r="AF57" s="665"/>
      <c r="AG57" s="665"/>
      <c r="AH57" s="665"/>
      <c r="AI57" s="665"/>
      <c r="AJ57" s="665"/>
      <c r="AK57" s="665"/>
      <c r="AL57" s="665"/>
      <c r="AM57" s="664"/>
      <c r="AN57" s="664"/>
      <c r="AO57" s="664"/>
      <c r="AP57" s="664"/>
      <c r="AQ57" s="664"/>
      <c r="AR57" s="664"/>
      <c r="AS57" s="664"/>
      <c r="AT57" s="664"/>
      <c r="AU57" s="664"/>
      <c r="AV57" s="664"/>
      <c r="AW57" s="664"/>
      <c r="AX57" s="664"/>
      <c r="AY57" s="664"/>
      <c r="AZ57" s="664"/>
      <c r="BA57" s="665"/>
      <c r="BB57" s="665"/>
      <c r="BC57" s="665"/>
      <c r="BD57" s="665"/>
      <c r="BE57" s="665"/>
      <c r="BF57" s="665"/>
      <c r="BG57" s="665"/>
      <c r="BH57" s="665"/>
      <c r="BI57" s="665"/>
      <c r="BJ57" s="665"/>
      <c r="BK57" s="665"/>
      <c r="BL57" s="665"/>
      <c r="BM57" s="665"/>
      <c r="BN57" s="665"/>
      <c r="BO57" s="664"/>
      <c r="BP57" s="665"/>
      <c r="BQ57" s="665"/>
      <c r="BR57" s="665"/>
      <c r="BS57" s="665"/>
      <c r="BT57" s="635" t="s">
        <v>905</v>
      </c>
      <c r="BU57" s="411">
        <f>IF(RRImmédiat!$G57&gt;1.2,1,0)</f>
        <v>0</v>
      </c>
      <c r="BV57" s="411">
        <f>IF(RRImmédiat!$G57&gt;1.2,1,0)</f>
        <v>0</v>
      </c>
      <c r="BW57" s="411">
        <f>IF(RRImmédiat!$G57&gt;1.2,1,0)</f>
        <v>0</v>
      </c>
    </row>
    <row r="58" spans="1:89">
      <c r="A58" s="419" t="s">
        <v>1155</v>
      </c>
      <c r="B58" s="647" t="str">
        <f>AUTOQUESTIONNAIRE!D58</f>
        <v>Au cours des deux dernières années, avez-vous effectué un dépistage du cancer colorectal (coloscopie ou test de sang dans les selles) ? (non=0, oui=1)</v>
      </c>
      <c r="C58" s="401">
        <f>AUTOQUESTIONNAIRE!G58</f>
        <v>1</v>
      </c>
      <c r="F58" s="664"/>
      <c r="G58" s="664"/>
      <c r="H58" s="664"/>
      <c r="I58" s="664"/>
      <c r="J58" s="664"/>
      <c r="K58" s="664"/>
      <c r="L58" s="664"/>
      <c r="M58" s="664"/>
      <c r="N58" s="664"/>
      <c r="O58" s="664"/>
      <c r="P58" s="664"/>
      <c r="Q58" s="664"/>
      <c r="R58" s="664"/>
      <c r="S58" s="664"/>
      <c r="T58" s="664"/>
      <c r="U58" s="664"/>
      <c r="V58" s="664"/>
      <c r="W58" s="664"/>
      <c r="X58" s="664"/>
      <c r="Y58" s="954"/>
      <c r="Z58" s="664"/>
      <c r="AA58" s="664"/>
      <c r="AB58" s="665"/>
      <c r="AC58" s="665"/>
      <c r="AD58" s="665"/>
      <c r="AE58" s="665"/>
      <c r="AF58" s="665"/>
      <c r="AG58" s="665"/>
      <c r="AH58" s="665"/>
      <c r="AI58" s="665"/>
      <c r="AJ58" s="665"/>
      <c r="AK58" s="664"/>
      <c r="AL58" s="665"/>
      <c r="AM58" s="664"/>
      <c r="AN58" s="664"/>
      <c r="AO58" s="664"/>
      <c r="AP58" s="664"/>
      <c r="AQ58" s="664"/>
      <c r="AR58" s="664"/>
      <c r="AS58" s="664"/>
      <c r="AT58" s="664"/>
      <c r="AU58" s="664"/>
      <c r="AV58" s="664"/>
      <c r="AW58" s="664"/>
      <c r="AX58" s="664"/>
      <c r="AY58" s="664"/>
      <c r="AZ58" s="664"/>
      <c r="BA58" s="665"/>
      <c r="BB58" s="665"/>
      <c r="BC58" s="665"/>
      <c r="BD58" s="665"/>
      <c r="BE58" s="665"/>
      <c r="BF58" s="665"/>
      <c r="BG58" s="665"/>
      <c r="BH58" s="665"/>
      <c r="BI58" s="665"/>
      <c r="BJ58" s="665"/>
      <c r="BK58" s="665"/>
      <c r="BL58" s="665"/>
      <c r="BM58" s="665"/>
      <c r="BN58" s="665"/>
      <c r="BO58" s="665"/>
      <c r="BP58" s="665"/>
      <c r="BQ58" s="665"/>
      <c r="BR58" s="665"/>
      <c r="BS58" s="665"/>
      <c r="BT58" s="729" t="s">
        <v>906</v>
      </c>
      <c r="CD58" s="411">
        <f>IF(RRImmédiat!$G58&gt;1.2,1,0)</f>
        <v>0</v>
      </c>
    </row>
    <row r="59" spans="1:89">
      <c r="A59" s="419" t="s">
        <v>1155</v>
      </c>
      <c r="B59" s="647" t="str">
        <f>AUTOQUESTIONNAIRE!D59</f>
        <v>Avez-vous consulté un dentiste au cours des 12 derniers mois ? (non=0, oui=1)</v>
      </c>
      <c r="C59" s="401">
        <f>AUTOQUESTIONNAIRE!G59</f>
        <v>1</v>
      </c>
      <c r="F59" s="664"/>
      <c r="G59" s="664"/>
      <c r="H59" s="664"/>
      <c r="I59" s="664"/>
      <c r="J59" s="664"/>
      <c r="K59" s="664"/>
      <c r="L59" s="664"/>
      <c r="M59" s="664"/>
      <c r="N59" s="664"/>
      <c r="O59" s="664"/>
      <c r="P59" s="664"/>
      <c r="Q59" s="664"/>
      <c r="R59" s="664"/>
      <c r="S59" s="664"/>
      <c r="T59" s="664"/>
      <c r="U59" s="664"/>
      <c r="V59" s="664"/>
      <c r="W59" s="664"/>
      <c r="X59" s="664"/>
      <c r="Y59" s="954"/>
      <c r="Z59" s="664"/>
      <c r="AA59" s="664"/>
      <c r="AB59" s="665"/>
      <c r="AC59" s="665"/>
      <c r="AD59" s="665"/>
      <c r="AE59" s="665"/>
      <c r="AF59" s="665"/>
      <c r="AG59" s="665"/>
      <c r="AH59" s="665"/>
      <c r="AI59" s="665"/>
      <c r="AJ59" s="665"/>
      <c r="AK59" s="665">
        <f>C59</f>
        <v>1</v>
      </c>
      <c r="AL59" s="665"/>
      <c r="AM59" s="664"/>
      <c r="AN59" s="664"/>
      <c r="AO59" s="664"/>
      <c r="AP59" s="664"/>
      <c r="AQ59" s="664"/>
      <c r="AR59" s="664"/>
      <c r="AS59" s="664"/>
      <c r="AT59" s="664"/>
      <c r="AU59" s="664"/>
      <c r="AV59" s="664"/>
      <c r="AW59" s="664"/>
      <c r="AX59" s="664"/>
      <c r="AY59" s="664"/>
      <c r="AZ59" s="664"/>
      <c r="BA59" s="665"/>
      <c r="BB59" s="665"/>
      <c r="BC59" s="665"/>
      <c r="BD59" s="665"/>
      <c r="BE59" s="665"/>
      <c r="BF59" s="665"/>
      <c r="BG59" s="665"/>
      <c r="BH59" s="665"/>
      <c r="BI59" s="665"/>
      <c r="BJ59" s="665"/>
      <c r="BK59" s="665"/>
      <c r="BL59" s="665"/>
      <c r="BM59" s="665"/>
      <c r="BN59" s="665"/>
      <c r="BO59" s="665"/>
      <c r="BP59" s="665"/>
      <c r="BQ59" s="665"/>
      <c r="BR59" s="665"/>
      <c r="BS59" s="665"/>
      <c r="BT59" s="729" t="s">
        <v>2055</v>
      </c>
      <c r="CD59" s="411">
        <f>IF(RRImmédiat!$G59&gt;1.2,1,0)</f>
        <v>0</v>
      </c>
    </row>
    <row r="60" spans="1:89">
      <c r="A60" s="419" t="s">
        <v>1155</v>
      </c>
      <c r="B60" s="647" t="str">
        <f>AUTOQUESTIONNAIRE!D60</f>
        <v>Avez-vous réalisé une analyse de sang ou d’urine au cours des 12 derniers mois ? (non=0, oui=1)</v>
      </c>
      <c r="C60" s="401">
        <f>AUTOQUESTIONNAIRE!G60</f>
        <v>0</v>
      </c>
      <c r="F60" s="664"/>
      <c r="G60" s="664"/>
      <c r="H60" s="664"/>
      <c r="I60" s="664"/>
      <c r="J60" s="664"/>
      <c r="K60" s="664"/>
      <c r="L60" s="664"/>
      <c r="M60" s="664"/>
      <c r="N60" s="664"/>
      <c r="O60" s="664"/>
      <c r="P60" s="664"/>
      <c r="Q60" s="664"/>
      <c r="R60" s="664"/>
      <c r="S60" s="664"/>
      <c r="T60" s="664"/>
      <c r="U60" s="664"/>
      <c r="V60" s="664"/>
      <c r="W60" s="664"/>
      <c r="X60" s="664"/>
      <c r="Y60" s="954"/>
      <c r="Z60" s="664"/>
      <c r="AA60" s="664"/>
      <c r="AB60" s="665"/>
      <c r="AC60" s="665"/>
      <c r="AD60" s="665"/>
      <c r="AE60" s="665"/>
      <c r="AF60" s="665"/>
      <c r="AG60" s="665"/>
      <c r="AH60" s="665"/>
      <c r="AI60" s="665"/>
      <c r="AJ60" s="665"/>
      <c r="AK60" s="665"/>
      <c r="AL60" s="665"/>
      <c r="AM60" s="664"/>
      <c r="AN60" s="664"/>
      <c r="AO60" s="664"/>
      <c r="AP60" s="664"/>
      <c r="AQ60" s="664"/>
      <c r="AR60" s="664"/>
      <c r="AS60" s="664"/>
      <c r="AT60" s="664"/>
      <c r="AU60" s="664"/>
      <c r="AV60" s="664"/>
      <c r="AW60" s="664"/>
      <c r="AX60" s="664"/>
      <c r="AY60" s="664"/>
      <c r="AZ60" s="664"/>
      <c r="BA60" s="665"/>
      <c r="BB60" s="665"/>
      <c r="BC60" s="665"/>
      <c r="BD60" s="665"/>
      <c r="BE60" s="665"/>
      <c r="BF60" s="665"/>
      <c r="BG60" s="665"/>
      <c r="BH60" s="665"/>
      <c r="BI60" s="665"/>
      <c r="BJ60" s="665"/>
      <c r="BK60" s="665"/>
      <c r="BL60" s="665"/>
      <c r="BM60" s="665"/>
      <c r="BN60" s="665"/>
      <c r="BO60" s="665"/>
      <c r="BP60" s="665"/>
      <c r="BQ60" s="665"/>
      <c r="BR60" s="665"/>
      <c r="BS60" s="665"/>
      <c r="BT60" s="635" t="s">
        <v>1692</v>
      </c>
      <c r="CD60" s="411">
        <f>IF(RRImmédiat!$G60&gt;1.2,1,0)</f>
        <v>0</v>
      </c>
    </row>
    <row r="61" spans="1:89">
      <c r="A61" s="419" t="s">
        <v>1155</v>
      </c>
      <c r="B61" s="647" t="str">
        <f>AUTOQUESTIONNAIRE!D61</f>
        <v>Avez-vous déjà réalisé un test de dépistage d’infections sexuellement transmissibles au cours des 12 derniers mois? (non=0, oui=1)</v>
      </c>
      <c r="C61" s="401">
        <f>AUTOQUESTIONNAIRE!G52</f>
        <v>1</v>
      </c>
      <c r="F61" s="664"/>
      <c r="G61" s="664"/>
      <c r="H61" s="664"/>
      <c r="I61" s="664"/>
      <c r="J61" s="664"/>
      <c r="K61" s="664"/>
      <c r="L61" s="664"/>
      <c r="M61" s="664"/>
      <c r="N61" s="664"/>
      <c r="O61" s="664"/>
      <c r="P61" s="664"/>
      <c r="Q61" s="664"/>
      <c r="R61" s="664"/>
      <c r="S61" s="664"/>
      <c r="T61" s="664"/>
      <c r="U61" s="664"/>
      <c r="V61" s="664"/>
      <c r="W61" s="664"/>
      <c r="X61" s="664"/>
      <c r="Y61" s="954"/>
      <c r="Z61" s="664"/>
      <c r="AA61" s="664"/>
      <c r="AB61" s="665"/>
      <c r="AC61" s="665"/>
      <c r="AD61" s="665"/>
      <c r="AE61" s="665"/>
      <c r="AF61" s="665"/>
      <c r="AG61" s="665"/>
      <c r="AH61" s="665"/>
      <c r="AI61" s="665"/>
      <c r="AJ61" s="665"/>
      <c r="AK61" s="665"/>
      <c r="AL61" s="665"/>
      <c r="AM61" s="664"/>
      <c r="AN61" s="664"/>
      <c r="AO61" s="664"/>
      <c r="AP61" s="664"/>
      <c r="AQ61" s="664"/>
      <c r="AR61" s="664"/>
      <c r="AS61" s="664"/>
      <c r="AT61" s="664"/>
      <c r="AU61" s="664"/>
      <c r="AV61" s="664"/>
      <c r="AW61" s="664"/>
      <c r="AX61" s="664"/>
      <c r="AY61" s="664"/>
      <c r="AZ61" s="664"/>
      <c r="BA61" s="665"/>
      <c r="BB61" s="665"/>
      <c r="BC61" s="665"/>
      <c r="BD61" s="665"/>
      <c r="BE61" s="665"/>
      <c r="BF61" s="665"/>
      <c r="BG61" s="665"/>
      <c r="BH61" s="665"/>
      <c r="BI61" s="665"/>
      <c r="BJ61" s="665"/>
      <c r="BK61" s="665"/>
      <c r="BL61" s="665"/>
      <c r="BM61" s="665"/>
      <c r="BN61" s="665"/>
      <c r="BO61" s="665"/>
      <c r="BP61" s="665"/>
      <c r="BQ61" s="665"/>
      <c r="BR61" s="665"/>
      <c r="BS61" s="665"/>
      <c r="BT61" s="635" t="s">
        <v>2056</v>
      </c>
      <c r="CH61" s="411">
        <f>IF(RRImmédiat!$G61&gt;1.2,1,0)</f>
        <v>0</v>
      </c>
    </row>
    <row r="62" spans="1:89">
      <c r="A62" s="419" t="s">
        <v>1155</v>
      </c>
      <c r="B62" s="647" t="str">
        <f>AUTOQUESTIONNAIRE!D62</f>
        <v>Avez-vous été vacciné(e) contre la grippe cette année ou l’année dernière ? (non=0, oui=1)</v>
      </c>
      <c r="C62" s="401">
        <f>AUTOQUESTIONNAIRE!G62</f>
        <v>1</v>
      </c>
      <c r="F62" s="664"/>
      <c r="G62" s="664"/>
      <c r="H62" s="664"/>
      <c r="I62" s="664"/>
      <c r="J62" s="664"/>
      <c r="K62" s="664"/>
      <c r="L62" s="664"/>
      <c r="M62" s="664"/>
      <c r="N62" s="664"/>
      <c r="O62" s="664"/>
      <c r="P62" s="664"/>
      <c r="Q62" s="664"/>
      <c r="R62" s="664"/>
      <c r="S62" s="664"/>
      <c r="T62" s="664"/>
      <c r="U62" s="664"/>
      <c r="V62" s="664"/>
      <c r="W62" s="664"/>
      <c r="X62" s="664"/>
      <c r="Y62" s="954"/>
      <c r="Z62" s="664"/>
      <c r="AA62" s="664"/>
      <c r="AB62" s="665"/>
      <c r="AC62" s="665"/>
      <c r="AD62" s="665"/>
      <c r="AE62" s="665"/>
      <c r="AF62" s="665"/>
      <c r="AG62" s="665"/>
      <c r="AH62" s="665"/>
      <c r="AI62" s="665"/>
      <c r="AJ62" s="665"/>
      <c r="AK62" s="665"/>
      <c r="AL62" s="665"/>
      <c r="AM62" s="664"/>
      <c r="AN62" s="664"/>
      <c r="AO62" s="664"/>
      <c r="AP62" s="664"/>
      <c r="AQ62" s="664"/>
      <c r="AR62" s="664"/>
      <c r="AS62" s="664"/>
      <c r="AT62" s="664"/>
      <c r="AU62" s="664"/>
      <c r="AV62" s="664"/>
      <c r="AW62" s="664"/>
      <c r="AX62" s="664"/>
      <c r="AY62" s="664"/>
      <c r="AZ62" s="664"/>
      <c r="BA62" s="665"/>
      <c r="BB62" s="665"/>
      <c r="BC62" s="665"/>
      <c r="BD62" s="664">
        <f>$C62</f>
        <v>1</v>
      </c>
      <c r="BE62" s="664"/>
      <c r="BF62" s="664"/>
      <c r="BG62" s="665"/>
      <c r="BH62" s="665"/>
      <c r="BI62" s="665"/>
      <c r="BJ62" s="665"/>
      <c r="BK62" s="665"/>
      <c r="BL62" s="665"/>
      <c r="BM62" s="665"/>
      <c r="BN62" s="665"/>
      <c r="BO62" s="665"/>
      <c r="BP62" s="665"/>
      <c r="BQ62" s="665"/>
      <c r="BR62" s="665"/>
      <c r="BS62" s="665"/>
      <c r="BT62" s="635" t="s">
        <v>799</v>
      </c>
      <c r="CK62" s="411">
        <f>IF(RRImmédiat!$G62&gt;1.2,1,0)</f>
        <v>0</v>
      </c>
    </row>
    <row r="63" spans="1:89">
      <c r="A63" s="419" t="s">
        <v>1155</v>
      </c>
      <c r="B63" s="647" t="str">
        <f>AUTOQUESTIONNAIRE!D63</f>
        <v>Avez-vous reçu le vaccin contre le zona ?  (oui=1, non=0, ne sais pas=2)</v>
      </c>
      <c r="C63" s="401">
        <f>AUTOQUESTIONNAIRE!G63</f>
        <v>1</v>
      </c>
      <c r="F63" s="664"/>
      <c r="G63" s="664"/>
      <c r="H63" s="664"/>
      <c r="I63" s="664"/>
      <c r="J63" s="664"/>
      <c r="K63" s="664"/>
      <c r="L63" s="664"/>
      <c r="M63" s="664"/>
      <c r="N63" s="664"/>
      <c r="O63" s="664"/>
      <c r="P63" s="664"/>
      <c r="Q63" s="664"/>
      <c r="R63" s="664"/>
      <c r="S63" s="664"/>
      <c r="T63" s="664"/>
      <c r="U63" s="664"/>
      <c r="V63" s="664"/>
      <c r="W63" s="664"/>
      <c r="X63" s="664"/>
      <c r="Y63" s="954"/>
      <c r="Z63" s="664"/>
      <c r="AA63" s="664"/>
      <c r="AB63" s="665"/>
      <c r="AC63" s="665"/>
      <c r="AD63" s="665"/>
      <c r="AE63" s="665"/>
      <c r="AF63" s="665"/>
      <c r="AG63" s="665"/>
      <c r="AH63" s="665"/>
      <c r="AI63" s="665"/>
      <c r="AJ63" s="665"/>
      <c r="AK63" s="665"/>
      <c r="AL63" s="665"/>
      <c r="AM63" s="664"/>
      <c r="AN63" s="664"/>
      <c r="AO63" s="664"/>
      <c r="AP63" s="664"/>
      <c r="AQ63" s="664"/>
      <c r="AR63" s="664"/>
      <c r="AS63" s="664"/>
      <c r="AT63" s="664"/>
      <c r="AU63" s="664"/>
      <c r="AV63" s="664"/>
      <c r="AW63" s="664"/>
      <c r="AX63" s="664"/>
      <c r="AY63" s="664"/>
      <c r="AZ63" s="664"/>
      <c r="BA63" s="665"/>
      <c r="BB63" s="664">
        <f>$C63</f>
        <v>1</v>
      </c>
      <c r="BC63" s="665"/>
      <c r="BD63" s="665"/>
      <c r="BE63" s="665"/>
      <c r="BF63" s="665"/>
      <c r="BG63" s="665"/>
      <c r="BH63" s="665"/>
      <c r="BI63" s="665"/>
      <c r="BJ63" s="665"/>
      <c r="BK63" s="665"/>
      <c r="BL63" s="665"/>
      <c r="BM63" s="665"/>
      <c r="BN63" s="665"/>
      <c r="BO63" s="665"/>
      <c r="BP63" s="665"/>
      <c r="BQ63" s="665"/>
      <c r="BR63" s="665"/>
      <c r="BS63" s="665"/>
      <c r="BT63" s="635" t="s">
        <v>2057</v>
      </c>
      <c r="CK63" s="411">
        <f>IF(RRImmédiat!$G61&gt;1.2,1,0)</f>
        <v>0</v>
      </c>
    </row>
    <row r="64" spans="1:89">
      <c r="A64" s="419" t="s">
        <v>1155</v>
      </c>
      <c r="B64" s="647" t="str">
        <f>AUTOQUESTIONNAIRE!D64</f>
        <v>Êtes-vous à jour dans vos vaccinations et rappels contre le tétanos (un rappel est recommandé tous les 10 ans) ?  (oui=1, non=0, ne sais pas=2)</v>
      </c>
      <c r="C64" s="401">
        <f>AUTOQUESTIONNAIRE!G64</f>
        <v>1</v>
      </c>
      <c r="F64" s="664"/>
      <c r="G64" s="664"/>
      <c r="H64" s="664"/>
      <c r="I64" s="664"/>
      <c r="J64" s="664"/>
      <c r="K64" s="664"/>
      <c r="L64" s="664"/>
      <c r="M64" s="664"/>
      <c r="N64" s="664"/>
      <c r="O64" s="664"/>
      <c r="P64" s="664"/>
      <c r="Q64" s="664"/>
      <c r="R64" s="664"/>
      <c r="S64" s="664"/>
      <c r="T64" s="664"/>
      <c r="U64" s="664"/>
      <c r="V64" s="664"/>
      <c r="W64" s="664"/>
      <c r="X64" s="664"/>
      <c r="Y64" s="954"/>
      <c r="Z64" s="664"/>
      <c r="AA64" s="664"/>
      <c r="AB64" s="665"/>
      <c r="AC64" s="665"/>
      <c r="AD64" s="665"/>
      <c r="AE64" s="665"/>
      <c r="AF64" s="665"/>
      <c r="AG64" s="665"/>
      <c r="AH64" s="665"/>
      <c r="AI64" s="665"/>
      <c r="AJ64" s="665"/>
      <c r="AK64" s="665"/>
      <c r="AL64" s="665"/>
      <c r="AM64" s="664"/>
      <c r="AN64" s="664"/>
      <c r="AO64" s="664"/>
      <c r="AP64" s="664"/>
      <c r="AQ64" s="664"/>
      <c r="AR64" s="664"/>
      <c r="AS64" s="664"/>
      <c r="AT64" s="664"/>
      <c r="AU64" s="664"/>
      <c r="AV64" s="664"/>
      <c r="AW64" s="664"/>
      <c r="AX64" s="664"/>
      <c r="AY64" s="664"/>
      <c r="AZ64" s="664"/>
      <c r="BA64" s="665"/>
      <c r="BB64" s="665"/>
      <c r="BC64" s="664">
        <f>$C64</f>
        <v>1</v>
      </c>
      <c r="BD64" s="665"/>
      <c r="BE64" s="665"/>
      <c r="BF64" s="665"/>
      <c r="BG64" s="665"/>
      <c r="BH64" s="665"/>
      <c r="BI64" s="665"/>
      <c r="BJ64" s="665"/>
      <c r="BK64" s="665"/>
      <c r="BL64" s="665"/>
      <c r="BM64" s="665"/>
      <c r="BN64" s="665"/>
      <c r="BO64" s="665"/>
      <c r="BP64" s="665"/>
      <c r="BQ64" s="665"/>
      <c r="BR64" s="665"/>
      <c r="BS64" s="665"/>
      <c r="BT64" s="635" t="s">
        <v>2061</v>
      </c>
    </row>
    <row r="65" spans="1:90">
      <c r="A65" s="419" t="s">
        <v>1155</v>
      </c>
      <c r="B65" s="647" t="str">
        <f>AUTOQUESTIONNAIRE!D65</f>
        <v>Avez-vous consulté un gynécologue ou un urologue au cours des 12 derniers mois ? (non=0, oui=1)</v>
      </c>
      <c r="C65" s="401">
        <f>AUTOQUESTIONNAIRE!G65</f>
        <v>1</v>
      </c>
      <c r="F65" s="664"/>
      <c r="G65" s="664"/>
      <c r="H65" s="664"/>
      <c r="I65" s="664"/>
      <c r="J65" s="664"/>
      <c r="K65" s="664"/>
      <c r="L65" s="664"/>
      <c r="M65" s="664"/>
      <c r="N65" s="664"/>
      <c r="O65" s="664"/>
      <c r="P65" s="664"/>
      <c r="Q65" s="664"/>
      <c r="R65" s="664"/>
      <c r="S65" s="664"/>
      <c r="T65" s="664"/>
      <c r="U65" s="664"/>
      <c r="V65" s="664"/>
      <c r="W65" s="664"/>
      <c r="X65" s="664"/>
      <c r="Y65" s="954"/>
      <c r="Z65" s="664"/>
      <c r="AA65" s="664"/>
      <c r="AB65" s="665"/>
      <c r="AC65" s="665"/>
      <c r="AD65" s="665"/>
      <c r="AE65" s="665"/>
      <c r="AF65" s="665"/>
      <c r="AG65" s="665"/>
      <c r="AH65" s="665"/>
      <c r="AI65" s="665"/>
      <c r="AJ65" s="665"/>
      <c r="AK65" s="665"/>
      <c r="AL65" s="665"/>
      <c r="AM65" s="664"/>
      <c r="AN65" s="664"/>
      <c r="AO65" s="664"/>
      <c r="AP65" s="664">
        <f>C65</f>
        <v>1</v>
      </c>
      <c r="AQ65" s="664"/>
      <c r="AR65" s="664"/>
      <c r="AS65" s="664"/>
      <c r="AT65" s="664"/>
      <c r="AU65" s="664"/>
      <c r="AV65" s="664"/>
      <c r="AW65" s="664"/>
      <c r="AX65" s="664"/>
      <c r="AY65" s="664"/>
      <c r="AZ65" s="664"/>
      <c r="BA65" s="665"/>
      <c r="BB65" s="665"/>
      <c r="BC65" s="665"/>
      <c r="BD65" s="665"/>
      <c r="BE65" s="665"/>
      <c r="BF65" s="665"/>
      <c r="BG65" s="665"/>
      <c r="BH65" s="665"/>
      <c r="BI65" s="665"/>
      <c r="BJ65" s="665"/>
      <c r="BK65" s="665"/>
      <c r="BL65" s="665"/>
      <c r="BM65" s="665"/>
      <c r="BN65" s="665"/>
      <c r="BO65" s="665"/>
      <c r="BP65" s="665"/>
      <c r="BQ65" s="665"/>
      <c r="BR65" s="665"/>
      <c r="BS65" s="665"/>
      <c r="BT65" s="635" t="s">
        <v>2060</v>
      </c>
    </row>
    <row r="66" spans="1:90">
      <c r="A66" s="419" t="s">
        <v>1155</v>
      </c>
      <c r="B66" s="647" t="str">
        <f>AUTOQUESTIONNAIRE!D66</f>
        <v>Avez-vous été vacciné(e) contre l’hépatite B ?  (oui=1, non=0, ne sais pas=2)</v>
      </c>
      <c r="C66" s="401">
        <f>AUTOQUESTIONNAIRE!G66</f>
        <v>0</v>
      </c>
      <c r="F66" s="445"/>
      <c r="G66" s="445"/>
      <c r="H66" s="445"/>
      <c r="I66" s="445"/>
      <c r="J66" s="445"/>
      <c r="K66" s="445"/>
      <c r="L66" s="445"/>
      <c r="M66" s="445"/>
      <c r="N66" s="445"/>
      <c r="O66" s="445"/>
      <c r="P66" s="445"/>
      <c r="Q66" s="445"/>
      <c r="R66" s="445"/>
      <c r="S66" s="445"/>
      <c r="T66" s="445"/>
      <c r="U66" s="445"/>
      <c r="V66" s="445"/>
      <c r="W66" s="445"/>
      <c r="X66" s="445"/>
      <c r="Y66" s="954"/>
      <c r="Z66" s="445"/>
      <c r="AA66" s="445"/>
      <c r="BH66" s="664">
        <f t="shared" ref="BF66:BH67" si="22">$C66</f>
        <v>0</v>
      </c>
    </row>
    <row r="67" spans="1:90">
      <c r="A67" s="419" t="s">
        <v>1155</v>
      </c>
      <c r="B67" s="647" t="str">
        <f>AUTOQUESTIONNAIRE!D67</f>
        <v>Etes vous vacciné contre la COVID 19 l'an dernier ?  (oui=1, non=0)</v>
      </c>
      <c r="C67" s="401">
        <f>AUTOQUESTIONNAIRE!G67</f>
        <v>1</v>
      </c>
      <c r="F67" s="444"/>
      <c r="G67" s="444"/>
      <c r="H67" s="444"/>
      <c r="I67" s="444"/>
      <c r="J67" s="444"/>
      <c r="K67" s="444"/>
      <c r="L67" s="444"/>
      <c r="M67" s="444"/>
      <c r="N67" s="444"/>
      <c r="O67" s="444"/>
      <c r="P67" s="444"/>
      <c r="Q67" s="444"/>
      <c r="R67" s="444"/>
      <c r="S67" s="444"/>
      <c r="T67" s="444"/>
      <c r="U67" s="444"/>
      <c r="V67" s="444"/>
      <c r="W67" s="444"/>
      <c r="X67" s="444"/>
      <c r="Y67" s="953"/>
      <c r="Z67" s="444"/>
      <c r="AA67" s="444"/>
      <c r="AB67" s="444"/>
      <c r="AC67" s="444"/>
      <c r="AD67" s="444"/>
      <c r="AE67" s="444"/>
      <c r="AF67" s="444"/>
      <c r="AG67" s="444"/>
      <c r="AH67" s="444"/>
      <c r="AI67" s="666"/>
      <c r="AJ67" s="666"/>
      <c r="AK67" s="666"/>
      <c r="AL67" s="666"/>
      <c r="AM67" s="667"/>
      <c r="AN67" s="667"/>
      <c r="AO67" s="667"/>
      <c r="AP67" s="667"/>
      <c r="AQ67" s="667"/>
      <c r="AR67" s="667"/>
      <c r="AS67" s="667"/>
      <c r="AT67" s="667"/>
      <c r="AU67" s="667"/>
      <c r="AV67" s="667"/>
      <c r="AW67" s="667"/>
      <c r="AX67" s="668"/>
      <c r="AY67" s="668"/>
      <c r="AZ67" s="668"/>
      <c r="BA67" s="668"/>
      <c r="BB67" s="669"/>
      <c r="BC67" s="669"/>
      <c r="BD67" s="669"/>
      <c r="BE67" s="669"/>
      <c r="BF67" s="664">
        <f t="shared" si="22"/>
        <v>1</v>
      </c>
      <c r="BG67" s="669"/>
      <c r="BH67" s="669"/>
      <c r="BI67" s="669"/>
      <c r="BJ67" s="669"/>
      <c r="BK67" s="669"/>
      <c r="BL67" s="669"/>
      <c r="BM67" s="669"/>
      <c r="BN67" s="444"/>
      <c r="BO67" s="444"/>
      <c r="BP67" s="444"/>
      <c r="BQ67" s="444"/>
      <c r="BR67" s="444"/>
      <c r="BS67" s="444"/>
      <c r="BU67" s="828"/>
      <c r="BV67" s="828"/>
      <c r="BW67" s="828"/>
      <c r="BX67" s="828"/>
      <c r="BY67" s="828"/>
      <c r="BZ67" s="828"/>
      <c r="CA67" s="828"/>
      <c r="CB67" s="828"/>
      <c r="CC67" s="828"/>
      <c r="CD67" s="828"/>
      <c r="CE67" s="828"/>
    </row>
    <row r="68" spans="1:90">
      <c r="A68" s="403" t="s">
        <v>1046</v>
      </c>
      <c r="B68" s="648" t="str">
        <f>AUTOQUESTIONNAIRE!D68</f>
        <v>Fumez-vous des cigarettes, des cigares ou la pipe ?
(Non-fumeur·se "0" // Fumeur·se actuel·le ou ancien·ne  fumeur·se depuis moins de 5 ans "1" // Ancien·ne fumeur·se depuis plus de 5 ans "0")</v>
      </c>
      <c r="C68" s="401">
        <f>AUTOQUESTIONNAIRE!H68</f>
        <v>1</v>
      </c>
      <c r="F68" s="445">
        <f t="shared" ref="F68:AB78" si="23">$C68</f>
        <v>1</v>
      </c>
      <c r="G68" s="445"/>
      <c r="H68" s="445">
        <f t="shared" si="23"/>
        <v>1</v>
      </c>
      <c r="I68" s="445">
        <f t="shared" si="23"/>
        <v>1</v>
      </c>
      <c r="J68" s="445"/>
      <c r="K68" s="445">
        <f t="shared" si="23"/>
        <v>1</v>
      </c>
      <c r="L68" s="445">
        <f t="shared" si="23"/>
        <v>1</v>
      </c>
      <c r="M68" s="445">
        <f t="shared" si="23"/>
        <v>1</v>
      </c>
      <c r="N68" s="445"/>
      <c r="O68" s="445"/>
      <c r="P68" s="445">
        <f t="shared" si="23"/>
        <v>1</v>
      </c>
      <c r="Q68" s="445">
        <f t="shared" si="23"/>
        <v>1</v>
      </c>
      <c r="R68" s="445"/>
      <c r="S68" s="445">
        <f t="shared" si="23"/>
        <v>1</v>
      </c>
      <c r="T68" s="445"/>
      <c r="U68" s="445">
        <f t="shared" si="23"/>
        <v>1</v>
      </c>
      <c r="V68" s="445"/>
      <c r="W68" s="445">
        <f t="shared" si="23"/>
        <v>1</v>
      </c>
      <c r="X68" s="445"/>
      <c r="Y68" s="954"/>
      <c r="Z68" s="445"/>
      <c r="AA68" s="445">
        <f t="shared" si="5"/>
        <v>1</v>
      </c>
      <c r="AB68" s="445">
        <f t="shared" si="23"/>
        <v>1</v>
      </c>
      <c r="AC68" s="445"/>
      <c r="AD68" s="445"/>
      <c r="AE68" s="445"/>
      <c r="AI68" s="670"/>
      <c r="AJ68" s="445">
        <f t="shared" ref="AJ68" si="24">$C68</f>
        <v>1</v>
      </c>
      <c r="BQ68" s="445">
        <f t="shared" ref="BQ68" si="25">$C68</f>
        <v>1</v>
      </c>
    </row>
    <row r="69" spans="1:90">
      <c r="A69" s="403" t="s">
        <v>1046</v>
      </c>
      <c r="B69" s="648" t="str">
        <f>AUTOQUESTIONNAIRE!D69</f>
        <v>Avez-vous déjà exercé un métier exposé à des risques professionnels (par exemple : production de teintures, pigments, caoutchouc, plastiques, câbles, encres, explosifs, aluminium, médicaments, engrais ou pesticides ; substances radioactives ou rayonnements ionisants ; laboratoires d’analyses médicales, de radiologie ou de médecine nucléaire ; sidérurgie, cokerie, fonderie, industrie textile ou verrière ; ramonage ; manipulation d’huiles usées ou de solvants) ? (non=0, oui=1)</v>
      </c>
      <c r="C69" s="401">
        <f>AUTOQUESTIONNAIRE!H69</f>
        <v>1</v>
      </c>
      <c r="F69" s="445">
        <f t="shared" si="23"/>
        <v>1</v>
      </c>
      <c r="G69" s="445"/>
      <c r="H69" s="445"/>
      <c r="I69" s="445">
        <f t="shared" si="23"/>
        <v>1</v>
      </c>
      <c r="J69" s="445"/>
      <c r="K69" s="445"/>
      <c r="L69" s="445"/>
      <c r="M69" s="445"/>
      <c r="N69" s="445"/>
      <c r="O69" s="445"/>
      <c r="P69" s="445"/>
      <c r="Q69" s="445">
        <f t="shared" si="23"/>
        <v>1</v>
      </c>
      <c r="R69" s="445"/>
      <c r="S69" s="445"/>
      <c r="T69" s="445"/>
      <c r="U69" s="445"/>
      <c r="V69" s="445"/>
      <c r="W69" s="445"/>
      <c r="X69" s="445"/>
      <c r="Y69" s="954"/>
      <c r="Z69" s="445"/>
      <c r="AA69" s="445">
        <f t="shared" si="5"/>
        <v>1</v>
      </c>
      <c r="AB69" s="445">
        <f t="shared" si="23"/>
        <v>1</v>
      </c>
      <c r="AC69" s="445"/>
      <c r="AD69" s="445"/>
      <c r="AE69" s="445"/>
      <c r="AI69" s="670"/>
    </row>
    <row r="70" spans="1:90">
      <c r="A70" s="403" t="s">
        <v>1046</v>
      </c>
      <c r="B70" s="648" t="str">
        <f>AUTOQUESTIONNAIRE!D70</f>
        <v>Votre logement est-il humide ou affecté par des moisissures ? (non=0, oui=1)</v>
      </c>
      <c r="C70" s="401">
        <f>AUTOQUESTIONNAIRE!H70</f>
        <v>1</v>
      </c>
      <c r="F70" s="445">
        <f t="shared" si="23"/>
        <v>1</v>
      </c>
      <c r="G70" s="445"/>
      <c r="H70" s="445"/>
      <c r="I70" s="445">
        <f t="shared" si="23"/>
        <v>1</v>
      </c>
      <c r="J70" s="445"/>
      <c r="K70" s="445"/>
      <c r="L70" s="445"/>
      <c r="M70" s="445"/>
      <c r="N70" s="445"/>
      <c r="O70" s="445"/>
      <c r="P70" s="445"/>
      <c r="Q70" s="445"/>
      <c r="R70" s="445"/>
      <c r="S70" s="445"/>
      <c r="T70" s="445"/>
      <c r="U70" s="445"/>
      <c r="V70" s="445"/>
      <c r="W70" s="445"/>
      <c r="X70" s="445"/>
      <c r="Y70" s="954"/>
      <c r="Z70" s="445"/>
      <c r="AA70" s="445"/>
      <c r="AB70" s="445"/>
      <c r="AC70" s="445"/>
      <c r="AD70" s="445"/>
      <c r="AE70" s="445"/>
      <c r="AI70" s="670"/>
    </row>
    <row r="71" spans="1:90">
      <c r="A71" s="403" t="s">
        <v>1046</v>
      </c>
      <c r="B71" s="648" t="str">
        <f>AUTOQUESTIONNAIRE!D71</f>
        <v>Consommez-vous régulièrement plus d’un demi verre de vin ou plus de deux bières par jour ? (non=0, oui=1)</v>
      </c>
      <c r="C71" s="401">
        <f>AUTOQUESTIONNAIRE!H71</f>
        <v>1</v>
      </c>
      <c r="F71" s="445">
        <f t="shared" si="23"/>
        <v>1</v>
      </c>
      <c r="G71" s="445"/>
      <c r="H71" s="445">
        <f t="shared" si="23"/>
        <v>1</v>
      </c>
      <c r="I71" s="445">
        <f t="shared" si="23"/>
        <v>1</v>
      </c>
      <c r="J71" s="445">
        <f t="shared" si="23"/>
        <v>1</v>
      </c>
      <c r="K71" s="445">
        <f t="shared" si="23"/>
        <v>1</v>
      </c>
      <c r="L71" s="445">
        <f t="shared" si="23"/>
        <v>1</v>
      </c>
      <c r="M71" s="445">
        <f t="shared" si="23"/>
        <v>1</v>
      </c>
      <c r="N71" s="445"/>
      <c r="O71" s="445"/>
      <c r="P71" s="445"/>
      <c r="Q71" s="445">
        <f t="shared" si="23"/>
        <v>1</v>
      </c>
      <c r="R71" s="445"/>
      <c r="S71" s="445"/>
      <c r="T71" s="445"/>
      <c r="U71" s="445"/>
      <c r="V71" s="445"/>
      <c r="W71" s="445"/>
      <c r="X71" s="445"/>
      <c r="Y71" s="954"/>
      <c r="Z71" s="445"/>
      <c r="AA71" s="445">
        <f t="shared" si="5"/>
        <v>1</v>
      </c>
      <c r="AB71" s="445">
        <f t="shared" si="23"/>
        <v>1</v>
      </c>
      <c r="AC71" s="445"/>
      <c r="AD71" s="445"/>
      <c r="AE71" s="445"/>
      <c r="AF71" s="445">
        <f t="shared" ref="AF71" si="26">$C71</f>
        <v>1</v>
      </c>
      <c r="AI71" s="670"/>
    </row>
    <row r="72" spans="1:90">
      <c r="A72" s="403" t="s">
        <v>1046</v>
      </c>
      <c r="B72" s="648" t="str">
        <f>AUTOQUESTIONNAIRE!D72</f>
        <v>Pratiquez-vous une activité physique (par ex. : sport, marche rapide) pendant plus de 30 minutes, plus de deux fois par semaine, ou bien marchez-vous en moyenne plus de 8 000 pas par jour ? (non=0, oui=1)</v>
      </c>
      <c r="C72" s="401">
        <f>AUTOQUESTIONNAIRE!H72</f>
        <v>1</v>
      </c>
      <c r="F72" s="445"/>
      <c r="G72" s="445"/>
      <c r="H72" s="445"/>
      <c r="I72" s="445"/>
      <c r="J72" s="445"/>
      <c r="K72" s="445"/>
      <c r="L72" s="445"/>
      <c r="M72" s="445"/>
      <c r="N72" s="445"/>
      <c r="O72" s="445"/>
      <c r="P72" s="445"/>
      <c r="Q72" s="445"/>
      <c r="R72" s="445"/>
      <c r="S72" s="445"/>
      <c r="T72" s="445"/>
      <c r="U72" s="445"/>
      <c r="V72" s="445"/>
      <c r="W72" s="445"/>
      <c r="X72" s="445"/>
      <c r="Y72" s="954"/>
      <c r="Z72" s="445"/>
      <c r="AA72" s="445"/>
      <c r="AB72" s="445"/>
      <c r="AC72" s="445"/>
      <c r="AD72" s="445"/>
      <c r="AE72" s="445"/>
      <c r="AI72" s="670"/>
    </row>
    <row r="73" spans="1:90">
      <c r="A73" s="403" t="s">
        <v>1046</v>
      </c>
      <c r="B73" s="648" t="str">
        <f>AUTOQUESTIONNAIRE!D73</f>
        <v>Consommez-vous régulièrement au moins cinq portions de fruits et légumes par jour ? (Exemples : 1 tomate, 1 poignée de haricots verts, 1 bol de soupe, 2 abricots, 5 fraises) (non=0, oui=1)</v>
      </c>
      <c r="C73" s="401">
        <f>AUTOQUESTIONNAIRE!H73</f>
        <v>1</v>
      </c>
      <c r="F73" s="445"/>
      <c r="G73" s="445"/>
      <c r="H73" s="445"/>
      <c r="I73" s="445"/>
      <c r="J73" s="445"/>
      <c r="K73" s="445"/>
      <c r="L73" s="445"/>
      <c r="M73" s="445"/>
      <c r="N73" s="445"/>
      <c r="O73" s="445"/>
      <c r="P73" s="445"/>
      <c r="Q73" s="445"/>
      <c r="R73" s="445"/>
      <c r="S73" s="445"/>
      <c r="T73" s="445"/>
      <c r="U73" s="445"/>
      <c r="V73" s="445"/>
      <c r="W73" s="445"/>
      <c r="X73" s="445"/>
      <c r="Y73" s="954"/>
      <c r="Z73" s="445"/>
      <c r="AA73" s="445"/>
      <c r="AB73" s="445"/>
      <c r="AC73" s="445"/>
      <c r="AD73" s="445"/>
      <c r="AE73" s="445"/>
      <c r="AI73" s="670"/>
    </row>
    <row r="74" spans="1:90">
      <c r="A74" s="403" t="s">
        <v>1046</v>
      </c>
      <c r="B74" s="648" t="str">
        <f>AUTOQUESTIONNAIRE!D74</f>
        <v>Au cours des 12 derniers mois, avez-vous consommé des substances récréatives telles que du cannabis (haschisch, marijuana, weed, joints) ou d’autres drogues (par ex. : ecstasy, cocaïne, héroïne) ? (non=0, oui=1)</v>
      </c>
      <c r="C74" s="401">
        <f>AUTOQUESTIONNAIRE!H74</f>
        <v>1</v>
      </c>
      <c r="F74" s="445">
        <f t="shared" ref="F74:I77" si="27">$C74</f>
        <v>1</v>
      </c>
      <c r="G74" s="445"/>
      <c r="H74" s="445"/>
      <c r="I74" s="445">
        <f t="shared" si="27"/>
        <v>1</v>
      </c>
      <c r="J74" s="445"/>
      <c r="K74" s="445"/>
      <c r="L74" s="445"/>
      <c r="M74" s="445"/>
      <c r="N74" s="445"/>
      <c r="O74" s="445"/>
      <c r="P74" s="445"/>
      <c r="Q74" s="445"/>
      <c r="R74" s="445"/>
      <c r="S74" s="445"/>
      <c r="T74" s="445"/>
      <c r="U74" s="445"/>
      <c r="V74" s="445"/>
      <c r="W74" s="445"/>
      <c r="X74" s="445"/>
      <c r="Y74" s="954"/>
      <c r="Z74" s="445"/>
      <c r="AA74" s="445">
        <f t="shared" si="5"/>
        <v>1</v>
      </c>
      <c r="AB74" s="445">
        <f t="shared" si="23"/>
        <v>1</v>
      </c>
      <c r="AC74" s="445"/>
      <c r="AD74" s="445"/>
      <c r="AE74" s="445"/>
      <c r="AG74" s="445">
        <f t="shared" ref="AG74" si="28">$C74</f>
        <v>1</v>
      </c>
      <c r="AI74" s="670"/>
      <c r="AJ74" s="445">
        <f t="shared" ref="AJ74:AJ75" si="29">$C74</f>
        <v>1</v>
      </c>
    </row>
    <row r="75" spans="1:90">
      <c r="A75" s="403" t="s">
        <v>1046</v>
      </c>
      <c r="B75" s="648" t="str">
        <f>AUTOQUESTIONNAIRE!D75</f>
        <v>Au cours des 12 derniers mois, avez-vous misé de l’argent dans des jeux d’argent (par ex. : loto, poker, paris sportifs, courses hippiques) ? (non=0, oui=1)</v>
      </c>
      <c r="C75" s="401">
        <f>AUTOQUESTIONNAIRE!H75</f>
        <v>1</v>
      </c>
      <c r="F75" s="445"/>
      <c r="G75" s="445"/>
      <c r="H75" s="445"/>
      <c r="I75" s="445"/>
      <c r="J75" s="445"/>
      <c r="K75" s="445"/>
      <c r="L75" s="445"/>
      <c r="M75" s="445"/>
      <c r="N75" s="445"/>
      <c r="O75" s="445"/>
      <c r="P75" s="445"/>
      <c r="Q75" s="445"/>
      <c r="R75" s="445"/>
      <c r="S75" s="445"/>
      <c r="T75" s="445"/>
      <c r="U75" s="445"/>
      <c r="V75" s="445"/>
      <c r="W75" s="445"/>
      <c r="X75" s="445"/>
      <c r="Y75" s="954"/>
      <c r="Z75" s="445"/>
      <c r="AA75" s="445"/>
      <c r="AB75" s="445"/>
      <c r="AC75" s="445"/>
      <c r="AD75" s="445"/>
      <c r="AE75" s="445"/>
      <c r="AI75" s="670"/>
      <c r="AJ75" s="445">
        <f t="shared" si="29"/>
        <v>1</v>
      </c>
    </row>
    <row r="76" spans="1:90">
      <c r="A76" s="403" t="s">
        <v>1046</v>
      </c>
      <c r="B76" s="648" t="str">
        <f>AUTOQUESTIONNAIRE!D76</f>
        <v>Souhaitez-vous aborder votre sexualité ? (non=0, oui=1)</v>
      </c>
      <c r="C76" s="401">
        <f>AUTOQUESTIONNAIRE!H76</f>
        <v>0</v>
      </c>
      <c r="D76" s="940"/>
      <c r="E76" s="940"/>
      <c r="F76" s="941"/>
      <c r="G76" s="941"/>
      <c r="H76" s="941"/>
      <c r="I76" s="941"/>
      <c r="J76" s="941"/>
      <c r="K76" s="941"/>
      <c r="L76" s="941"/>
      <c r="M76" s="941"/>
      <c r="N76" s="941"/>
      <c r="O76" s="941"/>
      <c r="P76" s="941"/>
      <c r="Q76" s="941"/>
      <c r="R76" s="941"/>
      <c r="S76" s="941"/>
      <c r="T76" s="941"/>
      <c r="U76" s="941"/>
      <c r="V76" s="941"/>
      <c r="W76" s="941"/>
      <c r="X76" s="941"/>
      <c r="Y76" s="954"/>
      <c r="Z76" s="941"/>
      <c r="AA76" s="941"/>
      <c r="AB76" s="941"/>
      <c r="AC76" s="941"/>
      <c r="AD76" s="941"/>
      <c r="AE76" s="941"/>
      <c r="AF76" s="942"/>
      <c r="AG76" s="942"/>
      <c r="AH76" s="942"/>
      <c r="AI76" s="942"/>
      <c r="AJ76" s="942"/>
      <c r="AK76" s="942"/>
      <c r="AL76" s="942"/>
      <c r="AM76" s="941"/>
      <c r="AN76" s="941"/>
      <c r="AO76" s="941"/>
      <c r="AP76" s="941"/>
      <c r="AQ76" s="941"/>
      <c r="AR76" s="941"/>
      <c r="AS76" s="941"/>
      <c r="AT76" s="941"/>
      <c r="AU76" s="941"/>
      <c r="AV76" s="941"/>
      <c r="AW76" s="941"/>
      <c r="AX76" s="941"/>
      <c r="AY76" s="941"/>
      <c r="AZ76" s="941"/>
      <c r="BA76" s="942"/>
      <c r="BB76" s="942"/>
      <c r="BC76" s="942"/>
      <c r="BD76" s="942"/>
      <c r="BE76" s="942"/>
      <c r="BF76" s="942"/>
      <c r="BG76" s="942"/>
      <c r="BH76" s="942"/>
      <c r="BI76" s="942"/>
      <c r="BJ76" s="942"/>
      <c r="BK76" s="942"/>
      <c r="BL76" s="942"/>
      <c r="BM76" s="942"/>
      <c r="BN76" s="942"/>
      <c r="BO76" s="942"/>
      <c r="BP76" s="942"/>
      <c r="BQ76" s="942"/>
      <c r="BR76" s="942"/>
      <c r="BS76" s="942"/>
      <c r="BT76" s="943"/>
      <c r="BU76" s="940"/>
      <c r="BV76" s="940"/>
      <c r="BW76" s="940"/>
      <c r="BX76" s="940"/>
      <c r="BY76" s="940"/>
      <c r="BZ76" s="940"/>
      <c r="CA76" s="940"/>
      <c r="CB76" s="940"/>
      <c r="CC76" s="940"/>
      <c r="CD76" s="940"/>
      <c r="CE76" s="940"/>
      <c r="CF76" s="940"/>
      <c r="CG76" s="940"/>
      <c r="CH76" s="940"/>
      <c r="CI76" s="940"/>
      <c r="CJ76" s="940"/>
      <c r="CK76" s="940"/>
      <c r="CL76" s="940"/>
    </row>
    <row r="77" spans="1:90">
      <c r="A77" s="403" t="s">
        <v>1046</v>
      </c>
      <c r="B77" s="648" t="str">
        <f>AUTOQUESTIONNAIRE!D77</f>
        <v>Avez-vous eu plus d’un·e partenaire sexuel·le au cours des 12 derniers mois ? (non=0, oui=1)</v>
      </c>
      <c r="C77" s="401">
        <f>AUTOQUESTIONNAIRE!H77</f>
        <v>0</v>
      </c>
      <c r="F77" s="445">
        <f t="shared" si="27"/>
        <v>0</v>
      </c>
      <c r="G77" s="445"/>
      <c r="H77" s="445"/>
      <c r="I77" s="445">
        <f t="shared" si="27"/>
        <v>0</v>
      </c>
      <c r="J77" s="445"/>
      <c r="K77" s="445"/>
      <c r="L77" s="445"/>
      <c r="M77" s="445"/>
      <c r="N77" s="445"/>
      <c r="O77" s="445"/>
      <c r="P77" s="445"/>
      <c r="Q77" s="445"/>
      <c r="R77" s="445"/>
      <c r="S77" s="445"/>
      <c r="T77" s="445"/>
      <c r="U77" s="445">
        <f t="shared" si="23"/>
        <v>0</v>
      </c>
      <c r="V77" s="445"/>
      <c r="W77" s="445"/>
      <c r="X77" s="445">
        <f t="shared" si="23"/>
        <v>0</v>
      </c>
      <c r="Y77" s="954"/>
      <c r="Z77" s="445"/>
      <c r="AA77" s="445"/>
      <c r="AB77" s="445"/>
      <c r="AC77" s="445"/>
      <c r="AD77" s="445"/>
      <c r="AE77" s="445"/>
      <c r="AI77" s="670"/>
    </row>
    <row r="78" spans="1:90">
      <c r="A78" s="403" t="s">
        <v>1046</v>
      </c>
      <c r="B78" s="648" t="str">
        <f>AUTOQUESTIONNAIRE!D78</f>
        <v>Votre partenaire sexuel·le a-t-il/elle été diagnostiqué·e avec une infection sexuellement transmissible (par exemple : VIH, chlamydia, gonorrhée, syphilis) au cours des 12 derniers mois ? (non=0, oui=1)</v>
      </c>
      <c r="C78" s="401">
        <f>AUTOQUESTIONNAIRE!H78</f>
        <v>0</v>
      </c>
      <c r="F78" s="445">
        <f t="shared" ref="F78:I78" si="30">$C78</f>
        <v>0</v>
      </c>
      <c r="G78" s="445"/>
      <c r="H78" s="445"/>
      <c r="I78" s="445">
        <f t="shared" si="30"/>
        <v>0</v>
      </c>
      <c r="J78" s="445"/>
      <c r="K78" s="445"/>
      <c r="L78" s="445"/>
      <c r="M78" s="445"/>
      <c r="N78" s="445"/>
      <c r="O78" s="445"/>
      <c r="P78" s="445"/>
      <c r="Q78" s="445"/>
      <c r="R78" s="445"/>
      <c r="S78" s="445"/>
      <c r="T78" s="445"/>
      <c r="U78" s="445">
        <f t="shared" si="23"/>
        <v>0</v>
      </c>
      <c r="V78" s="445"/>
      <c r="W78" s="445"/>
      <c r="X78" s="445">
        <f t="shared" si="23"/>
        <v>0</v>
      </c>
      <c r="Y78" s="954"/>
      <c r="Z78" s="445"/>
      <c r="AA78" s="445"/>
      <c r="AB78" s="445"/>
      <c r="AC78" s="445"/>
      <c r="AD78" s="445"/>
      <c r="AE78" s="445"/>
      <c r="AI78" s="670"/>
    </row>
    <row r="79" spans="1:90">
      <c r="A79" s="403" t="s">
        <v>1046</v>
      </c>
      <c r="B79" s="949" t="str">
        <f>AUTOQUESTIONNAIRE!D79</f>
        <v>Avez-vous vécu plus d’un an dans un pays fortement ensoleillé ? (ex. : Afrique, Moyen-Orient, DOM-TOM, sud des États-Unis, Australie, etc.) (non=0, oui=1)</v>
      </c>
      <c r="C79" s="945"/>
      <c r="D79" s="420" t="s">
        <v>2745</v>
      </c>
      <c r="E79" s="420">
        <f>AUTOQUESTIONNAIRE!M79</f>
        <v>0</v>
      </c>
      <c r="F79" s="445"/>
      <c r="G79" s="445"/>
      <c r="H79" s="445"/>
      <c r="I79" s="445"/>
      <c r="J79" s="445"/>
      <c r="K79" s="445"/>
      <c r="L79" s="445"/>
      <c r="M79" s="445"/>
      <c r="N79" s="445"/>
      <c r="O79" s="445"/>
      <c r="P79" s="445"/>
      <c r="Q79" s="445"/>
      <c r="R79" s="445"/>
      <c r="S79" s="445"/>
      <c r="T79" s="445"/>
      <c r="U79" s="445"/>
      <c r="V79" s="445"/>
      <c r="W79" s="445"/>
      <c r="X79" s="445"/>
      <c r="Y79" s="445"/>
      <c r="Z79" s="445"/>
      <c r="AA79" s="445"/>
      <c r="AB79" s="445"/>
      <c r="AC79" s="445"/>
      <c r="AD79" s="445"/>
      <c r="AE79" s="445"/>
      <c r="AT79" s="445">
        <f>E79</f>
        <v>0</v>
      </c>
      <c r="BU79" s="400"/>
      <c r="BV79" s="400"/>
      <c r="BW79" s="400"/>
      <c r="BX79" s="400"/>
      <c r="BY79" s="400"/>
      <c r="BZ79" s="400"/>
      <c r="CA79" s="400"/>
      <c r="CB79" s="400"/>
      <c r="CC79" s="400"/>
      <c r="CD79" s="400"/>
      <c r="CE79" s="400"/>
      <c r="CF79" s="400"/>
      <c r="CG79" s="400"/>
      <c r="CH79" s="400"/>
      <c r="CI79" s="400"/>
      <c r="CJ79" s="400"/>
      <c r="CK79" s="400"/>
      <c r="CL79" s="400"/>
    </row>
    <row r="80" spans="1:90">
      <c r="A80" s="403" t="s">
        <v>1046</v>
      </c>
      <c r="B80" s="949" t="str">
        <f>AUTOQUESTIONNAIRE!D80</f>
        <v>Avez-vous plus de 20 grains de beauté au total sur les bras ? (non=0, oui=1)</v>
      </c>
      <c r="C80" s="945"/>
      <c r="D80" s="940"/>
      <c r="E80" s="940"/>
      <c r="F80" s="941"/>
      <c r="G80" s="941"/>
      <c r="H80" s="941"/>
      <c r="I80" s="941"/>
      <c r="J80" s="941"/>
      <c r="K80" s="941"/>
      <c r="L80" s="941"/>
      <c r="M80" s="941"/>
      <c r="N80" s="941"/>
      <c r="O80" s="941"/>
      <c r="P80" s="941"/>
      <c r="Q80" s="941"/>
      <c r="R80" s="941"/>
      <c r="S80" s="941"/>
      <c r="T80" s="941"/>
      <c r="U80" s="941"/>
      <c r="V80" s="941"/>
      <c r="W80" s="941"/>
      <c r="X80" s="941"/>
      <c r="Y80" s="941"/>
      <c r="Z80" s="941"/>
      <c r="AA80" s="941"/>
      <c r="AB80" s="941"/>
      <c r="AC80" s="941"/>
      <c r="AD80" s="941"/>
      <c r="AE80" s="941"/>
      <c r="AF80" s="942"/>
      <c r="AG80" s="942"/>
      <c r="AH80" s="942"/>
      <c r="AI80" s="942"/>
      <c r="AJ80" s="942"/>
      <c r="AK80" s="942"/>
      <c r="AL80" s="942"/>
      <c r="AM80" s="941"/>
      <c r="AN80" s="941"/>
      <c r="AO80" s="941"/>
      <c r="AP80" s="941"/>
      <c r="AQ80" s="941"/>
      <c r="AR80" s="941"/>
      <c r="AS80" s="941"/>
      <c r="AT80" s="941"/>
      <c r="AU80" s="941"/>
      <c r="AV80" s="941"/>
      <c r="AW80" s="941"/>
      <c r="AX80" s="941"/>
      <c r="AY80" s="941"/>
      <c r="AZ80" s="941"/>
      <c r="BA80" s="942"/>
      <c r="BB80" s="942"/>
      <c r="BC80" s="942"/>
      <c r="BD80" s="942"/>
      <c r="BE80" s="942"/>
      <c r="BF80" s="942"/>
      <c r="BG80" s="942"/>
      <c r="BH80" s="942"/>
      <c r="BI80" s="942"/>
      <c r="BJ80" s="942"/>
      <c r="BK80" s="942"/>
      <c r="BL80" s="942"/>
      <c r="BM80" s="942"/>
      <c r="BN80" s="942"/>
      <c r="BO80" s="942"/>
      <c r="BP80" s="942"/>
      <c r="BQ80" s="942"/>
      <c r="BR80" s="942"/>
      <c r="BS80" s="942"/>
      <c r="BT80" s="943"/>
      <c r="BU80" s="940"/>
      <c r="BV80" s="940"/>
      <c r="BW80" s="940"/>
      <c r="BX80" s="940"/>
      <c r="BY80" s="940"/>
      <c r="BZ80" s="940"/>
      <c r="CA80" s="940"/>
      <c r="CB80" s="940"/>
      <c r="CC80" s="940"/>
      <c r="CD80" s="940"/>
      <c r="CE80" s="940"/>
      <c r="CF80" s="940"/>
      <c r="CG80" s="940"/>
      <c r="CH80" s="940"/>
      <c r="CI80" s="940"/>
      <c r="CJ80" s="940"/>
      <c r="CK80" s="940"/>
      <c r="CL80" s="940"/>
    </row>
    <row r="81" spans="1:90">
      <c r="A81" s="403" t="s">
        <v>1046</v>
      </c>
      <c r="B81" s="949" t="str">
        <f>AUTOQUESTIONNAIRE!D81</f>
        <v>Avez-vous déjà eu des coups de soleil sévères avec cloques douloureuses ? (non=0, oui=1)</v>
      </c>
      <c r="C81" s="945"/>
      <c r="D81" s="940"/>
      <c r="E81" s="940"/>
      <c r="F81" s="941"/>
      <c r="G81" s="941"/>
      <c r="H81" s="941"/>
      <c r="I81" s="941"/>
      <c r="J81" s="941"/>
      <c r="K81" s="941"/>
      <c r="L81" s="941"/>
      <c r="M81" s="941"/>
      <c r="N81" s="941"/>
      <c r="O81" s="941"/>
      <c r="P81" s="941"/>
      <c r="Q81" s="941"/>
      <c r="R81" s="941"/>
      <c r="S81" s="941"/>
      <c r="T81" s="941"/>
      <c r="U81" s="941"/>
      <c r="V81" s="941"/>
      <c r="W81" s="941"/>
      <c r="X81" s="941"/>
      <c r="Y81" s="941"/>
      <c r="Z81" s="941"/>
      <c r="AA81" s="941"/>
      <c r="AB81" s="941"/>
      <c r="AC81" s="941"/>
      <c r="AD81" s="941"/>
      <c r="AE81" s="941"/>
      <c r="AF81" s="942"/>
      <c r="AG81" s="942"/>
      <c r="AH81" s="942"/>
      <c r="AI81" s="942"/>
      <c r="AJ81" s="942"/>
      <c r="AK81" s="942"/>
      <c r="AL81" s="942"/>
      <c r="AM81" s="941"/>
      <c r="AN81" s="941"/>
      <c r="AO81" s="941"/>
      <c r="AP81" s="941"/>
      <c r="AQ81" s="941"/>
      <c r="AR81" s="941"/>
      <c r="AS81" s="941"/>
      <c r="AT81" s="941"/>
      <c r="AU81" s="941"/>
      <c r="AV81" s="941"/>
      <c r="AW81" s="941"/>
      <c r="AX81" s="941"/>
      <c r="AY81" s="941"/>
      <c r="AZ81" s="941"/>
      <c r="BA81" s="942"/>
      <c r="BB81" s="942"/>
      <c r="BC81" s="942"/>
      <c r="BD81" s="942"/>
      <c r="BE81" s="942"/>
      <c r="BF81" s="942"/>
      <c r="BG81" s="942"/>
      <c r="BH81" s="942"/>
      <c r="BI81" s="942"/>
      <c r="BJ81" s="942"/>
      <c r="BK81" s="942"/>
      <c r="BL81" s="942"/>
      <c r="BM81" s="942"/>
      <c r="BN81" s="942"/>
      <c r="BO81" s="942"/>
      <c r="BP81" s="942"/>
      <c r="BQ81" s="942"/>
      <c r="BR81" s="942"/>
      <c r="BS81" s="942"/>
      <c r="BT81" s="943"/>
      <c r="BU81" s="940"/>
      <c r="BV81" s="940"/>
      <c r="BW81" s="940"/>
      <c r="BX81" s="940"/>
      <c r="BY81" s="940"/>
      <c r="BZ81" s="940"/>
      <c r="CA81" s="940"/>
      <c r="CB81" s="940"/>
      <c r="CC81" s="940"/>
      <c r="CD81" s="940"/>
      <c r="CE81" s="940"/>
      <c r="CF81" s="940"/>
      <c r="CG81" s="940"/>
      <c r="CH81" s="940"/>
      <c r="CI81" s="940"/>
      <c r="CJ81" s="940"/>
      <c r="CK81" s="940"/>
      <c r="CL81" s="940"/>
    </row>
    <row r="82" spans="1:90">
      <c r="A82" s="403" t="s">
        <v>1046</v>
      </c>
      <c r="B82" s="949" t="str">
        <f>AUTOQUESTIONNAIRE!D82</f>
        <v>Avez-vous la peau très claire qui bronze difficilement ou qui présente facilement des taches de rousseur ? (non=0, oui=1)</v>
      </c>
      <c r="C82" s="945"/>
      <c r="D82" s="940"/>
      <c r="E82" s="940"/>
      <c r="F82" s="941"/>
      <c r="G82" s="941"/>
      <c r="H82" s="941"/>
      <c r="I82" s="941"/>
      <c r="J82" s="941"/>
      <c r="K82" s="941"/>
      <c r="L82" s="941"/>
      <c r="M82" s="941"/>
      <c r="N82" s="941"/>
      <c r="O82" s="941"/>
      <c r="P82" s="941"/>
      <c r="Q82" s="941"/>
      <c r="R82" s="941"/>
      <c r="S82" s="941"/>
      <c r="T82" s="941"/>
      <c r="U82" s="941"/>
      <c r="V82" s="941"/>
      <c r="W82" s="941"/>
      <c r="X82" s="941"/>
      <c r="Y82" s="941"/>
      <c r="Z82" s="941"/>
      <c r="AA82" s="941"/>
      <c r="AB82" s="941"/>
      <c r="AC82" s="941"/>
      <c r="AD82" s="941"/>
      <c r="AE82" s="941"/>
      <c r="AF82" s="942"/>
      <c r="AG82" s="942"/>
      <c r="AH82" s="942"/>
      <c r="AI82" s="942"/>
      <c r="AJ82" s="942"/>
      <c r="AK82" s="942"/>
      <c r="AL82" s="942"/>
      <c r="AM82" s="941"/>
      <c r="AN82" s="941"/>
      <c r="AO82" s="941"/>
      <c r="AP82" s="941"/>
      <c r="AQ82" s="941"/>
      <c r="AR82" s="941"/>
      <c r="AS82" s="941"/>
      <c r="AT82" s="941"/>
      <c r="AU82" s="941"/>
      <c r="AV82" s="941"/>
      <c r="AW82" s="941"/>
      <c r="AX82" s="941"/>
      <c r="AY82" s="941"/>
      <c r="AZ82" s="941"/>
      <c r="BA82" s="942"/>
      <c r="BB82" s="942"/>
      <c r="BC82" s="942"/>
      <c r="BD82" s="942"/>
      <c r="BE82" s="942"/>
      <c r="BF82" s="942"/>
      <c r="BG82" s="942"/>
      <c r="BH82" s="942"/>
      <c r="BI82" s="942"/>
      <c r="BJ82" s="942"/>
      <c r="BK82" s="942"/>
      <c r="BL82" s="942"/>
      <c r="BM82" s="942"/>
      <c r="BN82" s="942"/>
      <c r="BO82" s="942"/>
      <c r="BP82" s="942"/>
      <c r="BQ82" s="942"/>
      <c r="BR82" s="942"/>
      <c r="BS82" s="942"/>
      <c r="BT82" s="943"/>
      <c r="BU82" s="940"/>
      <c r="BV82" s="940"/>
      <c r="BW82" s="940"/>
      <c r="BX82" s="940"/>
      <c r="BY82" s="940"/>
      <c r="BZ82" s="940"/>
      <c r="CA82" s="940"/>
      <c r="CB82" s="940"/>
      <c r="CC82" s="940"/>
      <c r="CD82" s="940"/>
      <c r="CE82" s="940"/>
      <c r="CF82" s="940"/>
      <c r="CG82" s="940"/>
      <c r="CH82" s="940"/>
      <c r="CI82" s="940"/>
      <c r="CJ82" s="940"/>
      <c r="CK82" s="940"/>
      <c r="CL82" s="940"/>
    </row>
    <row r="83" spans="1:90">
      <c r="A83" s="403" t="s">
        <v>1046</v>
      </c>
      <c r="B83" s="648" t="str">
        <f>AUTOQUESTIONNAIRE!D83</f>
        <v>Suivez-vous un régime végan ? (Exclut tous les produits d’origine animale : pas de viande, poisson, produits laitiers, œufs, ni miel) (non=0, oui=1)</v>
      </c>
      <c r="C83" s="401">
        <f>AUTOQUESTIONNAIRE!H83</f>
        <v>3</v>
      </c>
      <c r="D83" s="956" t="s">
        <v>2746</v>
      </c>
      <c r="F83" s="445">
        <f t="shared" ref="F83" si="31">$C83</f>
        <v>3</v>
      </c>
      <c r="G83" s="445"/>
      <c r="H83" s="445"/>
      <c r="I83" s="445"/>
      <c r="J83" s="445"/>
      <c r="K83" s="445"/>
      <c r="L83" s="445"/>
      <c r="M83" s="445">
        <f t="shared" ref="M83" si="32">$C83</f>
        <v>3</v>
      </c>
      <c r="N83" s="445"/>
      <c r="O83" s="445">
        <f t="shared" ref="O83" si="33">$C83</f>
        <v>3</v>
      </c>
      <c r="P83" s="445"/>
      <c r="Q83" s="445">
        <f t="shared" ref="Q83" si="34">$C83</f>
        <v>3</v>
      </c>
      <c r="R83" s="445"/>
      <c r="S83" s="445"/>
      <c r="T83" s="445"/>
      <c r="U83" s="445"/>
      <c r="V83" s="445"/>
      <c r="W83" s="445"/>
      <c r="X83" s="445"/>
      <c r="Y83" s="954"/>
      <c r="Z83" s="445"/>
      <c r="AA83" s="445"/>
      <c r="AB83" s="445"/>
      <c r="AC83" s="445"/>
      <c r="AD83" s="445"/>
      <c r="AE83" s="445">
        <f>$C83</f>
        <v>3</v>
      </c>
      <c r="AI83" s="670"/>
      <c r="AX83" s="445">
        <f t="shared" ref="AX83:AZ83" si="35">$C83</f>
        <v>3</v>
      </c>
      <c r="AY83" s="445">
        <f t="shared" si="35"/>
        <v>3</v>
      </c>
      <c r="AZ83" s="445">
        <f t="shared" si="35"/>
        <v>3</v>
      </c>
    </row>
    <row r="84" spans="1:90">
      <c r="A84" s="403" t="s">
        <v>1046</v>
      </c>
      <c r="B84" s="949" t="str">
        <f>AUTOQUESTIONNAIRE!D84</f>
        <v>Consommez-vous du porc, du bœuf, du veau, de l’agneau ou du mouton ? (0 = Une fois par mois ou jamais ; 1 = Une fois par semaine ; 2 = Plusieurs fois par semaine ; 3 = Plusieurs fois par jour)</v>
      </c>
      <c r="C84" s="945"/>
      <c r="D84" s="940"/>
      <c r="E84" s="940"/>
      <c r="F84" s="941"/>
      <c r="G84" s="941"/>
      <c r="H84" s="941"/>
      <c r="I84" s="941"/>
      <c r="J84" s="941"/>
      <c r="K84" s="941"/>
      <c r="L84" s="941"/>
      <c r="M84" s="941"/>
      <c r="N84" s="941"/>
      <c r="O84" s="941"/>
      <c r="P84" s="941"/>
      <c r="Q84" s="941"/>
      <c r="R84" s="941"/>
      <c r="S84" s="941"/>
      <c r="T84" s="941"/>
      <c r="U84" s="941"/>
      <c r="V84" s="941"/>
      <c r="W84" s="941"/>
      <c r="X84" s="941"/>
      <c r="Y84" s="941"/>
      <c r="Z84" s="941"/>
      <c r="AA84" s="941"/>
      <c r="AB84" s="942"/>
      <c r="AC84" s="942"/>
      <c r="AD84" s="942"/>
      <c r="AE84" s="942"/>
      <c r="AF84" s="942"/>
      <c r="AG84" s="942"/>
      <c r="AH84" s="942"/>
      <c r="AI84" s="942"/>
      <c r="AJ84" s="942"/>
      <c r="AK84" s="942"/>
      <c r="AL84" s="942"/>
      <c r="AM84" s="941"/>
      <c r="AN84" s="941"/>
      <c r="AO84" s="941"/>
      <c r="AP84" s="941"/>
      <c r="AQ84" s="941"/>
      <c r="AR84" s="941"/>
      <c r="AS84" s="941"/>
      <c r="AT84" s="941"/>
      <c r="AU84" s="941"/>
      <c r="AV84" s="941"/>
      <c r="AW84" s="941"/>
      <c r="AX84" s="941"/>
      <c r="AY84" s="941"/>
      <c r="AZ84" s="941"/>
      <c r="BA84" s="942"/>
      <c r="BB84" s="942"/>
      <c r="BC84" s="942"/>
      <c r="BD84" s="942"/>
      <c r="BE84" s="942"/>
      <c r="BF84" s="942"/>
      <c r="BG84" s="942"/>
      <c r="BH84" s="942"/>
      <c r="BI84" s="942"/>
      <c r="BJ84" s="942"/>
      <c r="BK84" s="942"/>
      <c r="BL84" s="942"/>
      <c r="BM84" s="942"/>
      <c r="BN84" s="942"/>
      <c r="BO84" s="942"/>
      <c r="BP84" s="942"/>
      <c r="BQ84" s="942"/>
      <c r="BR84" s="942"/>
      <c r="BS84" s="942"/>
      <c r="BT84" s="943"/>
      <c r="BU84" s="940"/>
      <c r="BV84" s="940"/>
      <c r="BW84" s="940"/>
      <c r="BX84" s="940"/>
      <c r="BY84" s="940"/>
      <c r="BZ84" s="940"/>
      <c r="CA84" s="940"/>
      <c r="CB84" s="940"/>
      <c r="CC84" s="940"/>
      <c r="CD84" s="940"/>
      <c r="CE84" s="940"/>
      <c r="CF84" s="940"/>
      <c r="CG84" s="940"/>
      <c r="CH84" s="940"/>
      <c r="CI84" s="940"/>
      <c r="CJ84" s="940"/>
      <c r="CK84" s="940"/>
      <c r="CL84" s="940"/>
    </row>
    <row r="85" spans="1:90">
      <c r="A85" s="403" t="s">
        <v>1046</v>
      </c>
      <c r="B85" s="949" t="str">
        <f>AUTOQUESTIONNAIRE!D85</f>
        <v>À quelle fréquence consommez-vous des aliments salés (par exemple : charcuterie, chips) ? (0 = Une fois par mois ou jamais ; 1 = Une fois par semaine ; 2 = Plusieurs fois par semaine ; 3 = Plusieurs fois par jour)</v>
      </c>
      <c r="C85" s="945"/>
      <c r="D85" s="940"/>
      <c r="E85" s="940"/>
      <c r="F85" s="941"/>
      <c r="G85" s="941"/>
      <c r="H85" s="941"/>
      <c r="I85" s="941"/>
      <c r="J85" s="941"/>
      <c r="K85" s="941"/>
      <c r="L85" s="941"/>
      <c r="M85" s="941"/>
      <c r="N85" s="941"/>
      <c r="O85" s="941"/>
      <c r="P85" s="941"/>
      <c r="Q85" s="941"/>
      <c r="R85" s="941"/>
      <c r="S85" s="941"/>
      <c r="T85" s="941"/>
      <c r="U85" s="941"/>
      <c r="V85" s="941"/>
      <c r="W85" s="941"/>
      <c r="X85" s="941"/>
      <c r="Y85" s="941"/>
      <c r="Z85" s="941"/>
      <c r="AA85" s="941"/>
      <c r="AB85" s="942"/>
      <c r="AC85" s="942"/>
      <c r="AD85" s="942"/>
      <c r="AE85" s="941"/>
      <c r="AF85" s="942"/>
      <c r="AG85" s="942"/>
      <c r="AH85" s="942"/>
      <c r="AI85" s="942"/>
      <c r="AJ85" s="942"/>
      <c r="AK85" s="942"/>
      <c r="AL85" s="942"/>
      <c r="AM85" s="941"/>
      <c r="AN85" s="941"/>
      <c r="AO85" s="941"/>
      <c r="AP85" s="941"/>
      <c r="AQ85" s="941"/>
      <c r="AR85" s="941"/>
      <c r="AS85" s="941"/>
      <c r="AT85" s="941"/>
      <c r="AU85" s="941"/>
      <c r="AV85" s="941"/>
      <c r="AW85" s="941"/>
      <c r="AX85" s="941"/>
      <c r="AY85" s="941"/>
      <c r="AZ85" s="941"/>
      <c r="BA85" s="942"/>
      <c r="BB85" s="942"/>
      <c r="BC85" s="942"/>
      <c r="BD85" s="942"/>
      <c r="BE85" s="942"/>
      <c r="BF85" s="942"/>
      <c r="BG85" s="942"/>
      <c r="BH85" s="942"/>
      <c r="BI85" s="942"/>
      <c r="BJ85" s="942"/>
      <c r="BK85" s="942"/>
      <c r="BL85" s="942"/>
      <c r="BM85" s="942"/>
      <c r="BN85" s="942"/>
      <c r="BO85" s="942"/>
      <c r="BP85" s="942"/>
      <c r="BQ85" s="942"/>
      <c r="BR85" s="942"/>
      <c r="BS85" s="942"/>
      <c r="BT85" s="943"/>
      <c r="BU85" s="940"/>
      <c r="BV85" s="940"/>
      <c r="BW85" s="940"/>
      <c r="BX85" s="940"/>
      <c r="BY85" s="940"/>
      <c r="BZ85" s="940"/>
      <c r="CA85" s="940"/>
      <c r="CB85" s="940"/>
      <c r="CC85" s="940"/>
      <c r="CD85" s="940"/>
      <c r="CE85" s="940"/>
      <c r="CF85" s="940"/>
      <c r="CG85" s="940"/>
      <c r="CH85" s="940"/>
      <c r="CI85" s="940"/>
      <c r="CJ85" s="940"/>
      <c r="CK85" s="940"/>
      <c r="CL85" s="940"/>
    </row>
    <row r="86" spans="1:90">
      <c r="A86" s="403" t="s">
        <v>1046</v>
      </c>
      <c r="B86" s="648" t="str">
        <f>AUTOQUESTIONNAIRE!D86</f>
        <v>Consommez-vous des produits laitiers ? (1 portion = 1 yaourt, 1 dessert lacté ou 1 verre de lait (150 ml)) 
(0 = 0 à 1 fois par semaine 1 = 2 à 3 fois par semaine 2 = 4 à 6 fois par semaine 3 = Une fois par jour ou plus</v>
      </c>
      <c r="C86" s="401">
        <f>AUTOQUESTIONNAIRE!H86</f>
        <v>0</v>
      </c>
      <c r="F86" s="445"/>
      <c r="G86" s="445"/>
      <c r="H86" s="445"/>
      <c r="I86" s="445"/>
      <c r="J86" s="445"/>
      <c r="K86" s="445"/>
      <c r="L86" s="445"/>
      <c r="M86" s="445"/>
      <c r="N86" s="445"/>
      <c r="O86" s="445"/>
      <c r="P86" s="445"/>
      <c r="Q86" s="445"/>
      <c r="R86" s="445"/>
      <c r="S86" s="445"/>
      <c r="T86" s="445"/>
      <c r="U86" s="445"/>
      <c r="V86" s="445">
        <f>AUTOQUESTIONNAIRE!$H$86</f>
        <v>0</v>
      </c>
      <c r="W86" s="445"/>
      <c r="X86" s="445"/>
      <c r="Y86" s="954"/>
      <c r="Z86" s="445"/>
      <c r="AA86" s="445"/>
      <c r="AI86" s="670"/>
    </row>
    <row r="87" spans="1:90">
      <c r="A87" s="403" t="s">
        <v>1046</v>
      </c>
      <c r="B87" s="949" t="str">
        <f>AUTOQUESTIONNAIRE!D87</f>
        <v>Combien de temps par jour passez-vous devant un écran en dehors du travail (téléphone, télévision, ordinateur) ? 
(0 = Moins d’1 heure ; 1 = Entre 1 et 2 heures ; 2 = Entre 2 et 4 heures ; 3 = Plus de 4 heures)</v>
      </c>
      <c r="C87" s="945"/>
      <c r="D87" s="940"/>
      <c r="E87" s="940"/>
      <c r="F87" s="941"/>
      <c r="G87" s="941"/>
      <c r="H87" s="941"/>
      <c r="I87" s="941"/>
      <c r="J87" s="941"/>
      <c r="K87" s="941"/>
      <c r="L87" s="941"/>
      <c r="M87" s="941"/>
      <c r="N87" s="941"/>
      <c r="O87" s="941"/>
      <c r="P87" s="941"/>
      <c r="Q87" s="941"/>
      <c r="R87" s="941"/>
      <c r="S87" s="941"/>
      <c r="T87" s="941"/>
      <c r="U87" s="941"/>
      <c r="V87" s="941"/>
      <c r="W87" s="941"/>
      <c r="X87" s="941"/>
      <c r="Y87" s="954"/>
      <c r="Z87" s="941"/>
      <c r="AA87" s="941"/>
      <c r="AB87" s="942"/>
      <c r="AC87" s="942"/>
      <c r="AD87" s="942"/>
      <c r="AE87" s="942"/>
      <c r="AF87" s="942"/>
      <c r="AG87" s="942"/>
      <c r="AH87" s="942"/>
      <c r="AI87" s="942"/>
      <c r="AJ87" s="942"/>
      <c r="AK87" s="942"/>
      <c r="AL87" s="942"/>
      <c r="AM87" s="941"/>
      <c r="AN87" s="941"/>
      <c r="AO87" s="941"/>
      <c r="AP87" s="941"/>
      <c r="AQ87" s="941"/>
      <c r="AR87" s="941"/>
      <c r="AS87" s="941"/>
      <c r="AT87" s="941"/>
      <c r="AU87" s="941"/>
      <c r="AV87" s="941"/>
      <c r="AW87" s="941"/>
      <c r="AX87" s="941"/>
      <c r="AY87" s="941"/>
      <c r="AZ87" s="941"/>
      <c r="BA87" s="942"/>
      <c r="BB87" s="942"/>
      <c r="BC87" s="942"/>
      <c r="BD87" s="942"/>
      <c r="BE87" s="942"/>
      <c r="BF87" s="942"/>
      <c r="BG87" s="942"/>
      <c r="BH87" s="942"/>
      <c r="BI87" s="942"/>
      <c r="BJ87" s="942"/>
      <c r="BK87" s="942"/>
      <c r="BL87" s="942"/>
      <c r="BM87" s="942"/>
      <c r="BN87" s="942"/>
      <c r="BO87" s="942"/>
      <c r="BP87" s="942"/>
      <c r="BQ87" s="942"/>
      <c r="BR87" s="942"/>
      <c r="BS87" s="942"/>
      <c r="BT87" s="943"/>
      <c r="BU87" s="940"/>
      <c r="BV87" s="940"/>
      <c r="BW87" s="940"/>
      <c r="BX87" s="940"/>
      <c r="BY87" s="940"/>
      <c r="BZ87" s="940"/>
      <c r="CA87" s="940"/>
      <c r="CB87" s="940"/>
      <c r="CC87" s="940"/>
      <c r="CD87" s="940"/>
      <c r="CE87" s="940"/>
      <c r="CF87" s="940"/>
      <c r="CG87" s="940"/>
      <c r="CH87" s="940"/>
      <c r="CI87" s="940"/>
      <c r="CJ87" s="940"/>
      <c r="CK87" s="940"/>
      <c r="CL87" s="940"/>
    </row>
    <row r="88" spans="1:90">
      <c r="A88" s="403" t="s">
        <v>1046</v>
      </c>
      <c r="B88" s="949" t="str">
        <f>AUTOQUESTIONNAIRE!D88</f>
        <v>Combien de temps par jour passez-vous assis·e ou allongé·e (hors sommeil) ? 
(0 = Moins de 2 heures ; 1 = Entre 2 et 4 heures ; 2 = Entre 4 et 7 heures ; 3 = Plus de 7 heures)</v>
      </c>
      <c r="C88" s="945"/>
      <c r="D88" s="940"/>
      <c r="E88" s="940"/>
      <c r="F88" s="941"/>
      <c r="G88" s="941"/>
      <c r="H88" s="941"/>
      <c r="I88" s="941"/>
      <c r="J88" s="941"/>
      <c r="K88" s="941"/>
      <c r="L88" s="941"/>
      <c r="M88" s="941"/>
      <c r="N88" s="941"/>
      <c r="O88" s="941"/>
      <c r="P88" s="941"/>
      <c r="Q88" s="941"/>
      <c r="R88" s="941"/>
      <c r="S88" s="941"/>
      <c r="T88" s="941"/>
      <c r="U88" s="941"/>
      <c r="V88" s="941"/>
      <c r="W88" s="941"/>
      <c r="X88" s="941"/>
      <c r="Y88" s="954"/>
      <c r="Z88" s="941"/>
      <c r="AA88" s="941"/>
      <c r="AB88" s="942"/>
      <c r="AC88" s="942"/>
      <c r="AD88" s="942"/>
      <c r="AE88" s="942"/>
      <c r="AF88" s="942"/>
      <c r="AG88" s="942"/>
      <c r="AH88" s="942"/>
      <c r="AI88" s="942"/>
      <c r="AJ88" s="942"/>
      <c r="AK88" s="942"/>
      <c r="AL88" s="942"/>
      <c r="AM88" s="941"/>
      <c r="AN88" s="941"/>
      <c r="AO88" s="941"/>
      <c r="AP88" s="941"/>
      <c r="AQ88" s="941"/>
      <c r="AR88" s="941"/>
      <c r="AS88" s="941"/>
      <c r="AT88" s="941"/>
      <c r="AU88" s="941"/>
      <c r="AV88" s="941"/>
      <c r="AW88" s="941"/>
      <c r="AX88" s="941"/>
      <c r="AY88" s="941"/>
      <c r="AZ88" s="941"/>
      <c r="BA88" s="942"/>
      <c r="BB88" s="942"/>
      <c r="BC88" s="942"/>
      <c r="BD88" s="942"/>
      <c r="BE88" s="942"/>
      <c r="BF88" s="942"/>
      <c r="BG88" s="942"/>
      <c r="BH88" s="942"/>
      <c r="BI88" s="942"/>
      <c r="BJ88" s="942"/>
      <c r="BK88" s="942"/>
      <c r="BL88" s="942"/>
      <c r="BM88" s="942"/>
      <c r="BN88" s="942"/>
      <c r="BO88" s="942"/>
      <c r="BP88" s="942"/>
      <c r="BQ88" s="942"/>
      <c r="BR88" s="942"/>
      <c r="BS88" s="942"/>
      <c r="BT88" s="943"/>
      <c r="BU88" s="940"/>
      <c r="BV88" s="940"/>
      <c r="BW88" s="940"/>
      <c r="BX88" s="940"/>
      <c r="BY88" s="940"/>
      <c r="BZ88" s="940"/>
      <c r="CA88" s="940"/>
      <c r="CB88" s="940"/>
      <c r="CC88" s="940"/>
      <c r="CD88" s="940"/>
      <c r="CE88" s="940"/>
      <c r="CF88" s="940"/>
      <c r="CG88" s="940"/>
      <c r="CH88" s="940"/>
      <c r="CI88" s="940"/>
      <c r="CJ88" s="940"/>
      <c r="CK88" s="940"/>
      <c r="CL88" s="940"/>
    </row>
    <row r="89" spans="1:90">
      <c r="A89" s="403" t="s">
        <v>1046</v>
      </c>
      <c r="B89" s="949" t="str">
        <f>AUTOQUESTIONNAIRE!D89</f>
        <v>À quelle fréquence consommez-vous des aliments sucrés (par exemple : sodas, bonbons, pâtisseries, glaces) ? 
(0 = Une fois par mois ou jamais ; 1 = Une fois par semaine ; 2 = Plusieurs fois par semaine ; 3 = Plusieurs fois par jour)</v>
      </c>
      <c r="C89" s="945"/>
      <c r="D89" s="940"/>
      <c r="E89" s="940"/>
      <c r="F89" s="941"/>
      <c r="G89" s="941"/>
      <c r="H89" s="941"/>
      <c r="I89" s="941"/>
      <c r="J89" s="941"/>
      <c r="K89" s="941"/>
      <c r="L89" s="941"/>
      <c r="M89" s="941"/>
      <c r="N89" s="941"/>
      <c r="O89" s="941"/>
      <c r="P89" s="941"/>
      <c r="Q89" s="941"/>
      <c r="R89" s="941"/>
      <c r="S89" s="941"/>
      <c r="T89" s="941"/>
      <c r="U89" s="941"/>
      <c r="V89" s="941"/>
      <c r="W89" s="941"/>
      <c r="X89" s="941"/>
      <c r="Y89" s="954"/>
      <c r="Z89" s="941"/>
      <c r="AA89" s="941"/>
      <c r="AB89" s="942"/>
      <c r="AC89" s="942"/>
      <c r="AD89" s="942"/>
      <c r="AE89" s="941"/>
      <c r="AF89" s="942"/>
      <c r="AG89" s="942"/>
      <c r="AH89" s="942"/>
      <c r="AI89" s="942"/>
      <c r="AJ89" s="942"/>
      <c r="AK89" s="942"/>
      <c r="AL89" s="942"/>
      <c r="AM89" s="941"/>
      <c r="AN89" s="941"/>
      <c r="AO89" s="941"/>
      <c r="AP89" s="941"/>
      <c r="AQ89" s="941"/>
      <c r="AR89" s="941"/>
      <c r="AS89" s="941"/>
      <c r="AT89" s="941"/>
      <c r="AU89" s="941"/>
      <c r="AV89" s="941"/>
      <c r="AW89" s="941"/>
      <c r="AX89" s="941"/>
      <c r="AY89" s="941"/>
      <c r="AZ89" s="941"/>
      <c r="BA89" s="942"/>
      <c r="BB89" s="942"/>
      <c r="BC89" s="942"/>
      <c r="BD89" s="942"/>
      <c r="BE89" s="942"/>
      <c r="BF89" s="942"/>
      <c r="BG89" s="942"/>
      <c r="BH89" s="942"/>
      <c r="BI89" s="942"/>
      <c r="BJ89" s="942"/>
      <c r="BK89" s="942"/>
      <c r="BL89" s="942"/>
      <c r="BM89" s="942"/>
      <c r="BN89" s="942"/>
      <c r="BO89" s="942"/>
      <c r="BP89" s="942"/>
      <c r="BQ89" s="942"/>
      <c r="BR89" s="942"/>
      <c r="BS89" s="942"/>
      <c r="BT89" s="943"/>
      <c r="BU89" s="940"/>
      <c r="BV89" s="940"/>
      <c r="BW89" s="940"/>
      <c r="BX89" s="940"/>
      <c r="BY89" s="940"/>
      <c r="BZ89" s="940"/>
      <c r="CA89" s="940"/>
      <c r="CB89" s="940"/>
      <c r="CC89" s="940"/>
      <c r="CD89" s="940"/>
      <c r="CE89" s="940"/>
      <c r="CF89" s="940"/>
      <c r="CG89" s="940"/>
      <c r="CH89" s="940"/>
      <c r="CI89" s="940"/>
      <c r="CJ89" s="940"/>
      <c r="CK89" s="940"/>
      <c r="CL89" s="940"/>
    </row>
    <row r="90" spans="1:90">
      <c r="A90" s="403" t="s">
        <v>1046</v>
      </c>
      <c r="B90" s="949" t="str">
        <f>AUTOQUESTIONNAIRE!D90</f>
        <v>À quelle fréquence consommez-vous des aliments gras (par exemple : burgers de fast-food, viennoiseries au beurre, pain beurré) ?
(0 = Une fois par mois ou jamais ; 1 = Une fois par semaine ; 2 = Plusieurs fois par semaine ; 3 = Plusieurs fois par jour)</v>
      </c>
      <c r="C90" s="945"/>
      <c r="D90" s="420" t="s">
        <v>1163</v>
      </c>
      <c r="E90" s="950">
        <f>IF(AUTOQUESTIONNAIRE!K81&gt;1.4,1,0)</f>
        <v>0</v>
      </c>
      <c r="F90" s="445">
        <f>$E90</f>
        <v>0</v>
      </c>
      <c r="G90" s="445">
        <f t="shared" ref="G90:S90" si="36">$E90</f>
        <v>0</v>
      </c>
      <c r="H90" s="445">
        <f t="shared" si="36"/>
        <v>0</v>
      </c>
      <c r="I90" s="445">
        <f t="shared" si="36"/>
        <v>0</v>
      </c>
      <c r="J90" s="445">
        <f t="shared" si="36"/>
        <v>0</v>
      </c>
      <c r="K90" s="445"/>
      <c r="L90" s="445"/>
      <c r="M90" s="445"/>
      <c r="N90" s="445"/>
      <c r="O90" s="445"/>
      <c r="P90" s="445"/>
      <c r="Q90" s="445"/>
      <c r="R90" s="445"/>
      <c r="S90" s="445">
        <f t="shared" si="36"/>
        <v>0</v>
      </c>
      <c r="T90" s="445"/>
      <c r="U90" s="445"/>
      <c r="V90" s="445">
        <f t="shared" ref="V90" si="37">$E90</f>
        <v>0</v>
      </c>
      <c r="W90" s="445"/>
      <c r="X90" s="445"/>
      <c r="Y90" s="954"/>
      <c r="Z90" s="445"/>
      <c r="AA90" s="445"/>
      <c r="AB90" s="445"/>
      <c r="AC90" s="445"/>
      <c r="AD90" s="445"/>
      <c r="AE90" s="445">
        <f t="shared" ref="AE90" si="38">$E90</f>
        <v>0</v>
      </c>
      <c r="AI90" s="670"/>
    </row>
    <row r="91" spans="1:90">
      <c r="A91" s="403" t="s">
        <v>1046</v>
      </c>
      <c r="B91" s="648" t="str">
        <f>AUTOQUESTIONNAIRE!D91</f>
        <v>Prenez-vous de la vitamine D régulièrement ou pendant l’hiver ? (non=0, oui=1)</v>
      </c>
      <c r="C91" s="675">
        <f>AUTOQUESTIONNAIRE!I91</f>
        <v>0</v>
      </c>
      <c r="F91" s="445"/>
      <c r="G91" s="445"/>
      <c r="H91" s="445"/>
      <c r="I91" s="445"/>
      <c r="J91" s="445"/>
      <c r="K91" s="445"/>
      <c r="L91" s="445"/>
      <c r="M91" s="445"/>
      <c r="N91" s="445"/>
      <c r="O91" s="445"/>
      <c r="P91" s="445"/>
      <c r="Q91" s="445"/>
      <c r="R91" s="445"/>
      <c r="S91" s="445"/>
      <c r="T91" s="445"/>
      <c r="U91" s="445"/>
      <c r="V91" s="445"/>
      <c r="W91" s="445"/>
      <c r="X91" s="445"/>
      <c r="Y91" s="954"/>
      <c r="Z91" s="445"/>
      <c r="AA91" s="445"/>
      <c r="AI91" s="670"/>
      <c r="AX91" s="445">
        <f t="shared" ref="AX91" si="39">$C91</f>
        <v>0</v>
      </c>
    </row>
    <row r="92" spans="1:90">
      <c r="A92" s="418"/>
      <c r="B92" s="649"/>
      <c r="C92" s="401"/>
      <c r="F92" s="445"/>
      <c r="G92" s="445"/>
      <c r="H92" s="445"/>
      <c r="I92" s="445"/>
      <c r="J92" s="445"/>
      <c r="K92" s="445"/>
      <c r="L92" s="445"/>
      <c r="M92" s="445"/>
      <c r="N92" s="445"/>
      <c r="O92" s="445"/>
      <c r="P92" s="445"/>
      <c r="Q92" s="445"/>
      <c r="R92" s="445"/>
      <c r="S92" s="445"/>
      <c r="T92" s="445"/>
      <c r="U92" s="445"/>
      <c r="V92" s="445"/>
      <c r="W92" s="445"/>
      <c r="X92" s="445"/>
      <c r="Y92" s="954"/>
      <c r="Z92" s="445"/>
      <c r="AA92" s="445"/>
      <c r="AI92" s="670"/>
    </row>
    <row r="93" spans="1:90">
      <c r="A93" s="420" t="s">
        <v>1043</v>
      </c>
      <c r="B93" s="650" t="str">
        <f>AUTOQUESTIONNAIRE!D93</f>
        <v>Suivez-vous actuellement un traitement médical, y compris des compléments alimentaires, des médicaments en vente libre ou des remèdes à base de plantes ? (non=0, oui=1)</v>
      </c>
      <c r="C93" s="401">
        <f>AUTOQUESTIONNAIRE!G93</f>
        <v>0</v>
      </c>
      <c r="F93" s="445"/>
      <c r="G93" s="445"/>
      <c r="H93" s="445"/>
      <c r="I93" s="445"/>
      <c r="J93" s="445"/>
      <c r="K93" s="445"/>
      <c r="L93" s="445"/>
      <c r="M93" s="445"/>
      <c r="N93" s="445"/>
      <c r="O93" s="445"/>
      <c r="P93" s="445"/>
      <c r="Q93" s="445"/>
      <c r="R93" s="445"/>
      <c r="S93" s="445"/>
      <c r="T93" s="445"/>
      <c r="U93" s="445"/>
      <c r="V93" s="445"/>
      <c r="W93" s="445"/>
      <c r="X93" s="445"/>
      <c r="Y93" s="954"/>
      <c r="Z93" s="445"/>
      <c r="AA93" s="445"/>
      <c r="AI93" s="670"/>
    </row>
    <row r="94" spans="1:90">
      <c r="A94" s="420" t="s">
        <v>1043</v>
      </c>
      <c r="B94" s="650" t="str">
        <f>AUTOQUESTIONNAIRE!D94</f>
        <v>Prenez-vous un traitement pour le diabète ? (non=0, oui=1)</v>
      </c>
      <c r="C94" s="401">
        <f>AUTOQUESTIONNAIRE!G94</f>
        <v>0</v>
      </c>
      <c r="F94" s="445"/>
      <c r="G94" s="445">
        <f t="shared" ref="F94:S103" si="40">$C94</f>
        <v>0</v>
      </c>
      <c r="H94" s="445">
        <f t="shared" si="40"/>
        <v>0</v>
      </c>
      <c r="I94" s="445">
        <f t="shared" si="40"/>
        <v>0</v>
      </c>
      <c r="J94" s="445">
        <f t="shared" si="40"/>
        <v>0</v>
      </c>
      <c r="K94" s="445"/>
      <c r="L94" s="445"/>
      <c r="M94" s="445"/>
      <c r="N94" s="445"/>
      <c r="O94" s="445"/>
      <c r="P94" s="445"/>
      <c r="Q94" s="445">
        <f t="shared" si="40"/>
        <v>0</v>
      </c>
      <c r="R94" s="445"/>
      <c r="S94" s="445">
        <f t="shared" si="40"/>
        <v>0</v>
      </c>
      <c r="T94" s="445"/>
      <c r="U94" s="445"/>
      <c r="V94" s="445"/>
      <c r="W94" s="445"/>
      <c r="X94" s="445"/>
      <c r="Y94" s="954"/>
      <c r="Z94" s="445"/>
      <c r="AA94" s="445"/>
      <c r="AI94" s="670"/>
    </row>
    <row r="95" spans="1:90">
      <c r="A95" s="420" t="s">
        <v>1043</v>
      </c>
      <c r="B95" s="650" t="str">
        <f>AUTOQUESTIONNAIRE!D95</f>
        <v>Prenez-vous un traitement pour faire baisser votre cholestérol ? (non=0, oui=1)</v>
      </c>
      <c r="C95" s="401">
        <f>AUTOQUESTIONNAIRE!G95</f>
        <v>1</v>
      </c>
      <c r="F95" s="445"/>
      <c r="G95" s="445">
        <f t="shared" si="40"/>
        <v>1</v>
      </c>
      <c r="H95" s="445">
        <f t="shared" si="40"/>
        <v>1</v>
      </c>
      <c r="I95" s="445">
        <f t="shared" si="40"/>
        <v>1</v>
      </c>
      <c r="J95" s="445">
        <f t="shared" ref="J95:S95" si="41">$C95</f>
        <v>1</v>
      </c>
      <c r="K95" s="445">
        <f t="shared" si="41"/>
        <v>1</v>
      </c>
      <c r="L95" s="445">
        <f t="shared" si="41"/>
        <v>1</v>
      </c>
      <c r="M95" s="445"/>
      <c r="N95" s="445"/>
      <c r="O95" s="445"/>
      <c r="P95" s="445">
        <f t="shared" ref="P95" si="42">$C95</f>
        <v>1</v>
      </c>
      <c r="Q95" s="445">
        <f t="shared" si="41"/>
        <v>1</v>
      </c>
      <c r="R95" s="445"/>
      <c r="S95" s="445">
        <f t="shared" si="41"/>
        <v>1</v>
      </c>
      <c r="T95" s="445"/>
      <c r="U95" s="445"/>
      <c r="V95" s="445"/>
      <c r="W95" s="445"/>
      <c r="X95" s="445"/>
      <c r="Y95" s="954"/>
      <c r="Z95" s="445"/>
      <c r="AA95" s="445"/>
      <c r="AC95" s="445">
        <f t="shared" ref="AC95" si="43">$C95</f>
        <v>1</v>
      </c>
      <c r="AI95" s="670"/>
      <c r="BA95" s="445">
        <f t="shared" ref="BA95" si="44">$C95</f>
        <v>1</v>
      </c>
    </row>
    <row r="96" spans="1:90">
      <c r="A96" s="420" t="s">
        <v>1043</v>
      </c>
      <c r="B96" s="650" t="str">
        <f>AUTOQUESTIONNAIRE!D96</f>
        <v>Prenez-vous un traitement pour prévenir les caillots sanguins (par exemple : aspirine, anticoagulants) ? (non=0, oui=1)</v>
      </c>
      <c r="C96" s="401">
        <f>AUTOQUESTIONNAIRE!G96</f>
        <v>0</v>
      </c>
      <c r="F96" s="445">
        <f t="shared" si="40"/>
        <v>0</v>
      </c>
      <c r="G96" s="445"/>
      <c r="H96" s="445"/>
      <c r="I96" s="445">
        <f t="shared" si="40"/>
        <v>0</v>
      </c>
      <c r="J96" s="445"/>
      <c r="K96" s="445"/>
      <c r="L96" s="445"/>
      <c r="M96" s="445"/>
      <c r="N96" s="445"/>
      <c r="O96" s="445"/>
      <c r="P96" s="445"/>
      <c r="Q96" s="445">
        <f t="shared" si="40"/>
        <v>0</v>
      </c>
      <c r="R96" s="445"/>
      <c r="S96" s="445">
        <f t="shared" si="40"/>
        <v>0</v>
      </c>
      <c r="T96" s="445"/>
      <c r="U96" s="445"/>
      <c r="V96" s="445"/>
      <c r="W96" s="445"/>
      <c r="X96" s="445"/>
      <c r="Y96" s="954"/>
      <c r="Z96" s="445"/>
      <c r="AA96" s="445"/>
      <c r="AI96" s="670"/>
    </row>
    <row r="97" spans="1:90">
      <c r="A97" s="420" t="s">
        <v>1043</v>
      </c>
      <c r="B97" s="650" t="str">
        <f>AUTOQUESTIONNAIRE!D97</f>
        <v>Prenez-vous un traitement pour faire baisser votre tension artérielle ? (non=0, oui=1)</v>
      </c>
      <c r="C97" s="401">
        <f>AUTOQUESTIONNAIRE!G97</f>
        <v>0</v>
      </c>
      <c r="F97" s="445"/>
      <c r="G97" s="445"/>
      <c r="H97" s="445"/>
      <c r="I97" s="445">
        <f t="shared" si="40"/>
        <v>0</v>
      </c>
      <c r="J97" s="445"/>
      <c r="K97" s="445"/>
      <c r="L97" s="445"/>
      <c r="M97" s="445"/>
      <c r="N97" s="445"/>
      <c r="O97" s="445"/>
      <c r="P97" s="445"/>
      <c r="Q97" s="445">
        <f t="shared" si="40"/>
        <v>0</v>
      </c>
      <c r="R97" s="445"/>
      <c r="S97" s="445">
        <f t="shared" ref="S97" si="45">$C97</f>
        <v>0</v>
      </c>
      <c r="T97" s="445"/>
      <c r="U97" s="445"/>
      <c r="V97" s="445"/>
      <c r="W97" s="445"/>
      <c r="X97" s="445"/>
      <c r="Y97" s="954"/>
      <c r="Z97" s="445"/>
      <c r="AA97" s="445"/>
      <c r="AI97" s="670"/>
    </row>
    <row r="98" spans="1:90">
      <c r="A98" s="420" t="s">
        <v>1043</v>
      </c>
      <c r="B98" s="650" t="str">
        <f>AUTOQUESTIONNAIRE!D98</f>
        <v>Prenez-vous un traitement pour améliorer les troubles de l’érection (inhibiteurs de la PDE5) ? (non=0, oui=1)</v>
      </c>
      <c r="C98" s="401">
        <f>AUTOQUESTIONNAIRE!G98</f>
        <v>0</v>
      </c>
      <c r="F98" s="445"/>
      <c r="G98" s="445">
        <f t="shared" ref="F98:Q100" si="46">$C98</f>
        <v>0</v>
      </c>
      <c r="H98" s="445">
        <f t="shared" si="46"/>
        <v>0</v>
      </c>
      <c r="I98" s="445">
        <f t="shared" si="46"/>
        <v>0</v>
      </c>
      <c r="J98" s="445"/>
      <c r="K98" s="445"/>
      <c r="L98" s="445"/>
      <c r="M98" s="445"/>
      <c r="N98" s="445"/>
      <c r="O98" s="445"/>
      <c r="P98" s="445"/>
      <c r="Q98" s="445">
        <f t="shared" si="46"/>
        <v>0</v>
      </c>
      <c r="R98" s="445"/>
      <c r="S98" s="445"/>
      <c r="T98" s="445"/>
      <c r="U98" s="445"/>
      <c r="V98" s="445"/>
      <c r="W98" s="445"/>
      <c r="X98" s="445"/>
      <c r="Y98" s="954"/>
      <c r="Z98" s="445"/>
      <c r="AA98" s="445"/>
      <c r="AI98" s="670"/>
    </row>
    <row r="99" spans="1:90">
      <c r="A99" s="420" t="s">
        <v>1043</v>
      </c>
      <c r="B99" s="650" t="str">
        <f>AUTOQUESTIONNAIRE!D99</f>
        <v>Utilisez-vous une contraception hormonale (par exemple : pilule contraceptive) ? (non=0, oui=1)</v>
      </c>
      <c r="C99" s="401">
        <f>AUTOQUESTIONNAIRE!G99</f>
        <v>0</v>
      </c>
      <c r="F99" s="445">
        <f t="shared" si="46"/>
        <v>0</v>
      </c>
      <c r="G99" s="445">
        <f t="shared" si="46"/>
        <v>0</v>
      </c>
      <c r="H99" s="445">
        <f t="shared" si="46"/>
        <v>0</v>
      </c>
      <c r="I99" s="445">
        <f t="shared" si="46"/>
        <v>0</v>
      </c>
      <c r="J99" s="445">
        <f t="shared" si="46"/>
        <v>0</v>
      </c>
      <c r="K99" s="445">
        <f t="shared" si="46"/>
        <v>0</v>
      </c>
      <c r="L99" s="445">
        <f t="shared" si="46"/>
        <v>0</v>
      </c>
      <c r="M99" s="445"/>
      <c r="N99" s="445"/>
      <c r="O99" s="445"/>
      <c r="P99" s="445"/>
      <c r="Q99" s="445">
        <f t="shared" si="46"/>
        <v>0</v>
      </c>
      <c r="R99" s="445"/>
      <c r="S99" s="445"/>
      <c r="T99" s="445"/>
      <c r="U99" s="445"/>
      <c r="V99" s="445"/>
      <c r="W99" s="445"/>
      <c r="X99" s="445"/>
      <c r="Y99" s="954"/>
      <c r="Z99" s="445"/>
      <c r="AA99" s="445"/>
      <c r="AI99" s="670"/>
    </row>
    <row r="100" spans="1:90">
      <c r="A100" s="420" t="s">
        <v>1043</v>
      </c>
      <c r="B100" s="650" t="str">
        <f>AUTOQUESTIONNAIRE!D100</f>
        <v>Prenez-vous un traitement hormonal substitutif pour la ménopause ou l’andropause ? (non=0, oui=1)</v>
      </c>
      <c r="C100" s="401">
        <f>AUTOQUESTIONNAIRE!I100</f>
        <v>0</v>
      </c>
      <c r="F100" s="445">
        <f t="shared" si="46"/>
        <v>0</v>
      </c>
      <c r="G100" s="445">
        <f t="shared" si="46"/>
        <v>0</v>
      </c>
      <c r="H100" s="445">
        <f t="shared" si="46"/>
        <v>0</v>
      </c>
      <c r="I100" s="445">
        <f t="shared" si="46"/>
        <v>0</v>
      </c>
      <c r="J100" s="445">
        <f t="shared" si="46"/>
        <v>0</v>
      </c>
      <c r="K100" s="445">
        <f t="shared" si="46"/>
        <v>0</v>
      </c>
      <c r="L100" s="445">
        <f t="shared" si="46"/>
        <v>0</v>
      </c>
      <c r="M100" s="445"/>
      <c r="N100" s="445"/>
      <c r="O100" s="445"/>
      <c r="P100" s="445"/>
      <c r="Q100" s="445">
        <f t="shared" si="46"/>
        <v>0</v>
      </c>
      <c r="R100" s="445"/>
      <c r="S100" s="445"/>
      <c r="T100" s="445"/>
      <c r="U100" s="445"/>
      <c r="V100" s="445"/>
      <c r="W100" s="445"/>
      <c r="X100" s="445"/>
      <c r="Y100" s="954"/>
      <c r="Z100" s="445"/>
      <c r="AA100" s="445"/>
      <c r="AI100" s="670"/>
    </row>
    <row r="101" spans="1:90">
      <c r="A101" s="420" t="s">
        <v>1043</v>
      </c>
      <c r="B101" s="948" t="str">
        <f>AUTOQUESTIONNAIRE!D101</f>
        <v>Prenez-vous l’un des médicaments suivants : Dutastéride ou Finastéride (5-ARI) ? (non=0, oui=1)</v>
      </c>
      <c r="C101" s="945"/>
      <c r="D101" s="940"/>
      <c r="E101" s="940"/>
      <c r="F101" s="941"/>
      <c r="G101" s="941"/>
      <c r="H101" s="941"/>
      <c r="I101" s="941"/>
      <c r="J101" s="941"/>
      <c r="K101" s="941"/>
      <c r="L101" s="941"/>
      <c r="M101" s="941"/>
      <c r="N101" s="941"/>
      <c r="O101" s="941"/>
      <c r="P101" s="941"/>
      <c r="Q101" s="941"/>
      <c r="R101" s="941"/>
      <c r="S101" s="941"/>
      <c r="T101" s="941"/>
      <c r="U101" s="941"/>
      <c r="V101" s="941"/>
      <c r="W101" s="941"/>
      <c r="X101" s="941"/>
      <c r="Y101" s="954"/>
      <c r="Z101" s="941"/>
      <c r="AA101" s="941"/>
      <c r="AB101" s="942"/>
      <c r="AC101" s="942"/>
      <c r="AD101" s="942"/>
      <c r="AE101" s="942"/>
      <c r="AF101" s="942"/>
      <c r="AG101" s="942"/>
      <c r="AH101" s="942"/>
      <c r="AI101" s="942"/>
      <c r="AJ101" s="942"/>
      <c r="AK101" s="942"/>
      <c r="AL101" s="942"/>
      <c r="AM101" s="941"/>
      <c r="AN101" s="941"/>
      <c r="AO101" s="941"/>
      <c r="AP101" s="941"/>
      <c r="AQ101" s="941"/>
      <c r="AR101" s="941"/>
      <c r="AS101" s="941"/>
      <c r="AT101" s="941"/>
      <c r="AU101" s="941"/>
      <c r="AV101" s="941"/>
      <c r="AW101" s="941"/>
      <c r="AX101" s="941"/>
      <c r="AY101" s="941"/>
      <c r="AZ101" s="941"/>
      <c r="BA101" s="942"/>
      <c r="BB101" s="942"/>
      <c r="BC101" s="942"/>
      <c r="BD101" s="942"/>
      <c r="BE101" s="942"/>
      <c r="BF101" s="942"/>
      <c r="BG101" s="942"/>
      <c r="BH101" s="942"/>
      <c r="BI101" s="942"/>
      <c r="BJ101" s="942"/>
      <c r="BK101" s="942"/>
      <c r="BL101" s="942"/>
      <c r="BM101" s="942"/>
      <c r="BN101" s="942"/>
      <c r="BO101" s="942"/>
      <c r="BP101" s="942"/>
      <c r="BQ101" s="942"/>
      <c r="BR101" s="942"/>
      <c r="BS101" s="942"/>
      <c r="BT101" s="943"/>
      <c r="BU101" s="940"/>
      <c r="BV101" s="940"/>
      <c r="BW101" s="940"/>
      <c r="BX101" s="940"/>
      <c r="BY101" s="940"/>
      <c r="BZ101" s="940"/>
      <c r="CA101" s="940"/>
      <c r="CB101" s="940"/>
      <c r="CC101" s="940"/>
      <c r="CD101" s="940"/>
      <c r="CE101" s="940"/>
      <c r="CF101" s="940"/>
      <c r="CG101" s="940"/>
      <c r="CH101" s="940"/>
      <c r="CI101" s="940"/>
      <c r="CJ101" s="940"/>
      <c r="CK101" s="940"/>
      <c r="CL101" s="940"/>
    </row>
    <row r="102" spans="1:90">
      <c r="A102" s="420"/>
      <c r="B102" s="949" t="str">
        <f>AUTOQUESTIONNAIRE!D102</f>
        <v>Prenez-vous un traitement pour les troubles du rythme cardiaque (arythmie) ? (non=0, oui=1)</v>
      </c>
      <c r="C102" s="945"/>
      <c r="D102" s="940"/>
      <c r="E102" s="940"/>
      <c r="F102" s="941"/>
      <c r="G102" s="941"/>
      <c r="H102" s="941"/>
      <c r="I102" s="941"/>
      <c r="J102" s="941"/>
      <c r="K102" s="941"/>
      <c r="L102" s="941"/>
      <c r="M102" s="941"/>
      <c r="N102" s="941"/>
      <c r="O102" s="941"/>
      <c r="P102" s="941"/>
      <c r="Q102" s="941"/>
      <c r="R102" s="941"/>
      <c r="S102" s="941"/>
      <c r="T102" s="941"/>
      <c r="U102" s="941"/>
      <c r="V102" s="941"/>
      <c r="W102" s="941"/>
      <c r="X102" s="941"/>
      <c r="Y102" s="954"/>
      <c r="Z102" s="941"/>
      <c r="AA102" s="941"/>
      <c r="AB102" s="942"/>
      <c r="AC102" s="942"/>
      <c r="AD102" s="942"/>
      <c r="AE102" s="942"/>
      <c r="AF102" s="942"/>
      <c r="AG102" s="942"/>
      <c r="AH102" s="942"/>
      <c r="AI102" s="942"/>
      <c r="AJ102" s="942"/>
      <c r="AK102" s="942"/>
      <c r="AL102" s="942"/>
      <c r="AM102" s="941"/>
      <c r="AN102" s="941"/>
      <c r="AO102" s="941"/>
      <c r="AP102" s="941"/>
      <c r="AQ102" s="941"/>
      <c r="AR102" s="941"/>
      <c r="AS102" s="941"/>
      <c r="AT102" s="941"/>
      <c r="AU102" s="941"/>
      <c r="AV102" s="941"/>
      <c r="AW102" s="941"/>
      <c r="AX102" s="941"/>
      <c r="AY102" s="941"/>
      <c r="AZ102" s="941"/>
      <c r="BA102" s="942"/>
      <c r="BB102" s="942"/>
      <c r="BC102" s="942"/>
      <c r="BD102" s="942"/>
      <c r="BE102" s="942"/>
      <c r="BF102" s="942"/>
      <c r="BG102" s="942"/>
      <c r="BH102" s="942"/>
      <c r="BI102" s="942"/>
      <c r="BJ102" s="942"/>
      <c r="BK102" s="942"/>
      <c r="BL102" s="942"/>
      <c r="BM102" s="942"/>
      <c r="BN102" s="942"/>
      <c r="BO102" s="942"/>
      <c r="BP102" s="942"/>
      <c r="BQ102" s="942"/>
      <c r="BR102" s="942"/>
      <c r="BS102" s="942"/>
      <c r="BT102" s="943"/>
      <c r="BU102" s="940"/>
      <c r="BV102" s="940"/>
      <c r="BW102" s="940"/>
      <c r="BX102" s="940"/>
      <c r="BY102" s="940"/>
      <c r="BZ102" s="940"/>
      <c r="CA102" s="940"/>
      <c r="CB102" s="940"/>
      <c r="CC102" s="940"/>
      <c r="CD102" s="940"/>
      <c r="CE102" s="940"/>
      <c r="CF102" s="940"/>
      <c r="CG102" s="940"/>
      <c r="CH102" s="940"/>
      <c r="CI102" s="940"/>
      <c r="CJ102" s="940"/>
      <c r="CK102" s="940"/>
      <c r="CL102" s="940"/>
    </row>
    <row r="103" spans="1:90">
      <c r="A103" s="420"/>
      <c r="B103" s="650" t="str">
        <f>AUTOQUESTIONNAIRE!D103</f>
        <v>Prenez-vous un traitement qui diminue l’activité du système immunitaire (dans le cas de maladies auto-immunes ou de transplantation d’organe) ? (non=0, oui=1)</v>
      </c>
      <c r="C103" s="401">
        <f>AUTOQUESTIONNAIRE!G103</f>
        <v>0</v>
      </c>
      <c r="F103" s="445">
        <f t="shared" si="40"/>
        <v>0</v>
      </c>
      <c r="G103" s="445"/>
      <c r="H103" s="445"/>
      <c r="I103" s="445">
        <f t="shared" si="40"/>
        <v>0</v>
      </c>
      <c r="J103" s="445"/>
      <c r="K103" s="445"/>
      <c r="L103" s="445"/>
      <c r="M103" s="445"/>
      <c r="N103" s="445"/>
      <c r="O103" s="445"/>
      <c r="P103" s="445"/>
      <c r="Q103" s="445">
        <f t="shared" si="40"/>
        <v>0</v>
      </c>
      <c r="R103" s="445"/>
      <c r="S103" s="445">
        <f t="shared" si="40"/>
        <v>0</v>
      </c>
      <c r="T103" s="445"/>
      <c r="U103" s="445"/>
      <c r="V103" s="445"/>
      <c r="W103" s="445"/>
      <c r="X103" s="445"/>
      <c r="Y103" s="954"/>
      <c r="Z103" s="445"/>
      <c r="AA103" s="445"/>
      <c r="AI103" s="670"/>
    </row>
    <row r="104" spans="1:90">
      <c r="A104" s="420" t="s">
        <v>1043</v>
      </c>
      <c r="B104" s="949" t="str">
        <f>AUTOQUESTIONNAIRE!D104</f>
        <v>Prenez-vous un traitement contre l’anxiété ou la dépression ? (non=0, oui=1)</v>
      </c>
      <c r="C104" s="945"/>
      <c r="D104" s="940"/>
      <c r="E104" s="940"/>
      <c r="F104" s="941"/>
      <c r="G104" s="941"/>
      <c r="H104" s="941"/>
      <c r="I104" s="941"/>
      <c r="J104" s="941"/>
      <c r="K104" s="941"/>
      <c r="L104" s="941"/>
      <c r="M104" s="941"/>
      <c r="N104" s="941"/>
      <c r="O104" s="941"/>
      <c r="P104" s="941"/>
      <c r="Q104" s="941"/>
      <c r="R104" s="941"/>
      <c r="S104" s="941"/>
      <c r="T104" s="941"/>
      <c r="U104" s="941"/>
      <c r="V104" s="941"/>
      <c r="W104" s="941"/>
      <c r="X104" s="941"/>
      <c r="Y104" s="954"/>
      <c r="Z104" s="941"/>
      <c r="AA104" s="941"/>
      <c r="AB104" s="942"/>
      <c r="AC104" s="942"/>
      <c r="AD104" s="942"/>
      <c r="AE104" s="942"/>
      <c r="AF104" s="942"/>
      <c r="AG104" s="942"/>
      <c r="AH104" s="942"/>
      <c r="AI104" s="942"/>
      <c r="AJ104" s="942"/>
      <c r="AK104" s="942"/>
      <c r="AL104" s="942"/>
      <c r="AM104" s="941"/>
      <c r="AN104" s="941"/>
      <c r="AO104" s="941"/>
      <c r="AP104" s="941"/>
      <c r="AQ104" s="941"/>
      <c r="AR104" s="941"/>
      <c r="AS104" s="941"/>
      <c r="AT104" s="941"/>
      <c r="AU104" s="941"/>
      <c r="AV104" s="941"/>
      <c r="AW104" s="941"/>
      <c r="AX104" s="941"/>
      <c r="AY104" s="941"/>
      <c r="AZ104" s="941"/>
      <c r="BA104" s="942"/>
      <c r="BB104" s="942"/>
      <c r="BC104" s="942"/>
      <c r="BD104" s="942"/>
      <c r="BE104" s="942"/>
      <c r="BF104" s="942"/>
      <c r="BG104" s="942"/>
      <c r="BH104" s="942"/>
      <c r="BI104" s="942"/>
      <c r="BJ104" s="942"/>
      <c r="BK104" s="942"/>
      <c r="BL104" s="942"/>
      <c r="BM104" s="942"/>
      <c r="BN104" s="942"/>
      <c r="BO104" s="942"/>
      <c r="BP104" s="942"/>
      <c r="BQ104" s="942"/>
      <c r="BR104" s="942"/>
      <c r="BS104" s="942"/>
      <c r="BT104" s="943"/>
      <c r="BU104" s="940"/>
      <c r="BV104" s="940"/>
      <c r="BW104" s="940"/>
      <c r="BX104" s="940"/>
      <c r="BY104" s="940"/>
      <c r="BZ104" s="940"/>
      <c r="CA104" s="940"/>
      <c r="CB104" s="940"/>
      <c r="CC104" s="940"/>
      <c r="CD104" s="940"/>
      <c r="CE104" s="940"/>
      <c r="CF104" s="940"/>
      <c r="CG104" s="940"/>
      <c r="CH104" s="940"/>
      <c r="CI104" s="940"/>
      <c r="CJ104" s="940"/>
      <c r="CK104" s="940"/>
      <c r="CL104" s="940"/>
    </row>
    <row r="105" spans="1:90">
      <c r="A105" s="420" t="s">
        <v>1043</v>
      </c>
      <c r="B105" s="650" t="str">
        <f>AUTOQUESTIONNAIRE!D105</f>
        <v>Avez-vous suivi un traitement par corticoïdes pendant plus de trois mois ? (non=0, oui=1)</v>
      </c>
      <c r="C105" s="401">
        <f>AUTOQUESTIONNAIRE!G105</f>
        <v>0</v>
      </c>
      <c r="E105" s="358"/>
      <c r="F105" s="445"/>
      <c r="G105" s="445"/>
      <c r="H105" s="445"/>
      <c r="I105" s="445"/>
      <c r="J105" s="445"/>
      <c r="K105" s="445"/>
      <c r="L105" s="445"/>
      <c r="M105" s="445"/>
      <c r="N105" s="445"/>
      <c r="O105" s="445"/>
      <c r="P105" s="445"/>
      <c r="Q105" s="445"/>
      <c r="R105" s="445"/>
      <c r="S105" s="445"/>
      <c r="T105" s="445"/>
      <c r="U105" s="445"/>
      <c r="V105" s="445"/>
      <c r="W105" s="445"/>
      <c r="X105" s="445"/>
      <c r="Y105" s="954"/>
      <c r="Z105" s="445"/>
      <c r="AI105" s="670"/>
      <c r="AK105" s="445"/>
      <c r="AL105" s="445"/>
      <c r="AZ105" s="443"/>
    </row>
    <row r="106" spans="1:90">
      <c r="A106" s="420" t="s">
        <v>1043</v>
      </c>
      <c r="B106" s="650" t="str">
        <f>AUTOQUESTIONNAIRE!D106</f>
        <v>Prenez-vous un traitement pour un trouble de la thyroïde ? (non=0, oui=1)</v>
      </c>
      <c r="C106" s="401">
        <f>AUTOQUESTIONNAIRE!G106</f>
        <v>0</v>
      </c>
      <c r="E106" s="358"/>
      <c r="F106" s="445"/>
      <c r="G106" s="445"/>
      <c r="H106" s="445"/>
      <c r="I106" s="445"/>
      <c r="J106" s="445"/>
      <c r="K106" s="445"/>
      <c r="L106" s="445"/>
      <c r="M106" s="445"/>
      <c r="N106" s="445"/>
      <c r="O106" s="445"/>
      <c r="P106" s="445"/>
      <c r="Q106" s="445"/>
      <c r="R106" s="445"/>
      <c r="S106" s="445"/>
      <c r="T106" s="445"/>
      <c r="U106" s="445"/>
      <c r="V106" s="445"/>
      <c r="W106" s="445"/>
      <c r="X106" s="445"/>
      <c r="Y106" s="954"/>
      <c r="Z106" s="445"/>
      <c r="AI106" s="670"/>
      <c r="AK106" s="445"/>
      <c r="AL106" s="445"/>
      <c r="AZ106" s="443"/>
    </row>
    <row r="107" spans="1:90">
      <c r="C107" s="401"/>
      <c r="E107" s="358"/>
      <c r="F107" s="445"/>
      <c r="G107" s="445"/>
      <c r="H107" s="445"/>
      <c r="I107" s="445"/>
      <c r="J107" s="445"/>
      <c r="K107" s="445"/>
      <c r="L107" s="445"/>
      <c r="M107" s="445"/>
      <c r="N107" s="445"/>
      <c r="O107" s="445"/>
      <c r="P107" s="445"/>
      <c r="Q107" s="445"/>
      <c r="R107" s="445"/>
      <c r="S107" s="445"/>
      <c r="T107" s="445"/>
      <c r="U107" s="445"/>
      <c r="V107" s="445"/>
      <c r="W107" s="445"/>
      <c r="X107" s="445"/>
      <c r="Y107" s="954"/>
      <c r="Z107" s="445"/>
      <c r="AK107" s="445"/>
      <c r="AL107" s="445"/>
      <c r="AZ107" s="443"/>
    </row>
    <row r="108" spans="1:90">
      <c r="A108" s="421" t="s">
        <v>1044</v>
      </c>
      <c r="B108" s="359" t="str">
        <f>AUTOQUESTIONNAIRE!D108</f>
        <v>Votre père  il eu un cancer ? (non=0, oui=1, ne sais pas=2)</v>
      </c>
      <c r="C108" s="401"/>
      <c r="F108" s="445"/>
      <c r="G108" s="445"/>
      <c r="H108" s="445"/>
      <c r="I108" s="445"/>
      <c r="J108" s="445"/>
      <c r="K108" s="445"/>
      <c r="L108" s="445"/>
      <c r="M108" s="445"/>
      <c r="N108" s="445"/>
      <c r="O108" s="445"/>
      <c r="P108" s="445"/>
      <c r="Q108" s="445"/>
      <c r="R108" s="445"/>
      <c r="S108" s="445"/>
      <c r="T108" s="445"/>
      <c r="U108" s="445"/>
      <c r="V108" s="445"/>
      <c r="W108" s="445"/>
      <c r="X108" s="445"/>
      <c r="Y108" s="954"/>
      <c r="Z108" s="445"/>
      <c r="AA108" s="445"/>
      <c r="AI108" s="670"/>
      <c r="BP108" s="445"/>
    </row>
    <row r="109" spans="1:90">
      <c r="A109" s="421" t="s">
        <v>1044</v>
      </c>
      <c r="B109" s="359" t="str">
        <f>AUTOQUESTIONNAIRE!D109</f>
        <v>Votre père a-t-il eu un cancer de la prostate avant l'âge de 70 ans ? (non=0, oui=1)</v>
      </c>
      <c r="C109" s="401">
        <f>AUTOQUESTIONNAIRE!I109</f>
        <v>0</v>
      </c>
      <c r="F109" s="445"/>
      <c r="G109" s="445"/>
      <c r="H109" s="445"/>
      <c r="I109" s="445"/>
      <c r="J109" s="445"/>
      <c r="K109" s="445"/>
      <c r="L109" s="445"/>
      <c r="M109" s="445"/>
      <c r="N109" s="445">
        <f>IF($C109&gt;1,1,0)</f>
        <v>0</v>
      </c>
      <c r="O109" s="445"/>
      <c r="P109" s="445"/>
      <c r="Q109" s="445"/>
      <c r="R109" s="445"/>
      <c r="S109" s="445"/>
      <c r="T109" s="445"/>
      <c r="U109" s="445"/>
      <c r="V109" s="445"/>
      <c r="W109" s="445"/>
      <c r="X109" s="445"/>
      <c r="Y109" s="954"/>
      <c r="Z109" s="445"/>
      <c r="AA109" s="445"/>
      <c r="AI109" s="670"/>
      <c r="BP109" s="445">
        <f t="shared" ref="BP109" si="47">$C109</f>
        <v>0</v>
      </c>
    </row>
    <row r="110" spans="1:90">
      <c r="A110" s="421" t="s">
        <v>1044</v>
      </c>
      <c r="B110" s="359" t="str">
        <f>AUTOQUESTIONNAIRE!D110</f>
        <v>Votre père ou votre mère  ont-il eu un cancer du colon avant l'âge de 70 ans ? (non=0, oui=1)</v>
      </c>
      <c r="C110" s="401">
        <f>AUTOQUESTIONNAIRE!I110</f>
        <v>0</v>
      </c>
      <c r="F110" s="445"/>
      <c r="G110" s="445"/>
      <c r="H110" s="445"/>
      <c r="I110" s="445"/>
      <c r="J110" s="445"/>
      <c r="K110" s="445"/>
      <c r="L110" s="445"/>
      <c r="M110" s="445"/>
      <c r="N110" s="445"/>
      <c r="O110" s="445"/>
      <c r="P110" s="445"/>
      <c r="Q110" s="445"/>
      <c r="R110" s="445"/>
      <c r="S110" s="445"/>
      <c r="T110" s="445"/>
      <c r="U110" s="445"/>
      <c r="V110" s="445"/>
      <c r="W110" s="445"/>
      <c r="X110" s="445"/>
      <c r="Y110" s="954">
        <f>IF($C110&gt;1,1,0)</f>
        <v>0</v>
      </c>
      <c r="Z110" s="445"/>
      <c r="AA110" s="445"/>
      <c r="AI110" s="670"/>
      <c r="BO110" s="445">
        <f>$C113</f>
        <v>0</v>
      </c>
    </row>
    <row r="111" spans="1:90">
      <c r="A111" s="421" t="s">
        <v>1044</v>
      </c>
      <c r="B111" s="359" t="str">
        <f>AUTOQUESTIONNAIRE!D111</f>
        <v>Votre père ou votre mère  ont-il eu un mélanome ? (non=0, oui=1)</v>
      </c>
      <c r="C111" s="401">
        <f>AUTOQUESTIONNAIRE!I111</f>
        <v>0</v>
      </c>
      <c r="F111" s="445"/>
      <c r="G111" s="445"/>
      <c r="H111" s="445"/>
      <c r="I111" s="445"/>
      <c r="J111" s="445"/>
      <c r="K111" s="445"/>
      <c r="L111" s="445"/>
      <c r="M111" s="445"/>
      <c r="N111" s="445"/>
      <c r="O111" s="445"/>
      <c r="P111" s="445"/>
      <c r="Q111" s="445"/>
      <c r="R111" s="445"/>
      <c r="S111" s="445"/>
      <c r="T111" s="445"/>
      <c r="U111" s="445"/>
      <c r="V111" s="445"/>
      <c r="W111" s="445"/>
      <c r="X111" s="445"/>
      <c r="Y111" s="954"/>
      <c r="Z111" s="445"/>
      <c r="AA111" s="445"/>
      <c r="AI111" s="670"/>
      <c r="AT111" s="445">
        <f t="shared" ref="AT111" si="48">$C111</f>
        <v>0</v>
      </c>
    </row>
    <row r="112" spans="1:90">
      <c r="A112" s="421" t="s">
        <v>1044</v>
      </c>
      <c r="B112" s="359" t="str">
        <f>AUTOQUESTIONNAIRE!D112</f>
        <v>Votre mére a-t-elle eu un cancer du sein, de l'utérus ou des ovaires avant l'âge de 50 ans ?  (non=0, oui=1)</v>
      </c>
      <c r="C112" s="401">
        <f>AUTOQUESTIONNAIRE!I112</f>
        <v>0</v>
      </c>
      <c r="F112" s="445"/>
      <c r="G112" s="445"/>
      <c r="H112" s="445"/>
      <c r="I112" s="445"/>
      <c r="J112" s="445"/>
      <c r="K112" s="445"/>
      <c r="L112" s="445"/>
      <c r="M112" s="445"/>
      <c r="N112" s="445">
        <f>IF($C112&gt;1,1,0)</f>
        <v>0</v>
      </c>
      <c r="O112" s="445"/>
      <c r="P112" s="445"/>
      <c r="Q112" s="445"/>
      <c r="R112" s="445"/>
      <c r="S112" s="445"/>
      <c r="T112" s="445"/>
      <c r="U112" s="445"/>
      <c r="V112" s="445"/>
      <c r="W112" s="445"/>
      <c r="X112" s="445"/>
      <c r="Y112" s="954"/>
      <c r="Z112" s="445"/>
      <c r="AA112" s="445"/>
      <c r="AI112" s="670"/>
      <c r="BN112" s="445">
        <f t="shared" ref="BN112" si="49">$C112</f>
        <v>0</v>
      </c>
      <c r="BS112" s="672">
        <f>$C112</f>
        <v>0</v>
      </c>
    </row>
    <row r="113" spans="1:71">
      <c r="A113" s="421" t="s">
        <v>1044</v>
      </c>
      <c r="B113" s="359" t="str">
        <f>AUTOQUESTIONNAIRE!D113</f>
        <v>Votre père ou votre mére ont-ils eu un cancer du rein avant l'âge de 50 ans ?  (non=0, oui=1)</v>
      </c>
      <c r="C113" s="401">
        <f>AUTOQUESTIONNAIRE!I113</f>
        <v>0</v>
      </c>
      <c r="F113" s="445"/>
      <c r="G113" s="445"/>
      <c r="H113" s="445"/>
      <c r="I113" s="445"/>
      <c r="J113" s="445"/>
      <c r="K113" s="445"/>
      <c r="L113" s="445"/>
      <c r="M113" s="445"/>
      <c r="N113" s="445"/>
      <c r="O113" s="445"/>
      <c r="P113" s="445"/>
      <c r="Q113" s="445"/>
      <c r="R113" s="445"/>
      <c r="S113" s="445"/>
      <c r="T113" s="445"/>
      <c r="U113" s="445"/>
      <c r="V113" s="445"/>
      <c r="W113" s="445"/>
      <c r="X113" s="445"/>
      <c r="Y113" s="954">
        <f>IF($C113&gt;1,1,0)</f>
        <v>0</v>
      </c>
      <c r="Z113" s="445"/>
      <c r="AA113" s="445"/>
      <c r="AI113" s="670"/>
    </row>
    <row r="114" spans="1:71">
      <c r="A114" s="421" t="s">
        <v>1044</v>
      </c>
      <c r="B114" s="359" t="str">
        <f>AUTOQUESTIONNAIRE!D114</f>
        <v>Combien de fréres et sœurs de plus de 35 ans avez-vous ? (0=0, 1=1, 2=2ou plus)</v>
      </c>
      <c r="C114" s="401">
        <f>AUTOQUESTIONNAIRE!I114</f>
        <v>0</v>
      </c>
      <c r="F114" s="445"/>
      <c r="G114" s="445"/>
      <c r="H114" s="445"/>
      <c r="I114" s="445"/>
      <c r="J114" s="445"/>
      <c r="K114" s="445"/>
      <c r="L114" s="445"/>
      <c r="M114" s="445"/>
      <c r="N114" s="445"/>
      <c r="O114" s="445"/>
      <c r="P114" s="445"/>
      <c r="Q114" s="445"/>
      <c r="R114" s="445"/>
      <c r="S114" s="445"/>
      <c r="T114" s="445"/>
      <c r="U114" s="445"/>
      <c r="V114" s="445"/>
      <c r="W114" s="445"/>
      <c r="X114" s="445"/>
      <c r="Y114" s="954"/>
      <c r="Z114" s="445"/>
      <c r="AA114" s="445"/>
      <c r="AI114" s="670"/>
    </row>
    <row r="115" spans="1:71">
      <c r="A115" s="421" t="s">
        <v>1044</v>
      </c>
      <c r="B115" s="359" t="str">
        <f>AUTOQUESTIONNAIRE!D115</f>
        <v>Combien de fréres et sœurs ont eu un cancer ?  (0=0, 1=1, 2=2ou plus)</v>
      </c>
      <c r="C115" s="401">
        <f>AUTOQUESTIONNAIRE!I115</f>
        <v>0</v>
      </c>
      <c r="F115" s="445"/>
      <c r="G115" s="445"/>
      <c r="H115" s="445"/>
      <c r="I115" s="445"/>
      <c r="J115" s="445"/>
      <c r="K115" s="445"/>
      <c r="L115" s="445"/>
      <c r="M115" s="445"/>
      <c r="N115" s="445"/>
      <c r="O115" s="445"/>
      <c r="P115" s="445"/>
      <c r="Q115" s="445"/>
      <c r="R115" s="445"/>
      <c r="S115" s="445"/>
      <c r="T115" s="445"/>
      <c r="U115" s="445"/>
      <c r="V115" s="445"/>
      <c r="W115" s="445"/>
      <c r="X115" s="445"/>
      <c r="Y115" s="954"/>
      <c r="Z115" s="445"/>
      <c r="AA115" s="445"/>
      <c r="AI115" s="670"/>
    </row>
    <row r="116" spans="1:71">
      <c r="A116" s="421" t="s">
        <v>1044</v>
      </c>
      <c r="B116" s="359" t="str">
        <f>AUTOQUESTIONNAIRE!D116</f>
        <v>Combien de frére(s) ont eu un cancer de la prostate ? (0=0, 1=1, 2=2ou plus)</v>
      </c>
      <c r="C116" s="401">
        <f>AUTOQUESTIONNAIRE!I116</f>
        <v>0</v>
      </c>
      <c r="F116" s="445"/>
      <c r="G116" s="445"/>
      <c r="H116" s="445"/>
      <c r="I116" s="445"/>
      <c r="J116" s="445"/>
      <c r="K116" s="445"/>
      <c r="L116" s="445"/>
      <c r="M116" s="445"/>
      <c r="N116" s="445">
        <f>IF($C116&gt;1,1,0)</f>
        <v>0</v>
      </c>
      <c r="O116" s="445"/>
      <c r="P116" s="445"/>
      <c r="Q116" s="445"/>
      <c r="R116" s="445"/>
      <c r="S116" s="445"/>
      <c r="T116" s="445"/>
      <c r="U116" s="445"/>
      <c r="V116" s="445"/>
      <c r="W116" s="445"/>
      <c r="X116" s="445"/>
      <c r="Y116" s="954"/>
      <c r="Z116" s="445"/>
      <c r="AA116" s="445"/>
      <c r="AI116" s="670"/>
      <c r="BP116" s="445">
        <f t="shared" ref="BP116" si="50">$C116</f>
        <v>0</v>
      </c>
    </row>
    <row r="117" spans="1:71">
      <c r="A117" s="421" t="s">
        <v>1044</v>
      </c>
      <c r="B117" s="359" t="str">
        <f>AUTOQUESTIONNAIRE!D117</f>
        <v>Combien de soeur(s) ou frére(s) ont eu un cancer du sein ou de sœurs un cancer de l'ovaire ou de l'utérus ? (0=0, 1=1, 2=2ou plus)</v>
      </c>
      <c r="C117" s="401">
        <f>AUTOQUESTIONNAIRE!I117</f>
        <v>0</v>
      </c>
      <c r="F117" s="445"/>
      <c r="G117" s="445"/>
      <c r="H117" s="445"/>
      <c r="I117" s="445"/>
      <c r="J117" s="445"/>
      <c r="K117" s="445"/>
      <c r="L117" s="445"/>
      <c r="M117" s="445"/>
      <c r="N117" s="445">
        <f>IF($C117&gt;1,1,0)</f>
        <v>0</v>
      </c>
      <c r="O117" s="445"/>
      <c r="P117" s="445"/>
      <c r="Q117" s="445"/>
      <c r="R117" s="445"/>
      <c r="S117" s="445"/>
      <c r="T117" s="445"/>
      <c r="U117" s="445"/>
      <c r="V117" s="445"/>
      <c r="W117" s="445"/>
      <c r="X117" s="445"/>
      <c r="Y117" s="954"/>
      <c r="Z117" s="445"/>
      <c r="AA117" s="445"/>
      <c r="AI117" s="670"/>
      <c r="BN117" s="445">
        <f t="shared" ref="BN117" si="51">$C117</f>
        <v>0</v>
      </c>
      <c r="BS117" s="672">
        <f>$C117</f>
        <v>0</v>
      </c>
    </row>
    <row r="118" spans="1:71">
      <c r="A118" s="421" t="s">
        <v>1044</v>
      </c>
      <c r="B118" s="359" t="str">
        <f>AUTOQUESTIONNAIRE!D118</f>
        <v>Combien de soeur(s) ou frére(s) ont eu un mélanome ? (0=0, 1=1, 2=2ou plus)</v>
      </c>
      <c r="C118" s="401">
        <f>AUTOQUESTIONNAIRE!I118</f>
        <v>0</v>
      </c>
      <c r="F118" s="445"/>
      <c r="G118" s="445"/>
      <c r="H118" s="445"/>
      <c r="I118" s="445"/>
      <c r="J118" s="445"/>
      <c r="K118" s="445"/>
      <c r="L118" s="445"/>
      <c r="M118" s="445"/>
      <c r="N118" s="445"/>
      <c r="O118" s="445"/>
      <c r="P118" s="445"/>
      <c r="Q118" s="445"/>
      <c r="R118" s="445"/>
      <c r="S118" s="445"/>
      <c r="T118" s="445"/>
      <c r="U118" s="445"/>
      <c r="V118" s="445"/>
      <c r="W118" s="445"/>
      <c r="X118" s="445"/>
      <c r="Y118" s="954"/>
      <c r="Z118" s="445"/>
      <c r="AA118" s="445"/>
      <c r="AI118" s="670"/>
      <c r="AT118" s="445">
        <f t="shared" ref="AT118" si="52">$C118</f>
        <v>0</v>
      </c>
    </row>
    <row r="119" spans="1:71">
      <c r="A119" s="421"/>
      <c r="B119" s="359" t="str">
        <f>AUTOQUESTIONNAIRE!D119</f>
        <v>Combien de soeur(s) ou frére(s) ont eu un cancer du rein ? (0=0, 1=1, 2=2ou plus)</v>
      </c>
      <c r="C119" s="401">
        <f>AUTOQUESTIONNAIRE!I119</f>
        <v>0</v>
      </c>
      <c r="F119" s="445"/>
      <c r="G119" s="445"/>
      <c r="H119" s="445"/>
      <c r="I119" s="445"/>
      <c r="J119" s="445"/>
      <c r="K119" s="445"/>
      <c r="L119" s="445"/>
      <c r="M119" s="445"/>
      <c r="N119" s="445"/>
      <c r="O119" s="445"/>
      <c r="P119" s="445"/>
      <c r="Q119" s="445"/>
      <c r="R119" s="445"/>
      <c r="S119" s="445"/>
      <c r="T119" s="445"/>
      <c r="U119" s="445"/>
      <c r="V119" s="445"/>
      <c r="W119" s="445"/>
      <c r="X119" s="445"/>
      <c r="Y119" s="954"/>
      <c r="Z119" s="445"/>
      <c r="AA119" s="445"/>
      <c r="AI119" s="670"/>
    </row>
    <row r="120" spans="1:71">
      <c r="A120" s="421" t="s">
        <v>1044</v>
      </c>
      <c r="B120" s="359" t="str">
        <f>AUTOQUESTIONNAIRE!D120</f>
        <v>Combien de soeur(s) ou frére(s) ont eu un cancer du colon ? (0=0, 1=1, 2=2ou plus)</v>
      </c>
      <c r="C120" s="401">
        <f>AUTOQUESTIONNAIRE!I120</f>
        <v>0</v>
      </c>
      <c r="F120" s="445"/>
      <c r="G120" s="445"/>
      <c r="H120" s="445"/>
      <c r="I120" s="445"/>
      <c r="J120" s="445"/>
      <c r="K120" s="445"/>
      <c r="L120" s="445"/>
      <c r="M120" s="445"/>
      <c r="N120" s="445"/>
      <c r="O120" s="445"/>
      <c r="P120" s="445"/>
      <c r="Q120" s="445"/>
      <c r="R120" s="445"/>
      <c r="S120" s="445"/>
      <c r="T120" s="445"/>
      <c r="U120" s="445"/>
      <c r="V120" s="445"/>
      <c r="W120" s="445"/>
      <c r="X120" s="445"/>
      <c r="Y120" s="954">
        <f>IF($C120&gt;1,1,0)</f>
        <v>0</v>
      </c>
      <c r="Z120" s="445"/>
      <c r="AA120" s="445"/>
      <c r="AI120" s="670"/>
      <c r="BO120" s="445">
        <f t="shared" ref="BO120" si="53">$C120</f>
        <v>0</v>
      </c>
    </row>
    <row r="121" spans="1:71">
      <c r="A121" s="421" t="s">
        <v>1044</v>
      </c>
      <c r="B121" s="359" t="str">
        <f>AUTOQUESTIONNAIRE!D121</f>
        <v>Avez-vous un parent (mère, père, sœur, frère) qui a eu un ou des calcul(s) de la vésicule biliaire ou une ablation de la vésicule biliaire ?   (non=0, oui=1, ne sais pas=2)</v>
      </c>
      <c r="C121" s="401">
        <f>AUTOQUESTIONNAIRE!I121</f>
        <v>0</v>
      </c>
      <c r="F121" s="445"/>
      <c r="G121" s="445"/>
      <c r="H121" s="445"/>
      <c r="I121" s="445"/>
      <c r="J121" s="445"/>
      <c r="K121" s="445"/>
      <c r="L121" s="445"/>
      <c r="M121" s="445"/>
      <c r="N121" s="445"/>
      <c r="O121" s="445"/>
      <c r="P121" s="445"/>
      <c r="Q121" s="445"/>
      <c r="R121" s="445"/>
      <c r="S121" s="445"/>
      <c r="T121" s="445"/>
      <c r="U121" s="445"/>
      <c r="V121" s="445"/>
      <c r="W121" s="445"/>
      <c r="X121" s="445"/>
      <c r="Y121" s="954"/>
      <c r="Z121" s="445"/>
      <c r="AA121" s="445"/>
      <c r="AI121" s="670"/>
    </row>
    <row r="122" spans="1:71">
      <c r="A122" s="421" t="s">
        <v>1044</v>
      </c>
      <c r="B122" s="359" t="str">
        <f>AUTOQUESTIONNAIRE!D122</f>
        <v>Avez-vous un parent (mère, père, sœur, frère) qui a eu un infarctus ou un accident vasculaire avant 75 ans ?  (non=0, oui=1, ne sais pas=2)</v>
      </c>
      <c r="C122" s="401">
        <f>AUTOQUESTIONNAIRE!I122</f>
        <v>0</v>
      </c>
      <c r="F122" s="445"/>
      <c r="G122" s="445"/>
      <c r="H122" s="445"/>
      <c r="I122" s="445"/>
      <c r="J122" s="445"/>
      <c r="K122" s="445"/>
      <c r="L122" s="445"/>
      <c r="M122" s="445"/>
      <c r="N122" s="445"/>
      <c r="O122" s="445"/>
      <c r="P122" s="445"/>
      <c r="Q122" s="445"/>
      <c r="R122" s="445"/>
      <c r="S122" s="445"/>
      <c r="T122" s="445"/>
      <c r="U122" s="445"/>
      <c r="V122" s="445"/>
      <c r="W122" s="445"/>
      <c r="X122" s="445"/>
      <c r="Y122" s="954"/>
      <c r="Z122" s="445"/>
      <c r="AA122" s="445"/>
      <c r="AC122" s="445">
        <f t="shared" ref="AC122" si="54">$C122</f>
        <v>0</v>
      </c>
      <c r="AI122" s="670"/>
    </row>
    <row r="123" spans="1:71">
      <c r="A123" s="421"/>
      <c r="B123" s="359" t="str">
        <f>AUTOQUESTIONNAIRE!D123</f>
        <v>Avez-vous un parent (mère, père, sœur, frère) qui a eu des troubles du rythme cardiaque (arythmie) ?  (non=0, oui=1, ne sais pas=2)</v>
      </c>
      <c r="C123" s="401">
        <f>AUTOQUESTIONNAIRE!I123</f>
        <v>0</v>
      </c>
      <c r="F123" s="445"/>
      <c r="G123" s="445"/>
      <c r="H123" s="445"/>
      <c r="I123" s="445"/>
      <c r="J123" s="445"/>
      <c r="K123" s="445"/>
      <c r="L123" s="445"/>
      <c r="M123" s="445"/>
      <c r="N123" s="445"/>
      <c r="O123" s="445"/>
      <c r="P123" s="445"/>
      <c r="Q123" s="445"/>
      <c r="R123" s="445"/>
      <c r="S123" s="445"/>
      <c r="T123" s="445"/>
      <c r="U123" s="445"/>
      <c r="V123" s="445"/>
      <c r="W123" s="445"/>
      <c r="X123" s="445"/>
      <c r="Y123" s="954"/>
      <c r="Z123" s="445"/>
      <c r="AA123" s="445"/>
      <c r="AC123" s="445"/>
      <c r="AI123" s="670"/>
    </row>
    <row r="124" spans="1:71">
      <c r="A124" s="421" t="s">
        <v>1044</v>
      </c>
      <c r="B124" s="359" t="str">
        <f>AUTOQUESTIONNAIRE!D124</f>
        <v>Avez-vous un parent (mère, père, sœur, frère) qui a eu un ou des calcul(s) urinaires ?  (non=0, oui=1, ne sais pas=2)</v>
      </c>
      <c r="C124" s="401">
        <f>AUTOQUESTIONNAIRE!I124</f>
        <v>0</v>
      </c>
      <c r="F124" s="445"/>
      <c r="G124" s="445"/>
      <c r="H124" s="445"/>
      <c r="I124" s="445"/>
      <c r="J124" s="445"/>
      <c r="K124" s="445"/>
      <c r="L124" s="445"/>
      <c r="M124" s="445"/>
      <c r="N124" s="445"/>
      <c r="O124" s="445"/>
      <c r="P124" s="445"/>
      <c r="Q124" s="445"/>
      <c r="R124" s="445"/>
      <c r="S124" s="445"/>
      <c r="T124" s="445"/>
      <c r="U124" s="445"/>
      <c r="V124" s="445"/>
      <c r="W124" s="445"/>
      <c r="X124" s="445"/>
      <c r="Y124" s="954"/>
      <c r="Z124" s="445"/>
      <c r="AA124" s="445"/>
      <c r="AI124" s="670"/>
    </row>
    <row r="125" spans="1:71">
      <c r="A125" s="421" t="s">
        <v>1044</v>
      </c>
      <c r="B125" s="359" t="str">
        <f>AUTOQUESTIONNAIRE!D125</f>
        <v>Avez-vous un parent (mère, père, sœur, frère) qui a eu une phlébite ou une embolie pulmonaire ?  (non=0, oui=1, ne sais pas=2)</v>
      </c>
      <c r="C125" s="401">
        <f>AUTOQUESTIONNAIRE!I125</f>
        <v>0</v>
      </c>
      <c r="F125" s="445"/>
      <c r="G125" s="445"/>
      <c r="H125" s="445"/>
      <c r="I125" s="445"/>
      <c r="J125" s="445"/>
      <c r="K125" s="445"/>
      <c r="L125" s="445"/>
      <c r="M125" s="445"/>
      <c r="N125" s="445"/>
      <c r="O125" s="445"/>
      <c r="P125" s="445"/>
      <c r="Q125" s="445"/>
      <c r="R125" s="445"/>
      <c r="S125" s="445"/>
      <c r="T125" s="445"/>
      <c r="U125" s="445"/>
      <c r="V125" s="445"/>
      <c r="W125" s="445"/>
      <c r="X125" s="445"/>
      <c r="Y125" s="954"/>
      <c r="Z125" s="445"/>
      <c r="AA125" s="445"/>
      <c r="AI125" s="670"/>
    </row>
    <row r="126" spans="1:71">
      <c r="A126" s="421" t="s">
        <v>1044</v>
      </c>
      <c r="B126" s="359" t="str">
        <f>AUTOQUESTIONNAIRE!D126</f>
        <v>Avez-vous un parent (mère, père, sœur, frère) qui a eu un diabète avant 70 ans ?  (non=0, oui=1, ne sais pas=2)</v>
      </c>
      <c r="C126" s="401">
        <f>AUTOQUESTIONNAIRE!I126</f>
        <v>0</v>
      </c>
      <c r="F126" s="445"/>
      <c r="G126" s="445">
        <f>IF($C126&gt;1,1,0)</f>
        <v>0</v>
      </c>
      <c r="H126" s="445"/>
      <c r="I126" s="445"/>
      <c r="J126" s="445"/>
      <c r="K126" s="445"/>
      <c r="L126" s="445"/>
      <c r="M126" s="445"/>
      <c r="N126" s="445"/>
      <c r="O126" s="445"/>
      <c r="P126" s="445"/>
      <c r="Q126" s="445"/>
      <c r="R126" s="445"/>
      <c r="S126" s="445"/>
      <c r="T126" s="445"/>
      <c r="U126" s="445"/>
      <c r="V126" s="445"/>
      <c r="W126" s="445"/>
      <c r="X126" s="445"/>
      <c r="Y126" s="954"/>
      <c r="Z126" s="445"/>
      <c r="AA126" s="445"/>
      <c r="AI126" s="670"/>
    </row>
    <row r="127" spans="1:71">
      <c r="A127" s="421" t="s">
        <v>1044</v>
      </c>
      <c r="B127" s="359" t="str">
        <f>AUTOQUESTIONNAIRE!D127</f>
        <v>Avez-vous un parent (mère, père, sœur, frère) qui a eu une une dyslipidémie (cholestérol ou triglycérides) ?  (non=0, oui=1, ne sais pas=2)</v>
      </c>
      <c r="C127" s="401">
        <f>AUTOQUESTIONNAIRE!I127</f>
        <v>0</v>
      </c>
      <c r="F127" s="445"/>
      <c r="G127" s="445"/>
      <c r="H127" s="445">
        <f>IF($C127&gt;1,1,0)</f>
        <v>0</v>
      </c>
      <c r="I127" s="445"/>
      <c r="J127" s="445"/>
      <c r="K127" s="445"/>
      <c r="L127" s="445"/>
      <c r="M127" s="445"/>
      <c r="N127" s="445"/>
      <c r="O127" s="445"/>
      <c r="P127" s="445"/>
      <c r="Q127" s="445"/>
      <c r="R127" s="445"/>
      <c r="S127" s="445"/>
      <c r="T127" s="445"/>
      <c r="U127" s="445"/>
      <c r="V127" s="445"/>
      <c r="W127" s="445"/>
      <c r="X127" s="445"/>
      <c r="Y127" s="954"/>
      <c r="Z127" s="445"/>
      <c r="AA127" s="445"/>
      <c r="AI127" s="670"/>
    </row>
    <row r="128" spans="1:71">
      <c r="A128" s="421" t="s">
        <v>1044</v>
      </c>
      <c r="B128" s="359" t="str">
        <f>AUTOQUESTIONNAIRE!D128</f>
        <v>Avez-vous une mère ou sœur, frère) qui a eu une endometriose ou un syndrome des ovaires polykystiques ?  (non=0, oui=1, ne sais pas=2)</v>
      </c>
      <c r="C128" s="401">
        <f>AUTOQUESTIONNAIRE!I128</f>
        <v>0</v>
      </c>
      <c r="F128" s="445"/>
      <c r="G128" s="445"/>
      <c r="H128" s="445"/>
      <c r="I128" s="445"/>
      <c r="J128" s="445"/>
      <c r="K128" s="445"/>
      <c r="L128" s="445"/>
      <c r="M128" s="445"/>
      <c r="N128" s="445"/>
      <c r="O128" s="445"/>
      <c r="P128" s="445"/>
      <c r="Q128" s="445"/>
      <c r="R128" s="445"/>
      <c r="S128" s="445"/>
      <c r="T128" s="445"/>
      <c r="U128" s="445"/>
      <c r="V128" s="445"/>
      <c r="W128" s="445"/>
      <c r="X128" s="445"/>
      <c r="Y128" s="954"/>
      <c r="AA128" s="445"/>
      <c r="AI128" s="670"/>
    </row>
    <row r="129" spans="1:90">
      <c r="A129" s="421"/>
      <c r="B129" s="359" t="str">
        <f>AUTOQUESTIONNAIRE!D129</f>
        <v>Un membre de votre famille proche (mère, père, sœur, frère biologiques) a-t-il eu une maladie respiratoire (comme l’asthme ou la BPCO) ou des allergies respiratoires, telles qu’une pollinose (par exemple le rhume des foins) ?  (non=0, oui=1, ne sais pas=2)</v>
      </c>
      <c r="C129" s="401">
        <f>AUTOQUESTIONNAIRE!I129</f>
        <v>0</v>
      </c>
      <c r="F129" s="445"/>
      <c r="G129" s="445"/>
      <c r="H129" s="445"/>
      <c r="I129" s="445"/>
      <c r="J129" s="445"/>
      <c r="K129" s="445"/>
      <c r="L129" s="445"/>
      <c r="M129" s="445"/>
      <c r="N129" s="445"/>
      <c r="O129" s="445"/>
      <c r="P129" s="445"/>
      <c r="Q129" s="445"/>
      <c r="R129" s="445"/>
      <c r="S129" s="445"/>
      <c r="T129" s="445"/>
      <c r="U129" s="445"/>
      <c r="V129" s="445"/>
      <c r="W129" s="445"/>
      <c r="X129" s="445"/>
      <c r="Y129" s="954"/>
      <c r="Z129" s="445">
        <f>IF($C129&gt;1,1,0)</f>
        <v>0</v>
      </c>
      <c r="AA129" s="445"/>
      <c r="AI129" s="670"/>
    </row>
    <row r="130" spans="1:90">
      <c r="A130" s="421"/>
      <c r="B130" s="359" t="str">
        <f>AUTOQUESTIONNAIRE!D130</f>
        <v>Avez-vous un parent (mère, père, sœur, frère) qui a eu un rhumatisme inflamatoire (polyarthrite ou spondylarthrite) ?  (non=0, oui=1, ne sais pas=2)</v>
      </c>
      <c r="C130" s="401">
        <f>AUTOQUESTIONNAIRE!I130</f>
        <v>0</v>
      </c>
      <c r="F130" s="445"/>
      <c r="G130" s="445"/>
      <c r="H130" s="445"/>
      <c r="I130" s="445"/>
      <c r="J130" s="445"/>
      <c r="K130" s="445"/>
      <c r="L130" s="445"/>
      <c r="M130" s="445"/>
      <c r="N130" s="445"/>
      <c r="O130" s="445"/>
      <c r="P130" s="445"/>
      <c r="Q130" s="445"/>
      <c r="R130" s="445"/>
      <c r="S130" s="445"/>
      <c r="T130" s="445"/>
      <c r="U130" s="445"/>
      <c r="V130" s="445"/>
      <c r="W130" s="445"/>
      <c r="X130" s="445"/>
      <c r="Y130" s="954"/>
      <c r="Z130" s="445"/>
      <c r="AA130" s="445"/>
      <c r="AI130" s="670"/>
    </row>
    <row r="131" spans="1:90">
      <c r="A131" s="421"/>
      <c r="B131" s="359" t="str">
        <f>AUTOQUESTIONNAIRE!D131</f>
        <v>Avez-vous un parent (mère, père, sœur, frère) qui a eu une dépression  grave (traitement psychiatrique) ? (non=0, oui=1, ne sais pas=2)</v>
      </c>
      <c r="C131" s="401">
        <f>AUTOQUESTIONNAIRE!I131</f>
        <v>0</v>
      </c>
      <c r="F131" s="445"/>
      <c r="G131" s="445"/>
      <c r="H131" s="445"/>
      <c r="I131" s="445"/>
      <c r="J131" s="445"/>
      <c r="K131" s="445"/>
      <c r="L131" s="445"/>
      <c r="M131" s="445"/>
      <c r="N131" s="445"/>
      <c r="O131" s="445"/>
      <c r="P131" s="445"/>
      <c r="Q131" s="445"/>
      <c r="R131" s="445"/>
      <c r="S131" s="445"/>
      <c r="T131" s="445"/>
      <c r="U131" s="445"/>
      <c r="V131" s="445"/>
      <c r="W131" s="445"/>
      <c r="X131" s="445"/>
      <c r="Y131" s="954"/>
      <c r="Z131" s="445"/>
      <c r="AA131" s="445"/>
      <c r="AI131" s="670"/>
    </row>
    <row r="132" spans="1:90">
      <c r="A132" s="418"/>
      <c r="B132" s="646"/>
      <c r="C132" s="401"/>
      <c r="F132" s="445"/>
      <c r="G132" s="445"/>
      <c r="H132" s="445"/>
      <c r="I132" s="445"/>
      <c r="J132" s="445"/>
      <c r="K132" s="445"/>
      <c r="L132" s="445"/>
      <c r="M132" s="445"/>
      <c r="N132" s="445"/>
      <c r="O132" s="445"/>
      <c r="P132" s="445"/>
      <c r="Q132" s="445"/>
      <c r="R132" s="445"/>
      <c r="S132" s="445"/>
      <c r="T132" s="445"/>
      <c r="U132" s="445"/>
      <c r="V132" s="445"/>
      <c r="W132" s="445"/>
      <c r="X132" s="445"/>
      <c r="Y132" s="954"/>
      <c r="Z132" s="445"/>
      <c r="AA132" s="445"/>
      <c r="AI132" s="670"/>
    </row>
    <row r="133" spans="1:90">
      <c r="A133" s="418"/>
      <c r="B133" s="646"/>
      <c r="C133" s="401"/>
      <c r="F133" s="445"/>
      <c r="G133" s="445"/>
      <c r="H133" s="445"/>
      <c r="I133" s="445"/>
      <c r="J133" s="445"/>
      <c r="K133" s="445"/>
      <c r="L133" s="445"/>
      <c r="M133" s="445"/>
      <c r="N133" s="445"/>
      <c r="O133" s="445"/>
      <c r="P133" s="445"/>
      <c r="Q133" s="445"/>
      <c r="R133" s="445"/>
      <c r="S133" s="445"/>
      <c r="T133" s="445"/>
      <c r="U133" s="445"/>
      <c r="V133" s="445"/>
      <c r="W133" s="445"/>
      <c r="X133" s="445"/>
      <c r="Y133" s="954"/>
      <c r="Z133" s="445"/>
      <c r="AA133" s="445"/>
      <c r="AI133" s="670"/>
    </row>
    <row r="134" spans="1:90" ht="75">
      <c r="A134" s="422" t="s">
        <v>240</v>
      </c>
      <c r="B134" s="652" t="s">
        <v>1151</v>
      </c>
      <c r="C134" s="401">
        <f>AUTOQUESTIONNAIRE!G134</f>
        <v>3</v>
      </c>
      <c r="F134" s="445"/>
      <c r="G134" s="445"/>
      <c r="H134" s="445"/>
      <c r="I134" s="445"/>
      <c r="J134" s="445"/>
      <c r="K134" s="445"/>
      <c r="L134" s="445"/>
      <c r="M134" s="445"/>
      <c r="N134" s="445"/>
      <c r="O134" s="445"/>
      <c r="P134" s="445"/>
      <c r="Q134" s="445"/>
      <c r="R134" s="445"/>
      <c r="S134" s="445"/>
      <c r="T134" s="445"/>
      <c r="U134" s="445">
        <f>IF(C134&gt;1,1,0)</f>
        <v>1</v>
      </c>
      <c r="V134" s="445"/>
      <c r="W134" s="445"/>
      <c r="X134" s="445"/>
      <c r="Y134" s="954"/>
      <c r="Z134" s="445"/>
      <c r="AA134" s="445"/>
      <c r="AI134" s="670"/>
    </row>
    <row r="135" spans="1:90">
      <c r="A135" s="422" t="s">
        <v>240</v>
      </c>
      <c r="B135" s="653" t="s">
        <v>1127</v>
      </c>
      <c r="C135" s="401">
        <f>AUTOQUESTIONNAIRE!G135</f>
        <v>0</v>
      </c>
      <c r="F135" s="445"/>
      <c r="G135" s="445"/>
      <c r="H135" s="445"/>
      <c r="I135" s="445"/>
      <c r="J135" s="445"/>
      <c r="K135" s="445"/>
      <c r="L135" s="445"/>
      <c r="M135" s="445"/>
      <c r="N135" s="445"/>
      <c r="O135" s="445"/>
      <c r="P135" s="445"/>
      <c r="Q135" s="445"/>
      <c r="R135" s="445"/>
      <c r="S135" s="445"/>
      <c r="T135" s="445"/>
      <c r="U135" s="445"/>
      <c r="V135" s="445"/>
      <c r="W135" s="445"/>
      <c r="X135" s="445"/>
      <c r="Y135" s="954"/>
      <c r="Z135" s="445"/>
      <c r="AA135" s="445"/>
      <c r="AI135" s="670"/>
    </row>
    <row r="136" spans="1:90">
      <c r="A136" s="422"/>
      <c r="B136" s="653" t="s">
        <v>1143</v>
      </c>
      <c r="C136" s="401">
        <f>AUTOQUESTIONNAIRE!G136</f>
        <v>1</v>
      </c>
      <c r="F136" s="445"/>
      <c r="G136" s="445"/>
      <c r="H136" s="445"/>
      <c r="I136" s="445"/>
      <c r="J136" s="445"/>
      <c r="K136" s="445"/>
      <c r="L136" s="445"/>
      <c r="M136" s="445"/>
      <c r="N136" s="445"/>
      <c r="O136" s="445"/>
      <c r="P136" s="445"/>
      <c r="Q136" s="445"/>
      <c r="R136" s="445"/>
      <c r="S136" s="445"/>
      <c r="T136" s="445"/>
      <c r="U136" s="445"/>
      <c r="V136" s="445"/>
      <c r="W136" s="445"/>
      <c r="X136" s="445"/>
      <c r="Y136" s="954"/>
      <c r="Z136" s="445"/>
      <c r="AA136" s="445"/>
      <c r="AI136" s="670"/>
    </row>
    <row r="137" spans="1:90">
      <c r="A137" s="422" t="s">
        <v>240</v>
      </c>
      <c r="B137" s="946" t="s">
        <v>1118</v>
      </c>
      <c r="C137" s="945"/>
      <c r="D137" s="940"/>
      <c r="E137" s="940"/>
      <c r="F137" s="941"/>
      <c r="G137" s="941"/>
      <c r="H137" s="941"/>
      <c r="I137" s="941"/>
      <c r="J137" s="941"/>
      <c r="K137" s="941"/>
      <c r="L137" s="941"/>
      <c r="M137" s="941"/>
      <c r="N137" s="941"/>
      <c r="O137" s="941"/>
      <c r="P137" s="941"/>
      <c r="Q137" s="941"/>
      <c r="R137" s="941"/>
      <c r="S137" s="941"/>
      <c r="T137" s="941"/>
      <c r="U137" s="941"/>
      <c r="V137" s="941"/>
      <c r="W137" s="941"/>
      <c r="X137" s="941"/>
      <c r="Y137" s="954"/>
      <c r="Z137" s="941"/>
      <c r="AA137" s="941"/>
      <c r="AB137" s="942"/>
      <c r="AC137" s="942"/>
      <c r="AD137" s="942"/>
      <c r="AE137" s="942"/>
      <c r="AF137" s="942"/>
      <c r="AG137" s="942"/>
      <c r="AH137" s="942"/>
      <c r="AI137" s="942"/>
      <c r="AJ137" s="942"/>
      <c r="AK137" s="942"/>
      <c r="AL137" s="942"/>
      <c r="AM137" s="941"/>
      <c r="AN137" s="941"/>
      <c r="AO137" s="941"/>
      <c r="AP137" s="941"/>
      <c r="AQ137" s="941"/>
      <c r="AR137" s="941"/>
      <c r="AS137" s="941"/>
      <c r="AT137" s="941"/>
      <c r="AU137" s="941"/>
      <c r="AV137" s="941"/>
      <c r="AW137" s="941"/>
      <c r="AX137" s="941"/>
      <c r="AY137" s="941"/>
      <c r="AZ137" s="941"/>
      <c r="BA137" s="942"/>
      <c r="BB137" s="942"/>
      <c r="BC137" s="942"/>
      <c r="BD137" s="942"/>
      <c r="BE137" s="942"/>
      <c r="BF137" s="942"/>
      <c r="BG137" s="942"/>
      <c r="BH137" s="942"/>
      <c r="BI137" s="942"/>
      <c r="BJ137" s="942"/>
      <c r="BK137" s="942"/>
      <c r="BL137" s="942"/>
      <c r="BM137" s="942"/>
      <c r="BN137" s="942"/>
      <c r="BO137" s="942"/>
      <c r="BP137" s="942"/>
      <c r="BQ137" s="942"/>
      <c r="BR137" s="942"/>
      <c r="BS137" s="942"/>
      <c r="BT137" s="943"/>
      <c r="BU137" s="940"/>
      <c r="BV137" s="940"/>
      <c r="BW137" s="940"/>
      <c r="BX137" s="940"/>
      <c r="BY137" s="940"/>
      <c r="BZ137" s="940"/>
      <c r="CA137" s="940"/>
      <c r="CB137" s="940"/>
      <c r="CC137" s="940"/>
      <c r="CD137" s="940"/>
      <c r="CE137" s="940"/>
      <c r="CF137" s="940"/>
      <c r="CG137" s="940"/>
      <c r="CH137" s="940"/>
      <c r="CI137" s="940"/>
      <c r="CJ137" s="940"/>
      <c r="CK137" s="940"/>
      <c r="CL137" s="940"/>
    </row>
    <row r="138" spans="1:90">
      <c r="A138" s="422" t="s">
        <v>240</v>
      </c>
      <c r="B138" s="946" t="s">
        <v>1119</v>
      </c>
      <c r="C138" s="945"/>
      <c r="D138" s="940"/>
      <c r="E138" s="940"/>
      <c r="F138" s="941"/>
      <c r="G138" s="941"/>
      <c r="H138" s="941"/>
      <c r="I138" s="941"/>
      <c r="J138" s="941"/>
      <c r="K138" s="941"/>
      <c r="L138" s="941"/>
      <c r="M138" s="941"/>
      <c r="N138" s="941"/>
      <c r="O138" s="941"/>
      <c r="P138" s="941"/>
      <c r="Q138" s="941"/>
      <c r="R138" s="941"/>
      <c r="S138" s="941"/>
      <c r="T138" s="941"/>
      <c r="U138" s="941"/>
      <c r="V138" s="941"/>
      <c r="W138" s="941"/>
      <c r="X138" s="941"/>
      <c r="Y138" s="954"/>
      <c r="Z138" s="941"/>
      <c r="AA138" s="941"/>
      <c r="AB138" s="942"/>
      <c r="AC138" s="942"/>
      <c r="AD138" s="942"/>
      <c r="AE138" s="942"/>
      <c r="AF138" s="942"/>
      <c r="AG138" s="942"/>
      <c r="AH138" s="942"/>
      <c r="AI138" s="942"/>
      <c r="AJ138" s="942"/>
      <c r="AK138" s="942"/>
      <c r="AL138" s="942"/>
      <c r="AM138" s="941"/>
      <c r="AN138" s="941"/>
      <c r="AO138" s="941"/>
      <c r="AP138" s="941"/>
      <c r="AQ138" s="941"/>
      <c r="AR138" s="941"/>
      <c r="AS138" s="941"/>
      <c r="AT138" s="941"/>
      <c r="AU138" s="941"/>
      <c r="AV138" s="941"/>
      <c r="AW138" s="941"/>
      <c r="AX138" s="941"/>
      <c r="AY138" s="941"/>
      <c r="AZ138" s="941"/>
      <c r="BA138" s="942"/>
      <c r="BB138" s="942"/>
      <c r="BC138" s="942"/>
      <c r="BD138" s="942"/>
      <c r="BE138" s="942"/>
      <c r="BF138" s="942"/>
      <c r="BG138" s="942"/>
      <c r="BH138" s="942"/>
      <c r="BI138" s="942"/>
      <c r="BJ138" s="942"/>
      <c r="BK138" s="942"/>
      <c r="BL138" s="942"/>
      <c r="BM138" s="942"/>
      <c r="BN138" s="942"/>
      <c r="BO138" s="942"/>
      <c r="BP138" s="942"/>
      <c r="BQ138" s="942"/>
      <c r="BR138" s="942"/>
      <c r="BS138" s="942"/>
      <c r="BT138" s="943"/>
      <c r="BU138" s="940"/>
      <c r="BV138" s="940"/>
      <c r="BW138" s="940"/>
      <c r="BX138" s="940"/>
      <c r="BY138" s="940"/>
      <c r="BZ138" s="940"/>
      <c r="CA138" s="940"/>
      <c r="CB138" s="940"/>
      <c r="CC138" s="940"/>
      <c r="CD138" s="940"/>
      <c r="CE138" s="940"/>
      <c r="CF138" s="940"/>
      <c r="CG138" s="940"/>
      <c r="CH138" s="940"/>
      <c r="CI138" s="940"/>
      <c r="CJ138" s="940"/>
      <c r="CK138" s="940"/>
      <c r="CL138" s="940"/>
    </row>
    <row r="139" spans="1:90">
      <c r="A139" s="422" t="s">
        <v>240</v>
      </c>
      <c r="B139" s="946" t="s">
        <v>1120</v>
      </c>
      <c r="C139" s="945"/>
      <c r="D139" s="940"/>
      <c r="E139" s="940"/>
      <c r="F139" s="941"/>
      <c r="G139" s="941"/>
      <c r="H139" s="941"/>
      <c r="I139" s="941"/>
      <c r="J139" s="941"/>
      <c r="K139" s="941"/>
      <c r="L139" s="941"/>
      <c r="M139" s="941"/>
      <c r="N139" s="941"/>
      <c r="O139" s="941"/>
      <c r="P139" s="941"/>
      <c r="Q139" s="941"/>
      <c r="R139" s="941"/>
      <c r="S139" s="941"/>
      <c r="T139" s="941"/>
      <c r="U139" s="941"/>
      <c r="V139" s="941"/>
      <c r="W139" s="941"/>
      <c r="X139" s="941"/>
      <c r="Y139" s="954"/>
      <c r="Z139" s="941"/>
      <c r="AA139" s="941"/>
      <c r="AB139" s="942"/>
      <c r="AC139" s="942"/>
      <c r="AD139" s="942"/>
      <c r="AE139" s="942"/>
      <c r="AF139" s="942"/>
      <c r="AG139" s="942"/>
      <c r="AH139" s="942"/>
      <c r="AI139" s="942"/>
      <c r="AJ139" s="942"/>
      <c r="AK139" s="942"/>
      <c r="AL139" s="942"/>
      <c r="AM139" s="941"/>
      <c r="AN139" s="941"/>
      <c r="AO139" s="941"/>
      <c r="AP139" s="941"/>
      <c r="AQ139" s="941"/>
      <c r="AR139" s="941"/>
      <c r="AS139" s="941"/>
      <c r="AT139" s="941"/>
      <c r="AU139" s="941"/>
      <c r="AV139" s="941"/>
      <c r="AW139" s="941"/>
      <c r="AX139" s="941"/>
      <c r="AY139" s="941"/>
      <c r="AZ139" s="941"/>
      <c r="BA139" s="942"/>
      <c r="BB139" s="942"/>
      <c r="BC139" s="942"/>
      <c r="BD139" s="942"/>
      <c r="BE139" s="942"/>
      <c r="BF139" s="942"/>
      <c r="BG139" s="942"/>
      <c r="BH139" s="942"/>
      <c r="BI139" s="942"/>
      <c r="BJ139" s="942"/>
      <c r="BK139" s="942"/>
      <c r="BL139" s="942"/>
      <c r="BM139" s="942"/>
      <c r="BN139" s="942"/>
      <c r="BO139" s="942"/>
      <c r="BP139" s="942"/>
      <c r="BQ139" s="942"/>
      <c r="BR139" s="942"/>
      <c r="BS139" s="942"/>
      <c r="BT139" s="943"/>
      <c r="BU139" s="940"/>
      <c r="BV139" s="940"/>
      <c r="BW139" s="940"/>
      <c r="BX139" s="940"/>
      <c r="BY139" s="940"/>
      <c r="BZ139" s="940"/>
      <c r="CA139" s="940"/>
      <c r="CB139" s="940"/>
      <c r="CC139" s="940"/>
      <c r="CD139" s="940"/>
      <c r="CE139" s="940"/>
      <c r="CF139" s="940"/>
      <c r="CG139" s="940"/>
      <c r="CH139" s="940"/>
      <c r="CI139" s="940"/>
      <c r="CJ139" s="940"/>
      <c r="CK139" s="940"/>
      <c r="CL139" s="940"/>
    </row>
    <row r="140" spans="1:90" ht="30">
      <c r="A140" s="422" t="s">
        <v>240</v>
      </c>
      <c r="B140" s="946" t="s">
        <v>1121</v>
      </c>
      <c r="C140" s="945"/>
      <c r="D140" s="940"/>
      <c r="E140" s="940"/>
      <c r="F140" s="941"/>
      <c r="G140" s="941"/>
      <c r="H140" s="941"/>
      <c r="I140" s="941"/>
      <c r="J140" s="941"/>
      <c r="K140" s="941"/>
      <c r="L140" s="941"/>
      <c r="M140" s="941"/>
      <c r="N140" s="941"/>
      <c r="O140" s="941"/>
      <c r="P140" s="941"/>
      <c r="Q140" s="941"/>
      <c r="R140" s="941"/>
      <c r="S140" s="941"/>
      <c r="T140" s="941"/>
      <c r="U140" s="941"/>
      <c r="V140" s="941"/>
      <c r="W140" s="941"/>
      <c r="X140" s="941"/>
      <c r="Y140" s="954"/>
      <c r="Z140" s="941"/>
      <c r="AA140" s="941"/>
      <c r="AB140" s="942"/>
      <c r="AC140" s="942"/>
      <c r="AD140" s="942"/>
      <c r="AE140" s="942"/>
      <c r="AF140" s="942"/>
      <c r="AG140" s="942"/>
      <c r="AH140" s="942"/>
      <c r="AI140" s="942"/>
      <c r="AJ140" s="942"/>
      <c r="AK140" s="942"/>
      <c r="AL140" s="942"/>
      <c r="AM140" s="941"/>
      <c r="AN140" s="941"/>
      <c r="AO140" s="941"/>
      <c r="AP140" s="941"/>
      <c r="AQ140" s="941"/>
      <c r="AR140" s="941"/>
      <c r="AS140" s="941"/>
      <c r="AT140" s="941"/>
      <c r="AU140" s="941"/>
      <c r="AV140" s="941"/>
      <c r="AW140" s="941"/>
      <c r="AX140" s="941"/>
      <c r="AY140" s="941"/>
      <c r="AZ140" s="941"/>
      <c r="BA140" s="942"/>
      <c r="BB140" s="942"/>
      <c r="BC140" s="942"/>
      <c r="BD140" s="942"/>
      <c r="BE140" s="942"/>
      <c r="BF140" s="942"/>
      <c r="BG140" s="942"/>
      <c r="BH140" s="942"/>
      <c r="BI140" s="942"/>
      <c r="BJ140" s="942"/>
      <c r="BK140" s="942"/>
      <c r="BL140" s="942"/>
      <c r="BM140" s="942"/>
      <c r="BN140" s="942"/>
      <c r="BO140" s="942"/>
      <c r="BP140" s="942"/>
      <c r="BQ140" s="942"/>
      <c r="BR140" s="942"/>
      <c r="BS140" s="942"/>
      <c r="BT140" s="943"/>
      <c r="BU140" s="940"/>
      <c r="BV140" s="940"/>
      <c r="BW140" s="940"/>
      <c r="BX140" s="940"/>
      <c r="BY140" s="940"/>
      <c r="BZ140" s="940"/>
      <c r="CA140" s="940"/>
      <c r="CB140" s="940"/>
      <c r="CC140" s="940"/>
      <c r="CD140" s="940"/>
      <c r="CE140" s="940"/>
      <c r="CF140" s="940"/>
      <c r="CG140" s="940"/>
      <c r="CH140" s="940"/>
      <c r="CI140" s="940"/>
      <c r="CJ140" s="940"/>
      <c r="CK140" s="940"/>
      <c r="CL140" s="940"/>
    </row>
    <row r="141" spans="1:90" ht="30">
      <c r="A141" s="422" t="s">
        <v>240</v>
      </c>
      <c r="B141" s="946" t="s">
        <v>1122</v>
      </c>
      <c r="C141" s="945"/>
      <c r="D141" s="940"/>
      <c r="E141" s="940"/>
      <c r="F141" s="941"/>
      <c r="G141" s="941"/>
      <c r="H141" s="941"/>
      <c r="I141" s="941"/>
      <c r="J141" s="941"/>
      <c r="K141" s="941"/>
      <c r="L141" s="941"/>
      <c r="M141" s="941"/>
      <c r="N141" s="941"/>
      <c r="O141" s="941"/>
      <c r="P141" s="941"/>
      <c r="Q141" s="941"/>
      <c r="R141" s="941"/>
      <c r="S141" s="941"/>
      <c r="T141" s="941"/>
      <c r="U141" s="941"/>
      <c r="V141" s="941"/>
      <c r="W141" s="941"/>
      <c r="X141" s="941"/>
      <c r="Y141" s="954"/>
      <c r="Z141" s="941"/>
      <c r="AA141" s="941"/>
      <c r="AB141" s="942"/>
      <c r="AC141" s="942"/>
      <c r="AD141" s="942"/>
      <c r="AE141" s="942"/>
      <c r="AF141" s="942"/>
      <c r="AG141" s="942"/>
      <c r="AH141" s="942"/>
      <c r="AI141" s="942"/>
      <c r="AJ141" s="942"/>
      <c r="AK141" s="942"/>
      <c r="AL141" s="942"/>
      <c r="AM141" s="941"/>
      <c r="AN141" s="941"/>
      <c r="AO141" s="941"/>
      <c r="AP141" s="941"/>
      <c r="AQ141" s="941"/>
      <c r="AR141" s="941"/>
      <c r="AS141" s="941"/>
      <c r="AT141" s="941"/>
      <c r="AU141" s="941"/>
      <c r="AV141" s="941"/>
      <c r="AW141" s="941"/>
      <c r="AX141" s="941"/>
      <c r="AY141" s="941"/>
      <c r="AZ141" s="941"/>
      <c r="BA141" s="942"/>
      <c r="BB141" s="942"/>
      <c r="BC141" s="942"/>
      <c r="BD141" s="942"/>
      <c r="BE141" s="942"/>
      <c r="BF141" s="942"/>
      <c r="BG141" s="942"/>
      <c r="BH141" s="942"/>
      <c r="BI141" s="942"/>
      <c r="BJ141" s="942"/>
      <c r="BK141" s="942"/>
      <c r="BL141" s="942"/>
      <c r="BM141" s="942"/>
      <c r="BN141" s="942"/>
      <c r="BO141" s="942"/>
      <c r="BP141" s="942"/>
      <c r="BQ141" s="942"/>
      <c r="BR141" s="942"/>
      <c r="BS141" s="942"/>
      <c r="BT141" s="943"/>
      <c r="BU141" s="940"/>
      <c r="BV141" s="940"/>
      <c r="BW141" s="940"/>
      <c r="BX141" s="940"/>
      <c r="BY141" s="940"/>
      <c r="BZ141" s="940"/>
      <c r="CA141" s="940"/>
      <c r="CB141" s="940"/>
      <c r="CC141" s="940"/>
      <c r="CD141" s="940"/>
      <c r="CE141" s="940"/>
      <c r="CF141" s="940"/>
      <c r="CG141" s="940"/>
      <c r="CH141" s="940"/>
      <c r="CI141" s="940"/>
      <c r="CJ141" s="940"/>
      <c r="CK141" s="940"/>
      <c r="CL141" s="940"/>
    </row>
    <row r="142" spans="1:90" ht="30">
      <c r="A142" s="422" t="s">
        <v>240</v>
      </c>
      <c r="B142" s="946" t="s">
        <v>1123</v>
      </c>
      <c r="C142" s="947"/>
      <c r="D142" s="402" t="s">
        <v>1191</v>
      </c>
      <c r="E142" s="402">
        <f>IF(AUTOQUESTIONNAIRE!K139&gt;0.8,1,0)</f>
        <v>1</v>
      </c>
      <c r="F142" s="445"/>
      <c r="G142" s="445">
        <f t="shared" ref="G142:J142" si="55">$E$142</f>
        <v>1</v>
      </c>
      <c r="H142" s="445">
        <f t="shared" si="55"/>
        <v>1</v>
      </c>
      <c r="I142" s="445">
        <f t="shared" si="55"/>
        <v>1</v>
      </c>
      <c r="J142" s="445">
        <f t="shared" si="55"/>
        <v>1</v>
      </c>
      <c r="K142" s="445"/>
      <c r="L142" s="445"/>
      <c r="M142" s="445"/>
      <c r="N142" s="445"/>
      <c r="O142" s="445"/>
      <c r="P142" s="445"/>
      <c r="Q142" s="445">
        <f>$E$142</f>
        <v>1</v>
      </c>
      <c r="R142" s="445"/>
      <c r="S142" s="445">
        <f t="shared" ref="S142" si="56">$E$142</f>
        <v>1</v>
      </c>
      <c r="T142" s="445"/>
      <c r="U142" s="445"/>
      <c r="V142" s="445"/>
      <c r="W142" s="445"/>
      <c r="X142" s="445"/>
      <c r="Y142" s="954"/>
      <c r="Z142" s="445"/>
      <c r="AA142" s="445"/>
      <c r="AI142" s="445">
        <f>$E$142</f>
        <v>1</v>
      </c>
    </row>
    <row r="143" spans="1:90" ht="75">
      <c r="A143" s="422" t="s">
        <v>240</v>
      </c>
      <c r="B143" s="652" t="s">
        <v>1144</v>
      </c>
      <c r="C143" s="401">
        <f>AUTOQUESTIONNAIRE!G143</f>
        <v>0</v>
      </c>
      <c r="D143" s="400" t="s">
        <v>1292</v>
      </c>
      <c r="E143" s="400">
        <f>IF(C143&gt;2,1,0)</f>
        <v>0</v>
      </c>
      <c r="F143" s="445"/>
      <c r="G143" s="445">
        <f>$E143</f>
        <v>0</v>
      </c>
      <c r="H143" s="445">
        <f>$E143</f>
        <v>0</v>
      </c>
      <c r="I143" s="445">
        <f>$E143</f>
        <v>0</v>
      </c>
      <c r="J143" s="445"/>
      <c r="K143" s="445">
        <f>$E143</f>
        <v>0</v>
      </c>
      <c r="L143" s="445">
        <f>$E143</f>
        <v>0</v>
      </c>
      <c r="M143" s="445"/>
      <c r="N143" s="445">
        <f>$E143</f>
        <v>0</v>
      </c>
      <c r="O143" s="445"/>
      <c r="P143" s="445"/>
      <c r="Q143" s="445">
        <f>$E143</f>
        <v>0</v>
      </c>
      <c r="R143" s="445"/>
      <c r="S143" s="445">
        <f>$E143</f>
        <v>0</v>
      </c>
      <c r="T143" s="445"/>
      <c r="U143" s="445"/>
      <c r="V143" s="445"/>
      <c r="W143" s="445"/>
      <c r="X143" s="445"/>
      <c r="Y143" s="954"/>
      <c r="Z143" s="445"/>
      <c r="AA143" s="445"/>
      <c r="AI143" s="670"/>
    </row>
    <row r="144" spans="1:90" ht="75">
      <c r="A144" s="422" t="s">
        <v>240</v>
      </c>
      <c r="B144" s="652" t="s">
        <v>1145</v>
      </c>
      <c r="C144" s="401">
        <f>AUTOQUESTIONNAIRE!G144</f>
        <v>1</v>
      </c>
      <c r="D144" s="400" t="s">
        <v>1292</v>
      </c>
      <c r="E144" s="400">
        <f t="shared" ref="E144:E146" si="57">IF(C144&gt;2,1,0)</f>
        <v>0</v>
      </c>
      <c r="F144" s="445">
        <f>$E144</f>
        <v>0</v>
      </c>
      <c r="G144" s="445"/>
      <c r="H144" s="445"/>
      <c r="I144" s="445">
        <f>$E144</f>
        <v>0</v>
      </c>
      <c r="J144" s="445"/>
      <c r="K144" s="445"/>
      <c r="L144" s="445"/>
      <c r="M144" s="445"/>
      <c r="N144" s="445"/>
      <c r="O144" s="445"/>
      <c r="P144" s="445"/>
      <c r="Q144" s="445"/>
      <c r="R144" s="445"/>
      <c r="S144" s="445"/>
      <c r="T144" s="445"/>
      <c r="U144" s="445"/>
      <c r="V144" s="445"/>
      <c r="W144" s="445"/>
      <c r="X144" s="445"/>
      <c r="Y144" s="954">
        <f>$E144</f>
        <v>0</v>
      </c>
      <c r="Z144" s="445"/>
      <c r="AA144" s="445"/>
      <c r="AI144" s="670"/>
      <c r="AU144" s="445">
        <f>$E144</f>
        <v>0</v>
      </c>
    </row>
    <row r="145" spans="1:49" ht="75">
      <c r="A145" s="422" t="s">
        <v>240</v>
      </c>
      <c r="B145" s="652" t="s">
        <v>1146</v>
      </c>
      <c r="C145" s="401">
        <f>AUTOQUESTIONNAIRE!G145</f>
        <v>0</v>
      </c>
      <c r="D145" s="400" t="s">
        <v>1292</v>
      </c>
      <c r="E145" s="400">
        <f t="shared" si="57"/>
        <v>0</v>
      </c>
      <c r="F145" s="445"/>
      <c r="G145" s="445"/>
      <c r="H145" s="445"/>
      <c r="I145" s="445">
        <f>$E145</f>
        <v>0</v>
      </c>
      <c r="J145" s="445"/>
      <c r="K145" s="445"/>
      <c r="L145" s="445">
        <f t="shared" ref="K145:M146" si="58">$E145</f>
        <v>0</v>
      </c>
      <c r="M145" s="445">
        <f t="shared" si="58"/>
        <v>0</v>
      </c>
      <c r="N145" s="445"/>
      <c r="O145" s="445"/>
      <c r="P145" s="445">
        <f>$E145</f>
        <v>0</v>
      </c>
      <c r="Q145" s="445">
        <f>$E145</f>
        <v>0</v>
      </c>
      <c r="R145" s="445"/>
      <c r="S145" s="445"/>
      <c r="T145" s="445"/>
      <c r="U145" s="445"/>
      <c r="V145" s="445"/>
      <c r="W145" s="445"/>
      <c r="X145" s="445"/>
      <c r="Y145" s="954"/>
      <c r="Z145" s="445"/>
      <c r="AA145" s="445"/>
      <c r="AI145" s="670"/>
      <c r="AR145" s="445">
        <f>$E145</f>
        <v>0</v>
      </c>
    </row>
    <row r="146" spans="1:49" ht="75">
      <c r="A146" s="422" t="s">
        <v>240</v>
      </c>
      <c r="B146" s="652" t="s">
        <v>1147</v>
      </c>
      <c r="C146" s="401">
        <f>AUTOQUESTIONNAIRE!G146</f>
        <v>0</v>
      </c>
      <c r="D146" s="400" t="s">
        <v>1292</v>
      </c>
      <c r="E146" s="400">
        <f t="shared" si="57"/>
        <v>0</v>
      </c>
      <c r="F146" s="445"/>
      <c r="G146" s="445"/>
      <c r="H146" s="445"/>
      <c r="I146" s="445"/>
      <c r="J146" s="445"/>
      <c r="K146" s="445">
        <f t="shared" si="58"/>
        <v>0</v>
      </c>
      <c r="L146" s="445">
        <f t="shared" si="58"/>
        <v>0</v>
      </c>
      <c r="M146" s="445">
        <f t="shared" si="58"/>
        <v>0</v>
      </c>
      <c r="N146" s="445"/>
      <c r="O146" s="445"/>
      <c r="P146" s="445"/>
      <c r="Q146" s="445">
        <f>$E146</f>
        <v>0</v>
      </c>
      <c r="R146" s="445"/>
      <c r="S146" s="445"/>
      <c r="T146" s="445"/>
      <c r="U146" s="445"/>
      <c r="V146" s="445"/>
      <c r="W146" s="445"/>
      <c r="X146" s="445"/>
      <c r="Y146" s="954"/>
      <c r="Z146" s="445"/>
      <c r="AA146" s="445"/>
      <c r="AH146" s="445">
        <f>$E146</f>
        <v>0</v>
      </c>
      <c r="AI146" s="670"/>
    </row>
    <row r="147" spans="1:49">
      <c r="A147" s="418"/>
      <c r="B147" s="646"/>
      <c r="C147" s="401"/>
      <c r="F147" s="445"/>
      <c r="G147" s="445"/>
      <c r="H147" s="445"/>
      <c r="I147" s="445"/>
      <c r="J147" s="445"/>
      <c r="K147" s="445"/>
      <c r="L147" s="445"/>
      <c r="M147" s="445"/>
      <c r="N147" s="445"/>
      <c r="O147" s="445"/>
      <c r="P147" s="445"/>
      <c r="Q147" s="445"/>
      <c r="R147" s="445"/>
      <c r="S147" s="445"/>
      <c r="T147" s="445"/>
      <c r="U147" s="445"/>
      <c r="V147" s="445"/>
      <c r="W147" s="445"/>
      <c r="X147" s="445"/>
      <c r="Y147" s="954"/>
      <c r="Z147" s="445"/>
      <c r="AA147" s="445"/>
      <c r="AI147" s="670"/>
    </row>
    <row r="148" spans="1:49">
      <c r="A148" s="418"/>
      <c r="B148" s="646"/>
      <c r="C148" s="401"/>
      <c r="F148" s="445"/>
      <c r="G148" s="445"/>
      <c r="H148" s="445"/>
      <c r="I148" s="445"/>
      <c r="J148" s="445"/>
      <c r="K148" s="445"/>
      <c r="L148" s="445"/>
      <c r="M148" s="445"/>
      <c r="N148" s="445"/>
      <c r="O148" s="445"/>
      <c r="P148" s="445"/>
      <c r="Q148" s="445"/>
      <c r="R148" s="445"/>
      <c r="S148" s="445"/>
      <c r="T148" s="445"/>
      <c r="U148" s="445"/>
      <c r="V148" s="445"/>
      <c r="W148" s="445"/>
      <c r="X148" s="445"/>
      <c r="Y148" s="954"/>
      <c r="Z148" s="445"/>
      <c r="AA148" s="445"/>
      <c r="AI148" s="670"/>
    </row>
    <row r="149" spans="1:49" ht="30">
      <c r="A149" s="423" t="s">
        <v>1045</v>
      </c>
      <c r="B149" s="642" t="s">
        <v>1125</v>
      </c>
      <c r="C149" s="401">
        <f>AUTOQUESTIONNAIRE!G149</f>
        <v>0</v>
      </c>
      <c r="F149" s="445">
        <f t="shared" ref="F149:Z156" si="59">$C149</f>
        <v>0</v>
      </c>
      <c r="G149" s="445">
        <f t="shared" si="59"/>
        <v>0</v>
      </c>
      <c r="H149" s="445"/>
      <c r="I149" s="445">
        <f t="shared" si="59"/>
        <v>0</v>
      </c>
      <c r="J149" s="445">
        <f t="shared" si="59"/>
        <v>0</v>
      </c>
      <c r="K149" s="445"/>
      <c r="L149" s="445"/>
      <c r="M149" s="445"/>
      <c r="N149" s="445"/>
      <c r="O149" s="445"/>
      <c r="P149" s="445">
        <f t="shared" si="59"/>
        <v>0</v>
      </c>
      <c r="Q149" s="445">
        <f t="shared" si="59"/>
        <v>0</v>
      </c>
      <c r="R149" s="445"/>
      <c r="S149" s="445">
        <f t="shared" si="59"/>
        <v>0</v>
      </c>
      <c r="T149" s="445"/>
      <c r="U149" s="445"/>
      <c r="V149" s="445"/>
      <c r="W149" s="445"/>
      <c r="X149" s="445"/>
      <c r="Y149" s="954">
        <f t="shared" si="59"/>
        <v>0</v>
      </c>
      <c r="Z149" s="445"/>
      <c r="AA149" s="445"/>
      <c r="AE149" s="445">
        <f>$C149</f>
        <v>0</v>
      </c>
      <c r="AI149" s="670"/>
    </row>
    <row r="150" spans="1:49" ht="45">
      <c r="A150" s="423" t="s">
        <v>1045</v>
      </c>
      <c r="B150" s="642" t="s">
        <v>1128</v>
      </c>
      <c r="C150" s="401">
        <f>AUTOQUESTIONNAIRE!G150</f>
        <v>0</v>
      </c>
      <c r="F150" s="445">
        <f t="shared" si="59"/>
        <v>0</v>
      </c>
      <c r="G150" s="445">
        <f t="shared" si="59"/>
        <v>0</v>
      </c>
      <c r="H150" s="445"/>
      <c r="I150" s="445">
        <f t="shared" si="59"/>
        <v>0</v>
      </c>
      <c r="J150" s="445">
        <f t="shared" si="59"/>
        <v>0</v>
      </c>
      <c r="K150" s="445"/>
      <c r="L150" s="445"/>
      <c r="M150" s="445"/>
      <c r="N150" s="445"/>
      <c r="O150" s="445"/>
      <c r="P150" s="445">
        <f t="shared" si="59"/>
        <v>0</v>
      </c>
      <c r="Q150" s="445">
        <f t="shared" si="59"/>
        <v>0</v>
      </c>
      <c r="R150" s="445">
        <f t="shared" si="59"/>
        <v>0</v>
      </c>
      <c r="S150" s="445">
        <f t="shared" si="59"/>
        <v>0</v>
      </c>
      <c r="T150" s="445"/>
      <c r="U150" s="445"/>
      <c r="V150" s="445"/>
      <c r="W150" s="445"/>
      <c r="X150" s="445"/>
      <c r="Y150" s="954"/>
      <c r="Z150" s="445"/>
      <c r="AA150" s="445"/>
      <c r="AD150" s="445"/>
      <c r="AI150" s="670"/>
      <c r="AM150" s="445">
        <f>C150</f>
        <v>0</v>
      </c>
    </row>
    <row r="151" spans="1:49">
      <c r="A151" s="423" t="s">
        <v>1045</v>
      </c>
      <c r="B151" s="642" t="s">
        <v>1129</v>
      </c>
      <c r="C151" s="401">
        <f>AUTOQUESTIONNAIRE!G151</f>
        <v>1</v>
      </c>
      <c r="F151" s="445">
        <f t="shared" si="59"/>
        <v>1</v>
      </c>
      <c r="G151" s="445"/>
      <c r="H151" s="445"/>
      <c r="I151" s="445">
        <f t="shared" si="59"/>
        <v>1</v>
      </c>
      <c r="J151" s="445"/>
      <c r="K151" s="445"/>
      <c r="L151" s="445"/>
      <c r="M151" s="445"/>
      <c r="N151" s="445"/>
      <c r="O151" s="445"/>
      <c r="P151" s="445"/>
      <c r="Q151" s="445"/>
      <c r="R151" s="445"/>
      <c r="S151" s="445"/>
      <c r="T151" s="445"/>
      <c r="U151" s="445"/>
      <c r="V151" s="445"/>
      <c r="W151" s="445"/>
      <c r="X151" s="445"/>
      <c r="Y151" s="954"/>
      <c r="Z151" s="445">
        <f t="shared" si="59"/>
        <v>1</v>
      </c>
      <c r="AA151" s="445"/>
      <c r="AI151" s="670"/>
      <c r="AN151" s="445">
        <f>C151</f>
        <v>1</v>
      </c>
    </row>
    <row r="152" spans="1:49" ht="30">
      <c r="A152" s="423" t="s">
        <v>1045</v>
      </c>
      <c r="B152" s="642" t="s">
        <v>1130</v>
      </c>
      <c r="C152" s="401">
        <f>AUTOQUESTIONNAIRE!G152</f>
        <v>0.5</v>
      </c>
      <c r="F152" s="445"/>
      <c r="G152" s="445"/>
      <c r="H152" s="445"/>
      <c r="I152" s="445"/>
      <c r="J152" s="445"/>
      <c r="K152" s="445"/>
      <c r="L152" s="445"/>
      <c r="M152" s="445"/>
      <c r="N152" s="445"/>
      <c r="O152" s="445"/>
      <c r="P152" s="445"/>
      <c r="Q152" s="445"/>
      <c r="R152" s="445"/>
      <c r="S152" s="445"/>
      <c r="T152" s="445"/>
      <c r="U152" s="445"/>
      <c r="V152" s="445"/>
      <c r="W152" s="445"/>
      <c r="X152" s="445"/>
      <c r="Y152" s="954"/>
      <c r="Z152" s="445"/>
      <c r="AA152" s="445"/>
      <c r="AI152" s="670"/>
      <c r="AV152" s="445">
        <f>C152</f>
        <v>0.5</v>
      </c>
    </row>
    <row r="153" spans="1:49">
      <c r="A153" s="423" t="s">
        <v>1045</v>
      </c>
      <c r="B153" s="654" t="s">
        <v>1131</v>
      </c>
      <c r="C153" s="401">
        <f>AUTOQUESTIONNAIRE!G153</f>
        <v>1.5</v>
      </c>
      <c r="F153" s="445"/>
      <c r="G153" s="445"/>
      <c r="H153" s="445"/>
      <c r="I153" s="445"/>
      <c r="J153" s="445"/>
      <c r="K153" s="445"/>
      <c r="L153" s="445"/>
      <c r="M153" s="445"/>
      <c r="N153" s="445"/>
      <c r="O153" s="445"/>
      <c r="P153" s="445"/>
      <c r="Q153" s="445"/>
      <c r="R153" s="445"/>
      <c r="S153" s="445"/>
      <c r="T153" s="445"/>
      <c r="U153" s="445"/>
      <c r="V153" s="445"/>
      <c r="W153" s="445"/>
      <c r="X153" s="445"/>
      <c r="Y153" s="954"/>
      <c r="Z153" s="445"/>
      <c r="AA153" s="445"/>
      <c r="AI153" s="670"/>
      <c r="AW153" s="445">
        <f>$C153</f>
        <v>1.5</v>
      </c>
    </row>
    <row r="154" spans="1:49">
      <c r="A154" s="423" t="s">
        <v>1045</v>
      </c>
      <c r="B154" s="655" t="s">
        <v>1132</v>
      </c>
      <c r="C154" s="401">
        <f>AUTOQUESTIONNAIRE!G154</f>
        <v>0</v>
      </c>
      <c r="F154" s="445"/>
      <c r="G154" s="445"/>
      <c r="H154" s="445"/>
      <c r="I154" s="445">
        <f t="shared" si="59"/>
        <v>0</v>
      </c>
      <c r="J154" s="445"/>
      <c r="K154" s="445">
        <f t="shared" si="59"/>
        <v>0</v>
      </c>
      <c r="L154" s="445">
        <f t="shared" si="59"/>
        <v>0</v>
      </c>
      <c r="M154" s="445"/>
      <c r="N154" s="445"/>
      <c r="O154" s="445"/>
      <c r="P154" s="445"/>
      <c r="Q154" s="445"/>
      <c r="R154" s="445"/>
      <c r="S154" s="445"/>
      <c r="T154" s="445"/>
      <c r="U154" s="445"/>
      <c r="V154" s="445"/>
      <c r="W154" s="445"/>
      <c r="X154" s="445"/>
      <c r="Y154" s="954"/>
      <c r="Z154" s="445"/>
      <c r="AA154" s="445"/>
      <c r="AI154" s="670"/>
    </row>
    <row r="155" spans="1:49">
      <c r="A155" s="423" t="s">
        <v>1045</v>
      </c>
      <c r="B155" s="642" t="s">
        <v>1133</v>
      </c>
      <c r="C155" s="401">
        <f>AUTOQUESTIONNAIRE!G155</f>
        <v>0</v>
      </c>
      <c r="F155" s="445">
        <f t="shared" si="59"/>
        <v>0</v>
      </c>
      <c r="G155" s="445">
        <f t="shared" si="59"/>
        <v>0</v>
      </c>
      <c r="H155" s="445"/>
      <c r="I155" s="445">
        <f t="shared" si="59"/>
        <v>0</v>
      </c>
      <c r="J155" s="445"/>
      <c r="K155" s="445">
        <f t="shared" si="59"/>
        <v>0</v>
      </c>
      <c r="L155" s="445">
        <f t="shared" si="59"/>
        <v>0</v>
      </c>
      <c r="M155" s="445">
        <f t="shared" si="59"/>
        <v>0</v>
      </c>
      <c r="N155" s="445"/>
      <c r="O155" s="445"/>
      <c r="P155" s="445"/>
      <c r="Q155" s="445">
        <f t="shared" si="59"/>
        <v>0</v>
      </c>
      <c r="R155" s="445"/>
      <c r="S155" s="445">
        <f t="shared" si="59"/>
        <v>0</v>
      </c>
      <c r="T155" s="445"/>
      <c r="U155" s="445"/>
      <c r="V155" s="445"/>
      <c r="W155" s="445"/>
      <c r="X155" s="445"/>
      <c r="Y155" s="954"/>
      <c r="Z155" s="445"/>
      <c r="AA155" s="445"/>
      <c r="AI155" s="670"/>
      <c r="AS155" s="445">
        <f>$C155</f>
        <v>0</v>
      </c>
    </row>
    <row r="156" spans="1:49" ht="45">
      <c r="A156" s="423" t="s">
        <v>1045</v>
      </c>
      <c r="B156" s="642" t="s">
        <v>1134</v>
      </c>
      <c r="C156" s="401">
        <f>AUTOQUESTIONNAIRE!G156</f>
        <v>0</v>
      </c>
      <c r="F156" s="445">
        <f t="shared" si="59"/>
        <v>0</v>
      </c>
      <c r="G156" s="445">
        <f t="shared" si="59"/>
        <v>0</v>
      </c>
      <c r="H156" s="445"/>
      <c r="I156" s="445">
        <f t="shared" si="59"/>
        <v>0</v>
      </c>
      <c r="J156" s="445">
        <f t="shared" si="59"/>
        <v>0</v>
      </c>
      <c r="K156" s="445"/>
      <c r="L156" s="445"/>
      <c r="M156" s="445"/>
      <c r="N156" s="445"/>
      <c r="O156" s="445"/>
      <c r="P156" s="445"/>
      <c r="Q156" s="445">
        <f t="shared" si="59"/>
        <v>0</v>
      </c>
      <c r="R156" s="445">
        <f t="shared" si="59"/>
        <v>0</v>
      </c>
      <c r="S156" s="445">
        <f t="shared" si="59"/>
        <v>0</v>
      </c>
      <c r="T156" s="445"/>
      <c r="U156" s="445"/>
      <c r="V156" s="445">
        <f t="shared" si="59"/>
        <v>0</v>
      </c>
      <c r="W156" s="445"/>
      <c r="X156" s="445"/>
      <c r="Y156" s="954"/>
      <c r="Z156" s="445"/>
      <c r="AA156" s="445"/>
      <c r="AD156" s="445"/>
      <c r="AI156" s="670"/>
      <c r="AM156" s="445">
        <f>C156</f>
        <v>0</v>
      </c>
    </row>
    <row r="157" spans="1:49">
      <c r="A157" s="423" t="s">
        <v>1045</v>
      </c>
      <c r="B157" s="654" t="s">
        <v>1126</v>
      </c>
      <c r="C157" s="401">
        <f>AUTOQUESTIONNAIRE!G157</f>
        <v>0</v>
      </c>
      <c r="F157" s="445">
        <f t="shared" ref="F157:Y168" si="60">$C157</f>
        <v>0</v>
      </c>
      <c r="G157" s="445"/>
      <c r="H157" s="445"/>
      <c r="I157" s="445">
        <f t="shared" si="60"/>
        <v>0</v>
      </c>
      <c r="J157" s="445"/>
      <c r="K157" s="445"/>
      <c r="L157" s="445"/>
      <c r="M157" s="445">
        <f t="shared" si="60"/>
        <v>0</v>
      </c>
      <c r="N157" s="445"/>
      <c r="O157" s="445"/>
      <c r="P157" s="445">
        <f t="shared" si="60"/>
        <v>0</v>
      </c>
      <c r="Q157" s="445">
        <f t="shared" si="60"/>
        <v>0</v>
      </c>
      <c r="R157" s="445"/>
      <c r="S157" s="445">
        <f t="shared" si="60"/>
        <v>0</v>
      </c>
      <c r="T157" s="445"/>
      <c r="U157" s="445"/>
      <c r="V157" s="445"/>
      <c r="W157" s="445"/>
      <c r="X157" s="445"/>
      <c r="Y157" s="954"/>
      <c r="Z157" s="445"/>
      <c r="AA157" s="445"/>
      <c r="AI157" s="670"/>
      <c r="AR157" s="445">
        <f t="shared" ref="AR157" si="61">$C157</f>
        <v>0</v>
      </c>
    </row>
    <row r="158" spans="1:49" ht="30">
      <c r="A158" s="423" t="s">
        <v>1045</v>
      </c>
      <c r="B158" s="642" t="s">
        <v>1135</v>
      </c>
      <c r="C158" s="401">
        <f>AUTOQUESTIONNAIRE!G158</f>
        <v>0</v>
      </c>
      <c r="F158" s="445">
        <f t="shared" si="60"/>
        <v>0</v>
      </c>
      <c r="G158" s="445">
        <f t="shared" si="60"/>
        <v>0</v>
      </c>
      <c r="H158" s="445"/>
      <c r="I158" s="445">
        <f t="shared" si="60"/>
        <v>0</v>
      </c>
      <c r="J158" s="445"/>
      <c r="K158" s="445"/>
      <c r="L158" s="445"/>
      <c r="M158" s="445"/>
      <c r="N158" s="445"/>
      <c r="O158" s="445"/>
      <c r="P158" s="445"/>
      <c r="Q158" s="445"/>
      <c r="R158" s="445">
        <f t="shared" si="60"/>
        <v>0</v>
      </c>
      <c r="S158" s="445">
        <f t="shared" si="60"/>
        <v>0</v>
      </c>
      <c r="T158" s="445"/>
      <c r="U158" s="445"/>
      <c r="V158" s="445"/>
      <c r="W158" s="445"/>
      <c r="X158" s="445"/>
      <c r="Y158" s="954"/>
      <c r="Z158" s="445"/>
      <c r="AA158" s="445"/>
      <c r="AI158" s="670"/>
      <c r="AM158" s="445">
        <f>C158</f>
        <v>0</v>
      </c>
    </row>
    <row r="159" spans="1:49">
      <c r="A159" s="423" t="s">
        <v>1045</v>
      </c>
      <c r="B159" s="654" t="s">
        <v>1136</v>
      </c>
      <c r="C159" s="401">
        <f>AUTOQUESTIONNAIRE!G159</f>
        <v>0</v>
      </c>
      <c r="F159" s="445">
        <f t="shared" si="60"/>
        <v>0</v>
      </c>
      <c r="G159" s="445"/>
      <c r="H159" s="445"/>
      <c r="I159" s="445">
        <f t="shared" si="60"/>
        <v>0</v>
      </c>
      <c r="J159" s="445"/>
      <c r="K159" s="445"/>
      <c r="L159" s="445">
        <f t="shared" si="60"/>
        <v>0</v>
      </c>
      <c r="M159" s="445"/>
      <c r="N159" s="445"/>
      <c r="O159" s="445"/>
      <c r="P159" s="445"/>
      <c r="Q159" s="445"/>
      <c r="R159" s="445"/>
      <c r="S159" s="445">
        <f t="shared" si="60"/>
        <v>0</v>
      </c>
      <c r="T159" s="445"/>
      <c r="U159" s="445"/>
      <c r="V159" s="445"/>
      <c r="W159" s="445"/>
      <c r="X159" s="445"/>
      <c r="Y159" s="954"/>
      <c r="Z159" s="445"/>
      <c r="AA159" s="445"/>
      <c r="AI159" s="670"/>
      <c r="AO159" s="445">
        <f>C159</f>
        <v>0</v>
      </c>
      <c r="AP159" s="445">
        <f>C159</f>
        <v>0</v>
      </c>
    </row>
    <row r="160" spans="1:49" ht="30">
      <c r="A160" s="423" t="s">
        <v>1045</v>
      </c>
      <c r="B160" s="642" t="s">
        <v>1139</v>
      </c>
      <c r="C160" s="401">
        <f>AUTOQUESTIONNAIRE!G160</f>
        <v>0</v>
      </c>
      <c r="F160" s="445">
        <f t="shared" si="60"/>
        <v>0</v>
      </c>
      <c r="G160" s="445"/>
      <c r="H160" s="445"/>
      <c r="I160" s="445">
        <f t="shared" si="60"/>
        <v>0</v>
      </c>
      <c r="J160" s="445"/>
      <c r="K160" s="445"/>
      <c r="L160" s="445"/>
      <c r="M160" s="445"/>
      <c r="N160" s="445"/>
      <c r="O160" s="445"/>
      <c r="P160" s="445">
        <f t="shared" si="60"/>
        <v>0</v>
      </c>
      <c r="Q160" s="445">
        <f t="shared" si="60"/>
        <v>0</v>
      </c>
      <c r="R160" s="445"/>
      <c r="S160" s="445">
        <f t="shared" si="60"/>
        <v>0</v>
      </c>
      <c r="T160" s="445"/>
      <c r="U160" s="445"/>
      <c r="V160" s="445"/>
      <c r="W160" s="445"/>
      <c r="X160" s="445"/>
      <c r="Y160" s="954">
        <f t="shared" si="60"/>
        <v>0</v>
      </c>
      <c r="Z160" s="445"/>
      <c r="AA160" s="445"/>
      <c r="AI160" s="670"/>
      <c r="AU160" s="445">
        <f>C160</f>
        <v>0</v>
      </c>
    </row>
    <row r="161" spans="1:47" ht="30">
      <c r="A161" s="423" t="s">
        <v>1045</v>
      </c>
      <c r="B161" s="642" t="s">
        <v>1137</v>
      </c>
      <c r="C161" s="401">
        <f>AUTOQUESTIONNAIRE!G161</f>
        <v>0</v>
      </c>
      <c r="F161" s="445">
        <f t="shared" si="60"/>
        <v>0</v>
      </c>
      <c r="G161" s="445"/>
      <c r="H161" s="445"/>
      <c r="I161" s="445">
        <f t="shared" si="60"/>
        <v>0</v>
      </c>
      <c r="J161" s="445">
        <f t="shared" si="60"/>
        <v>0</v>
      </c>
      <c r="K161" s="445"/>
      <c r="L161" s="445"/>
      <c r="M161" s="445"/>
      <c r="N161" s="445"/>
      <c r="O161" s="445"/>
      <c r="P161" s="445"/>
      <c r="Q161" s="445">
        <f t="shared" si="60"/>
        <v>0</v>
      </c>
      <c r="R161" s="445"/>
      <c r="S161" s="445">
        <f t="shared" si="60"/>
        <v>0</v>
      </c>
      <c r="T161" s="445"/>
      <c r="U161" s="445"/>
      <c r="V161" s="445"/>
      <c r="W161" s="445"/>
      <c r="X161" s="445"/>
      <c r="Y161" s="954">
        <f t="shared" si="60"/>
        <v>0</v>
      </c>
      <c r="Z161" s="445"/>
      <c r="AA161" s="445"/>
      <c r="AI161" s="670"/>
      <c r="AU161" s="445">
        <f>C161</f>
        <v>0</v>
      </c>
    </row>
    <row r="162" spans="1:47" ht="45">
      <c r="A162" s="423" t="s">
        <v>1045</v>
      </c>
      <c r="B162" s="642" t="s">
        <v>1138</v>
      </c>
      <c r="C162" s="401">
        <f>AUTOQUESTIONNAIRE!G162</f>
        <v>0</v>
      </c>
      <c r="F162" s="445">
        <f t="shared" si="60"/>
        <v>0</v>
      </c>
      <c r="G162" s="445">
        <f t="shared" si="60"/>
        <v>0</v>
      </c>
      <c r="H162" s="445"/>
      <c r="I162" s="445">
        <f t="shared" si="60"/>
        <v>0</v>
      </c>
      <c r="J162" s="445">
        <f t="shared" si="60"/>
        <v>0</v>
      </c>
      <c r="K162" s="445">
        <f t="shared" si="60"/>
        <v>0</v>
      </c>
      <c r="L162" s="445">
        <f t="shared" si="60"/>
        <v>0</v>
      </c>
      <c r="M162" s="445">
        <f t="shared" si="60"/>
        <v>0</v>
      </c>
      <c r="N162" s="445"/>
      <c r="O162" s="445"/>
      <c r="P162" s="445">
        <f t="shared" si="60"/>
        <v>0</v>
      </c>
      <c r="Q162" s="445">
        <f t="shared" si="60"/>
        <v>0</v>
      </c>
      <c r="R162" s="445"/>
      <c r="S162" s="445">
        <f t="shared" si="60"/>
        <v>0</v>
      </c>
      <c r="T162" s="445"/>
      <c r="U162" s="445"/>
      <c r="V162" s="445">
        <f t="shared" si="60"/>
        <v>0</v>
      </c>
      <c r="W162" s="445"/>
      <c r="X162" s="445"/>
      <c r="Y162" s="954"/>
      <c r="Z162" s="445"/>
      <c r="AA162" s="445"/>
      <c r="AH162" s="445">
        <f t="shared" ref="AH162" si="62">$C162</f>
        <v>0</v>
      </c>
      <c r="AI162" s="670"/>
    </row>
    <row r="163" spans="1:47" ht="45">
      <c r="A163" s="423" t="s">
        <v>1045</v>
      </c>
      <c r="B163" s="642" t="s">
        <v>1140</v>
      </c>
      <c r="C163" s="401">
        <f>AUTOQUESTIONNAIRE!G163</f>
        <v>0</v>
      </c>
      <c r="F163" s="445">
        <f t="shared" si="60"/>
        <v>0</v>
      </c>
      <c r="G163" s="445"/>
      <c r="H163" s="445"/>
      <c r="I163" s="445">
        <f t="shared" si="60"/>
        <v>0</v>
      </c>
      <c r="J163" s="445">
        <f t="shared" si="60"/>
        <v>0</v>
      </c>
      <c r="K163" s="445"/>
      <c r="L163" s="445"/>
      <c r="M163" s="445"/>
      <c r="N163" s="445"/>
      <c r="O163" s="445"/>
      <c r="P163" s="445">
        <f t="shared" si="60"/>
        <v>0</v>
      </c>
      <c r="Q163" s="445">
        <f t="shared" si="60"/>
        <v>0</v>
      </c>
      <c r="R163" s="445"/>
      <c r="S163" s="445">
        <f t="shared" si="60"/>
        <v>0</v>
      </c>
      <c r="T163" s="445"/>
      <c r="U163" s="445"/>
      <c r="V163" s="445"/>
      <c r="W163" s="445"/>
      <c r="X163" s="445"/>
      <c r="Y163" s="954"/>
      <c r="Z163" s="445"/>
      <c r="AA163" s="445"/>
      <c r="AI163" s="670"/>
    </row>
    <row r="164" spans="1:47" ht="30">
      <c r="A164" s="423" t="s">
        <v>1045</v>
      </c>
      <c r="B164" s="642" t="s">
        <v>1141</v>
      </c>
      <c r="C164" s="401">
        <f>AUTOQUESTIONNAIRE!G164</f>
        <v>0</v>
      </c>
      <c r="F164" s="445">
        <f t="shared" si="60"/>
        <v>0</v>
      </c>
      <c r="G164" s="445"/>
      <c r="H164" s="445"/>
      <c r="I164" s="445">
        <f t="shared" si="60"/>
        <v>0</v>
      </c>
      <c r="J164" s="445">
        <f t="shared" si="60"/>
        <v>0</v>
      </c>
      <c r="K164" s="445"/>
      <c r="L164" s="445"/>
      <c r="M164" s="445"/>
      <c r="N164" s="445"/>
      <c r="O164" s="445"/>
      <c r="P164" s="445">
        <f t="shared" si="60"/>
        <v>0</v>
      </c>
      <c r="Q164" s="445">
        <f t="shared" si="60"/>
        <v>0</v>
      </c>
      <c r="R164" s="445"/>
      <c r="S164" s="445"/>
      <c r="T164" s="445"/>
      <c r="U164" s="445"/>
      <c r="V164" s="445"/>
      <c r="W164" s="445"/>
      <c r="X164" s="445"/>
      <c r="Y164" s="954"/>
      <c r="Z164" s="445"/>
      <c r="AA164" s="445"/>
      <c r="AB164" s="445"/>
      <c r="AI164" s="670"/>
      <c r="AS164" s="445">
        <f>C164</f>
        <v>0</v>
      </c>
    </row>
    <row r="165" spans="1:47" ht="45">
      <c r="A165" s="423" t="s">
        <v>1045</v>
      </c>
      <c r="B165" s="642" t="s">
        <v>1142</v>
      </c>
      <c r="C165" s="401">
        <f>AUTOQUESTIONNAIRE!G165</f>
        <v>0</v>
      </c>
      <c r="F165" s="445">
        <f t="shared" si="60"/>
        <v>0</v>
      </c>
      <c r="G165" s="445"/>
      <c r="H165" s="445"/>
      <c r="I165" s="445">
        <f t="shared" si="60"/>
        <v>0</v>
      </c>
      <c r="J165" s="445">
        <f t="shared" si="60"/>
        <v>0</v>
      </c>
      <c r="K165" s="445"/>
      <c r="L165" s="445"/>
      <c r="M165" s="445"/>
      <c r="N165" s="445"/>
      <c r="O165" s="445"/>
      <c r="P165" s="445"/>
      <c r="Q165" s="445"/>
      <c r="R165" s="445"/>
      <c r="S165" s="445"/>
      <c r="T165" s="445"/>
      <c r="U165" s="445"/>
      <c r="V165" s="445"/>
      <c r="W165" s="445"/>
      <c r="X165" s="445"/>
      <c r="Y165" s="954"/>
      <c r="Z165" s="445"/>
      <c r="AA165" s="445"/>
      <c r="AI165" s="670"/>
      <c r="AU165" s="445">
        <f>C165</f>
        <v>0</v>
      </c>
    </row>
    <row r="166" spans="1:47" ht="75">
      <c r="A166" s="423" t="s">
        <v>1045</v>
      </c>
      <c r="B166" s="642" t="s">
        <v>1148</v>
      </c>
      <c r="C166" s="401">
        <f>AUTOQUESTIONNAIRE!G166</f>
        <v>0</v>
      </c>
      <c r="F166" s="445"/>
      <c r="G166" s="445"/>
      <c r="H166" s="445"/>
      <c r="I166" s="445">
        <f t="shared" si="60"/>
        <v>0</v>
      </c>
      <c r="J166" s="445"/>
      <c r="K166" s="445"/>
      <c r="L166" s="445"/>
      <c r="M166" s="445"/>
      <c r="N166" s="445"/>
      <c r="O166" s="445"/>
      <c r="P166" s="445"/>
      <c r="Q166" s="445">
        <f t="shared" si="60"/>
        <v>0</v>
      </c>
      <c r="R166" s="445"/>
      <c r="S166" s="445">
        <f t="shared" si="60"/>
        <v>0</v>
      </c>
      <c r="T166" s="445"/>
      <c r="U166" s="445">
        <f t="shared" si="60"/>
        <v>0</v>
      </c>
      <c r="V166" s="445"/>
      <c r="W166" s="445"/>
      <c r="X166" s="445"/>
      <c r="Y166" s="954"/>
      <c r="Z166" s="445"/>
      <c r="AA166" s="445"/>
      <c r="AI166" s="670"/>
      <c r="AO166" s="445">
        <f>C166</f>
        <v>0</v>
      </c>
    </row>
    <row r="167" spans="1:47" ht="60">
      <c r="A167" s="423" t="s">
        <v>1045</v>
      </c>
      <c r="B167" s="642" t="s">
        <v>1149</v>
      </c>
      <c r="C167" s="401">
        <f>AUTOQUESTIONNAIRE!G167</f>
        <v>0</v>
      </c>
      <c r="F167" s="445"/>
      <c r="G167" s="445">
        <f t="shared" si="60"/>
        <v>0</v>
      </c>
      <c r="H167" s="445"/>
      <c r="I167" s="445">
        <f t="shared" si="60"/>
        <v>0</v>
      </c>
      <c r="J167" s="445"/>
      <c r="K167" s="445"/>
      <c r="L167" s="445"/>
      <c r="M167" s="445"/>
      <c r="N167" s="445">
        <f t="shared" si="60"/>
        <v>0</v>
      </c>
      <c r="O167" s="445"/>
      <c r="P167" s="445"/>
      <c r="Q167" s="445">
        <f t="shared" si="60"/>
        <v>0</v>
      </c>
      <c r="R167" s="445"/>
      <c r="S167" s="445">
        <f t="shared" si="60"/>
        <v>0</v>
      </c>
      <c r="T167" s="445"/>
      <c r="U167" s="445">
        <f t="shared" si="60"/>
        <v>0</v>
      </c>
      <c r="V167" s="445"/>
      <c r="W167" s="445">
        <f t="shared" ref="W167" si="63">$C167</f>
        <v>0</v>
      </c>
      <c r="X167" s="445">
        <f t="shared" si="60"/>
        <v>0</v>
      </c>
      <c r="Y167" s="954"/>
      <c r="Z167" s="445"/>
      <c r="AA167" s="445"/>
      <c r="AI167" s="670"/>
      <c r="AO167" s="445">
        <f>C167</f>
        <v>0</v>
      </c>
    </row>
    <row r="168" spans="1:47" ht="45">
      <c r="A168" s="423" t="s">
        <v>1045</v>
      </c>
      <c r="B168" s="642" t="s">
        <v>1302</v>
      </c>
      <c r="C168" s="404">
        <f>AUTOQUESTIONNAIRE!G168</f>
        <v>0</v>
      </c>
      <c r="F168" s="445">
        <f t="shared" si="60"/>
        <v>0</v>
      </c>
      <c r="T168" s="445">
        <f t="shared" si="60"/>
        <v>0</v>
      </c>
      <c r="AI168" s="670"/>
    </row>
    <row r="169" spans="1:47" ht="30">
      <c r="A169" s="423" t="s">
        <v>1045</v>
      </c>
      <c r="B169" s="642" t="s">
        <v>1303</v>
      </c>
      <c r="C169" s="404">
        <f>AUTOQUESTIONNAIRE!G169</f>
        <v>0</v>
      </c>
      <c r="F169" s="445"/>
      <c r="AI169" s="670"/>
      <c r="AU169" s="445">
        <f>C169</f>
        <v>0</v>
      </c>
    </row>
    <row r="170" spans="1:47">
      <c r="A170" s="423" t="s">
        <v>1045</v>
      </c>
      <c r="B170" s="317" t="s">
        <v>1314</v>
      </c>
      <c r="C170" s="404">
        <f>AUTOQUESTIONNAIRE!G170</f>
        <v>1</v>
      </c>
      <c r="F170" s="445"/>
      <c r="K170" s="445">
        <f t="shared" ref="K170:M171" si="64">$C170</f>
        <v>1</v>
      </c>
      <c r="L170" s="445">
        <f t="shared" si="64"/>
        <v>1</v>
      </c>
      <c r="M170" s="445">
        <f t="shared" si="64"/>
        <v>1</v>
      </c>
      <c r="Q170" s="445">
        <f t="shared" ref="Q170:Q174" si="65">$C170</f>
        <v>1</v>
      </c>
      <c r="AI170" s="670"/>
    </row>
    <row r="171" spans="1:47">
      <c r="A171" s="423" t="s">
        <v>1045</v>
      </c>
      <c r="B171" s="317" t="s">
        <v>1315</v>
      </c>
      <c r="C171" s="404">
        <f>AUTOQUESTIONNAIRE!G171</f>
        <v>1</v>
      </c>
      <c r="F171" s="445"/>
      <c r="G171" s="445"/>
      <c r="I171" s="445">
        <f t="shared" ref="I171:I172" si="66">$C171</f>
        <v>1</v>
      </c>
      <c r="K171" s="445">
        <f t="shared" si="64"/>
        <v>1</v>
      </c>
      <c r="L171" s="445">
        <f t="shared" si="64"/>
        <v>1</v>
      </c>
      <c r="M171" s="445">
        <f t="shared" si="64"/>
        <v>1</v>
      </c>
      <c r="Q171" s="445">
        <f t="shared" si="65"/>
        <v>1</v>
      </c>
      <c r="AH171" s="445">
        <f t="shared" ref="AH171" si="67">$C171</f>
        <v>1</v>
      </c>
      <c r="AI171" s="670"/>
    </row>
    <row r="172" spans="1:47">
      <c r="A172" s="423" t="s">
        <v>1045</v>
      </c>
      <c r="B172" s="317" t="s">
        <v>1316</v>
      </c>
      <c r="C172" s="404">
        <f>AUTOQUESTIONNAIRE!G172</f>
        <v>0</v>
      </c>
      <c r="F172" s="445"/>
      <c r="G172" s="445"/>
      <c r="I172" s="445">
        <f t="shared" si="66"/>
        <v>0</v>
      </c>
      <c r="M172" s="445">
        <f t="shared" ref="M172:M173" si="68">$C172</f>
        <v>0</v>
      </c>
      <c r="Q172" s="445">
        <f t="shared" si="65"/>
        <v>0</v>
      </c>
      <c r="S172" s="445">
        <f t="shared" ref="S172:S173" si="69">$C172</f>
        <v>0</v>
      </c>
      <c r="AI172" s="670"/>
    </row>
    <row r="173" spans="1:47">
      <c r="A173" s="423" t="s">
        <v>1045</v>
      </c>
      <c r="B173" s="317" t="s">
        <v>1317</v>
      </c>
      <c r="C173" s="404">
        <f>AUTOQUESTIONNAIRE!G173</f>
        <v>0</v>
      </c>
      <c r="F173" s="445"/>
      <c r="M173" s="445">
        <f t="shared" si="68"/>
        <v>0</v>
      </c>
      <c r="Q173" s="445">
        <f t="shared" si="65"/>
        <v>0</v>
      </c>
      <c r="S173" s="445">
        <f t="shared" si="69"/>
        <v>0</v>
      </c>
      <c r="AI173" s="670"/>
      <c r="AM173" s="445">
        <f>C173</f>
        <v>0</v>
      </c>
    </row>
    <row r="174" spans="1:47">
      <c r="A174" s="423" t="s">
        <v>1045</v>
      </c>
      <c r="B174" s="656" t="s">
        <v>1318</v>
      </c>
      <c r="C174" s="404">
        <f>AUTOQUESTIONNAIRE!G174</f>
        <v>1</v>
      </c>
      <c r="F174" s="445"/>
      <c r="K174" s="445">
        <f t="shared" ref="K174:L174" si="70">$C174</f>
        <v>1</v>
      </c>
      <c r="L174" s="445">
        <f t="shared" si="70"/>
        <v>1</v>
      </c>
      <c r="Q174" s="445">
        <f t="shared" si="65"/>
        <v>1</v>
      </c>
      <c r="AH174" s="445">
        <f t="shared" ref="AH174" si="71">$C174</f>
        <v>1</v>
      </c>
      <c r="AI174" s="670"/>
    </row>
    <row r="175" spans="1:47">
      <c r="B175" s="657"/>
      <c r="F175" s="445"/>
      <c r="K175" s="445"/>
      <c r="L175" s="445"/>
      <c r="Q175" s="445"/>
      <c r="AI175" s="670"/>
    </row>
    <row r="176" spans="1:47">
      <c r="B176" s="657"/>
      <c r="F176" s="445"/>
      <c r="K176" s="445"/>
      <c r="L176" s="445"/>
      <c r="Q176" s="445"/>
      <c r="AI176" s="670"/>
    </row>
    <row r="177" spans="1:116">
      <c r="B177" s="657"/>
      <c r="F177" s="445"/>
      <c r="K177" s="445"/>
      <c r="L177" s="445"/>
      <c r="Q177" s="445"/>
      <c r="AI177" s="670"/>
    </row>
    <row r="178" spans="1:116">
      <c r="B178" s="657" t="str">
        <f>AUTOQUESTIONNAIRE!D178</f>
        <v>Avez-vous déjà eu une maladie infectieuse chronique nécessitant un traitement antibiotique de plus de 3 mois (comme la tuberculose, la brucellose ou l’endocardite) ?  (non=0, oui=1)</v>
      </c>
      <c r="C178" s="404">
        <f>AUTOQUESTIONNAIRE!G178</f>
        <v>0</v>
      </c>
      <c r="F178" s="445">
        <f t="shared" ref="F178" si="72">$C178</f>
        <v>0</v>
      </c>
      <c r="I178" s="445">
        <f t="shared" ref="I178" si="73">$C178</f>
        <v>0</v>
      </c>
      <c r="K178" s="445"/>
      <c r="L178" s="445"/>
      <c r="Q178" s="445"/>
      <c r="AI178" s="670"/>
    </row>
    <row r="179" spans="1:116">
      <c r="B179" s="657"/>
      <c r="F179" s="445"/>
      <c r="K179" s="445"/>
      <c r="L179" s="445"/>
      <c r="Q179" s="445"/>
      <c r="AI179" s="670"/>
    </row>
    <row r="180" spans="1:116" s="411" customFormat="1">
      <c r="A180" s="358"/>
      <c r="B180" s="657"/>
      <c r="C180" s="404"/>
      <c r="D180" s="400"/>
      <c r="E180" s="400"/>
      <c r="F180" s="445"/>
      <c r="G180" s="443"/>
      <c r="H180" s="443"/>
      <c r="I180" s="443"/>
      <c r="J180" s="443"/>
      <c r="K180" s="445"/>
      <c r="L180" s="445"/>
      <c r="M180" s="443"/>
      <c r="N180" s="443"/>
      <c r="O180" s="443"/>
      <c r="P180" s="443"/>
      <c r="Q180" s="445"/>
      <c r="R180" s="443"/>
      <c r="S180" s="443"/>
      <c r="T180" s="443"/>
      <c r="U180" s="443"/>
      <c r="V180" s="443"/>
      <c r="W180" s="443"/>
      <c r="X180" s="443"/>
      <c r="Y180" s="952"/>
      <c r="Z180" s="443"/>
      <c r="AA180" s="443"/>
      <c r="AB180" s="443"/>
      <c r="AC180" s="443"/>
      <c r="AD180" s="443"/>
      <c r="AE180" s="443"/>
      <c r="AF180" s="443"/>
      <c r="AG180" s="443"/>
      <c r="AH180" s="443"/>
      <c r="AI180" s="670"/>
      <c r="AJ180" s="443"/>
      <c r="AK180" s="443"/>
      <c r="AL180" s="443"/>
      <c r="AM180" s="445"/>
      <c r="AN180" s="445"/>
      <c r="AO180" s="445"/>
      <c r="AP180" s="445"/>
      <c r="AQ180" s="445"/>
      <c r="AR180" s="445"/>
      <c r="AS180" s="445"/>
      <c r="AT180" s="445"/>
      <c r="AU180" s="445"/>
      <c r="AV180" s="445"/>
      <c r="AW180" s="445"/>
      <c r="AX180" s="445"/>
      <c r="AY180" s="445"/>
      <c r="AZ180" s="445"/>
      <c r="BA180" s="443"/>
      <c r="BB180" s="443"/>
      <c r="BC180" s="443"/>
      <c r="BD180" s="443"/>
      <c r="BE180" s="443"/>
      <c r="BF180" s="443"/>
      <c r="BG180" s="443"/>
      <c r="BH180" s="443"/>
      <c r="BI180" s="443"/>
      <c r="BJ180" s="443"/>
      <c r="BK180" s="443"/>
      <c r="BL180" s="443"/>
      <c r="BM180" s="443"/>
      <c r="BN180" s="443"/>
      <c r="BO180" s="443"/>
      <c r="BP180" s="443"/>
      <c r="BQ180" s="443"/>
      <c r="BR180" s="443"/>
      <c r="BS180" s="443"/>
      <c r="BT180" s="730"/>
      <c r="CM180" s="400"/>
      <c r="CN180" s="400"/>
      <c r="CO180" s="400"/>
      <c r="CP180" s="400"/>
      <c r="CQ180" s="400"/>
      <c r="CR180" s="400"/>
      <c r="CS180" s="400"/>
      <c r="CT180" s="400"/>
      <c r="CU180" s="400"/>
      <c r="CV180" s="400"/>
      <c r="CW180" s="400"/>
      <c r="CX180" s="400"/>
      <c r="CY180" s="400"/>
      <c r="CZ180" s="400"/>
      <c r="DA180" s="400"/>
      <c r="DB180" s="400"/>
      <c r="DC180" s="400"/>
      <c r="DD180" s="400"/>
      <c r="DE180" s="400"/>
      <c r="DF180" s="400"/>
      <c r="DG180" s="400"/>
      <c r="DH180" s="400"/>
      <c r="DI180" s="400"/>
      <c r="DJ180" s="400"/>
      <c r="DK180" s="400"/>
      <c r="DL180" s="400"/>
    </row>
    <row r="181" spans="1:116">
      <c r="B181" s="657"/>
      <c r="F181" s="445"/>
      <c r="K181" s="445"/>
      <c r="L181" s="445"/>
      <c r="Q181" s="445"/>
      <c r="AI181" s="670"/>
    </row>
    <row r="182" spans="1:116">
      <c r="B182" s="657"/>
      <c r="F182" s="445"/>
      <c r="K182" s="445"/>
      <c r="L182" s="445"/>
      <c r="Q182" s="445"/>
      <c r="AI182" s="670"/>
    </row>
    <row r="183" spans="1:116">
      <c r="B183" s="657"/>
      <c r="F183" s="445"/>
      <c r="K183" s="445"/>
      <c r="L183" s="445"/>
      <c r="Q183" s="445"/>
      <c r="AI183" s="670"/>
    </row>
    <row r="184" spans="1:116">
      <c r="B184" s="657"/>
      <c r="F184" s="445"/>
      <c r="K184" s="445"/>
      <c r="L184" s="445"/>
      <c r="Q184" s="445"/>
      <c r="AI184" s="670"/>
    </row>
    <row r="185" spans="1:116">
      <c r="B185" s="657"/>
      <c r="F185" s="445"/>
      <c r="K185" s="445"/>
      <c r="L185" s="445"/>
      <c r="Q185" s="445"/>
      <c r="AI185" s="670"/>
    </row>
    <row r="186" spans="1:116">
      <c r="B186" s="657"/>
      <c r="F186" s="445"/>
      <c r="K186" s="445"/>
      <c r="L186" s="445"/>
      <c r="Q186" s="445"/>
      <c r="AI186" s="670"/>
    </row>
    <row r="187" spans="1:116">
      <c r="B187" s="359"/>
      <c r="F187" s="445"/>
      <c r="K187" s="445"/>
      <c r="L187" s="445"/>
      <c r="Q187" s="445"/>
      <c r="AI187" s="670"/>
    </row>
    <row r="188" spans="1:116">
      <c r="B188" s="359" t="str">
        <f>AUTOQUESTIONNAIRE!D188</f>
        <v>Avez-vous été vacciné(e) contre la varicelle (chickenpox) ?  (non=0, oui=1, ne sais pas =2)</v>
      </c>
      <c r="C188" s="404">
        <f>AUTOQUESTIONNAIRE!G188</f>
        <v>0</v>
      </c>
      <c r="F188" s="445"/>
      <c r="K188" s="445"/>
      <c r="L188" s="445"/>
      <c r="Q188" s="445"/>
      <c r="AI188" s="670"/>
    </row>
    <row r="189" spans="1:116">
      <c r="B189" s="359" t="str">
        <f>AUTOQUESTIONNAIRE!D189</f>
        <v>Avez-vous reçu le vaccin ROR (rougeole, oreillons, rubéole) ?  (non=0, oui=1, ne sais pas =2)</v>
      </c>
      <c r="C189" s="404">
        <f>AUTOQUESTIONNAIRE!G189</f>
        <v>0</v>
      </c>
      <c r="F189" s="445"/>
      <c r="K189" s="445"/>
      <c r="L189" s="445"/>
      <c r="Q189" s="445"/>
      <c r="AI189" s="670"/>
      <c r="BI189" s="664">
        <f>$C189</f>
        <v>0</v>
      </c>
    </row>
    <row r="190" spans="1:116">
      <c r="B190" s="359" t="str">
        <f>AUTOQUESTIONNAIRE!D190</f>
        <v>Avez-vous reçu le vaccin contre l’encéphalite à tiques (FSME) ?  (non=0, oui=1, ne sais pas =2)</v>
      </c>
      <c r="C190" s="404">
        <f>AUTOQUESTIONNAIRE!G190</f>
        <v>0</v>
      </c>
      <c r="F190" s="445"/>
      <c r="K190" s="445"/>
      <c r="L190" s="445"/>
      <c r="Q190" s="445"/>
      <c r="AI190" s="670"/>
      <c r="BJ190" s="664">
        <f>$C190</f>
        <v>0</v>
      </c>
    </row>
    <row r="191" spans="1:116">
      <c r="B191" s="359" t="str">
        <f>AUTOQUESTIONNAIRE!D191</f>
        <v>Avez-vous reçu le vaccin contre les méningocoques ACWY ?  (non=0, oui=1, ne sais pas =2)</v>
      </c>
      <c r="C191" s="404">
        <f>AUTOQUESTIONNAIRE!G191</f>
        <v>0</v>
      </c>
      <c r="F191" s="445"/>
      <c r="K191" s="445"/>
      <c r="L191" s="445"/>
      <c r="Q191" s="445"/>
      <c r="AI191" s="670"/>
      <c r="BK191" s="664">
        <f>$C191</f>
        <v>0</v>
      </c>
      <c r="BL191" s="664"/>
    </row>
    <row r="192" spans="1:116">
      <c r="B192" s="359" t="str">
        <f>AUTOQUESTIONNAIRE!D192</f>
        <v>Avez-vous reçu le vaccin contre l'hémophilus ?  (non=0, oui=1, ne sais pas =2)</v>
      </c>
      <c r="C192" s="404">
        <f>AUTOQUESTIONNAIRE!G192</f>
        <v>0</v>
      </c>
      <c r="F192" s="445"/>
      <c r="K192" s="445"/>
      <c r="L192" s="445"/>
      <c r="Q192" s="445"/>
      <c r="AI192" s="670"/>
      <c r="BM192" s="664">
        <f>$C192</f>
        <v>0</v>
      </c>
    </row>
    <row r="193" spans="2:116">
      <c r="B193" s="359" t="str">
        <f>AUTOQUESTIONNAIRE!D193</f>
        <v>Avez-vous reçu le vaccin contre les méningocoques  B ?  (non=0, oui=1, ne sais pas =2)</v>
      </c>
      <c r="C193" s="404">
        <f>AUTOQUESTIONNAIRE!G193</f>
        <v>0</v>
      </c>
      <c r="F193" s="445"/>
      <c r="K193" s="445"/>
      <c r="L193" s="445"/>
      <c r="Q193" s="445"/>
      <c r="AI193" s="670"/>
      <c r="BL193" s="443">
        <f>C193</f>
        <v>0</v>
      </c>
    </row>
    <row r="194" spans="2:116">
      <c r="B194" s="657"/>
      <c r="F194" s="445"/>
      <c r="K194" s="445"/>
      <c r="L194" s="445"/>
      <c r="Q194" s="445"/>
      <c r="AI194" s="670"/>
    </row>
    <row r="195" spans="2:116">
      <c r="B195" s="657"/>
      <c r="F195" s="445"/>
      <c r="K195" s="445"/>
      <c r="L195" s="445"/>
      <c r="Q195" s="445"/>
      <c r="AI195" s="670"/>
    </row>
    <row r="196" spans="2:116">
      <c r="B196" s="657"/>
      <c r="F196" s="445"/>
      <c r="K196" s="445"/>
      <c r="L196" s="445"/>
      <c r="Q196" s="445"/>
      <c r="AI196" s="670"/>
    </row>
    <row r="197" spans="2:116">
      <c r="B197" s="657"/>
      <c r="F197" s="445"/>
      <c r="K197" s="445"/>
      <c r="L197" s="445"/>
      <c r="Q197" s="445"/>
      <c r="AI197" s="670"/>
    </row>
    <row r="198" spans="2:116">
      <c r="B198" s="657"/>
      <c r="F198" s="445"/>
      <c r="K198" s="445"/>
      <c r="L198" s="445"/>
      <c r="Q198" s="445"/>
      <c r="AI198" s="670"/>
    </row>
    <row r="199" spans="2:116">
      <c r="B199" s="657"/>
      <c r="F199" s="445"/>
      <c r="K199" s="445"/>
      <c r="L199" s="445"/>
      <c r="Q199" s="445"/>
      <c r="AI199" s="670"/>
    </row>
    <row r="200" spans="2:116">
      <c r="B200" s="657"/>
      <c r="F200" s="445"/>
      <c r="K200" s="445"/>
      <c r="L200" s="445"/>
      <c r="Q200" s="445"/>
      <c r="AI200" s="670"/>
    </row>
    <row r="201" spans="2:116">
      <c r="B201" s="657"/>
      <c r="F201" s="445"/>
      <c r="K201" s="445"/>
      <c r="L201" s="445"/>
      <c r="Q201" s="445"/>
      <c r="AI201" s="670"/>
    </row>
    <row r="202" spans="2:116">
      <c r="B202" s="657"/>
      <c r="F202" s="445"/>
      <c r="K202" s="445"/>
      <c r="L202" s="445"/>
      <c r="Q202" s="445"/>
      <c r="AI202" s="670"/>
    </row>
    <row r="203" spans="2:116">
      <c r="B203" s="657"/>
      <c r="F203" s="445"/>
      <c r="K203" s="445"/>
      <c r="L203" s="445"/>
      <c r="Q203" s="445"/>
      <c r="AI203" s="670"/>
    </row>
    <row r="204" spans="2:116">
      <c r="B204" s="657"/>
      <c r="F204" s="445"/>
      <c r="K204" s="445"/>
      <c r="L204" s="445"/>
      <c r="Q204" s="445"/>
      <c r="AI204" s="670"/>
    </row>
    <row r="205" spans="2:116">
      <c r="AI205" s="670"/>
    </row>
    <row r="206" spans="2:116">
      <c r="B206" s="651" t="s">
        <v>1178</v>
      </c>
      <c r="AI206" s="670"/>
    </row>
    <row r="207" spans="2:116">
      <c r="B207" s="652" t="s">
        <v>126</v>
      </c>
      <c r="C207" s="412"/>
      <c r="D207" s="411"/>
      <c r="E207" s="411"/>
      <c r="F207" s="446">
        <f>MAX(F3:F200)</f>
        <v>3</v>
      </c>
      <c r="G207" s="446">
        <f t="shared" ref="G207:AC207" si="74">MAX(G3:G174)</f>
        <v>1</v>
      </c>
      <c r="H207" s="446">
        <f t="shared" si="74"/>
        <v>1</v>
      </c>
      <c r="I207" s="446">
        <f>MAX(I3:I200)</f>
        <v>1</v>
      </c>
      <c r="J207" s="446">
        <f t="shared" si="74"/>
        <v>1</v>
      </c>
      <c r="K207" s="446">
        <f>MAX(K4:K174)*K3</f>
        <v>0</v>
      </c>
      <c r="L207" s="446">
        <f>MAX(L4:L174)*L3</f>
        <v>1</v>
      </c>
      <c r="M207" s="446">
        <f t="shared" si="74"/>
        <v>3</v>
      </c>
      <c r="N207" s="446">
        <f>MAX(N4:N174)*N3</f>
        <v>0</v>
      </c>
      <c r="O207" s="446">
        <f t="shared" si="74"/>
        <v>3</v>
      </c>
      <c r="P207" s="446">
        <f t="shared" si="74"/>
        <v>1</v>
      </c>
      <c r="Q207" s="446">
        <f t="shared" si="74"/>
        <v>3</v>
      </c>
      <c r="R207" s="446">
        <f t="shared" si="74"/>
        <v>0</v>
      </c>
      <c r="S207" s="446">
        <f t="shared" si="74"/>
        <v>1</v>
      </c>
      <c r="T207" s="446">
        <f t="shared" si="74"/>
        <v>0</v>
      </c>
      <c r="U207" s="446">
        <f t="shared" si="74"/>
        <v>1</v>
      </c>
      <c r="V207" s="446">
        <f t="shared" si="74"/>
        <v>0</v>
      </c>
      <c r="W207" s="446">
        <f t="shared" si="74"/>
        <v>1</v>
      </c>
      <c r="X207" s="446">
        <f t="shared" si="74"/>
        <v>0</v>
      </c>
      <c r="Y207" s="952">
        <f t="shared" si="74"/>
        <v>1</v>
      </c>
      <c r="Z207" s="446">
        <f t="shared" si="74"/>
        <v>1</v>
      </c>
      <c r="AA207" s="446">
        <f t="shared" si="74"/>
        <v>1</v>
      </c>
      <c r="AB207" s="446">
        <f t="shared" si="74"/>
        <v>1</v>
      </c>
      <c r="AC207" s="446">
        <f t="shared" si="74"/>
        <v>1</v>
      </c>
      <c r="AD207" s="446"/>
      <c r="AE207" s="446">
        <f>MAX(AE3:AE174)</f>
        <v>3</v>
      </c>
      <c r="AF207" s="446">
        <f>MAX(AF3:AF174)</f>
        <v>1</v>
      </c>
      <c r="AG207" s="446">
        <f>MAX(AG3:AG174)</f>
        <v>1</v>
      </c>
      <c r="AH207" s="446">
        <f>MAX(AH3:AH174)</f>
        <v>1</v>
      </c>
      <c r="AI207" s="446">
        <f>MAX(AUTOQUESTIONNAIRE!K137,AUTOQUESTIONNAIRE!K139)</f>
        <v>1</v>
      </c>
      <c r="AJ207" s="446">
        <f>MAX(AJ3:AJ174)</f>
        <v>1</v>
      </c>
      <c r="AK207" s="446">
        <f>MAX(AK3:AK174)</f>
        <v>1</v>
      </c>
      <c r="AL207" s="446">
        <f>AUTOQUESTIONNAIRE!K108</f>
        <v>0</v>
      </c>
      <c r="AM207" s="446">
        <f t="shared" ref="AM207:BA207" si="75">MAX(AM3:AM174)</f>
        <v>1</v>
      </c>
      <c r="AN207" s="446">
        <f t="shared" si="75"/>
        <v>1</v>
      </c>
      <c r="AO207" s="446">
        <f t="shared" si="75"/>
        <v>0</v>
      </c>
      <c r="AP207" s="446">
        <f>MAX(AP4:AP174)*AP3</f>
        <v>1</v>
      </c>
      <c r="AQ207" s="446">
        <f t="shared" si="75"/>
        <v>0</v>
      </c>
      <c r="AR207" s="446">
        <f t="shared" si="75"/>
        <v>0</v>
      </c>
      <c r="AS207" s="446">
        <f t="shared" si="75"/>
        <v>0</v>
      </c>
      <c r="AT207" s="446">
        <f t="shared" si="75"/>
        <v>0</v>
      </c>
      <c r="AU207" s="446">
        <f t="shared" si="75"/>
        <v>0</v>
      </c>
      <c r="AV207" s="446">
        <f t="shared" si="75"/>
        <v>0.5</v>
      </c>
      <c r="AW207" s="446">
        <f t="shared" si="75"/>
        <v>1.5</v>
      </c>
      <c r="AX207" s="446">
        <f t="shared" si="75"/>
        <v>3</v>
      </c>
      <c r="AY207" s="446">
        <f t="shared" si="75"/>
        <v>3</v>
      </c>
      <c r="AZ207" s="446">
        <f t="shared" si="75"/>
        <v>3</v>
      </c>
      <c r="BA207" s="446">
        <f t="shared" si="75"/>
        <v>1</v>
      </c>
      <c r="BB207" s="446">
        <f>(MAX(BB3:BB174))*BB4</f>
        <v>0</v>
      </c>
      <c r="BC207" s="446">
        <f>MAX(BC3:BC174)</f>
        <v>1</v>
      </c>
      <c r="BD207" s="446">
        <f>MAX(BD3:BD174)</f>
        <v>1</v>
      </c>
      <c r="BE207" s="446">
        <f>MAX(BE3:BE200)</f>
        <v>0</v>
      </c>
      <c r="BF207" s="446">
        <f>MAX(BF3:BF200)</f>
        <v>1</v>
      </c>
      <c r="BG207" s="446">
        <f>(MAX(BG3:BG174))*AUTOQUESTIONNAIRE!I3</f>
        <v>1</v>
      </c>
      <c r="BH207" s="446">
        <f t="shared" ref="BH207:BM207" si="76">MAX(BH3:BH200)</f>
        <v>0</v>
      </c>
      <c r="BI207" s="446">
        <f t="shared" si="76"/>
        <v>0</v>
      </c>
      <c r="BJ207" s="446">
        <f t="shared" si="76"/>
        <v>0</v>
      </c>
      <c r="BK207" s="446">
        <f t="shared" si="76"/>
        <v>0</v>
      </c>
      <c r="BL207" s="446">
        <f t="shared" si="76"/>
        <v>0</v>
      </c>
      <c r="BM207" s="446">
        <f t="shared" si="76"/>
        <v>0</v>
      </c>
      <c r="BN207" s="446">
        <f>(MAX(BN3:BN174))*AUTOQUESTIONNAIRE!I3*AUTOQUESTIONNAIRE!G54</f>
        <v>1</v>
      </c>
      <c r="BO207" s="446">
        <f>MAX(BO3:BO174)*AUTOQUESTIONNAIRE!G58</f>
        <v>1</v>
      </c>
      <c r="BP207" s="446">
        <f>(MAX(BP3:BP174))*AUTOQUESTIONNAIRE!H3*AUTOQUESTIONNAIRE!G53</f>
        <v>0</v>
      </c>
      <c r="BQ207" s="446">
        <f>(MAX(BQ3:BQ174))*E4*AUTOQUESTIONNAIRE!G52</f>
        <v>1</v>
      </c>
      <c r="BR207" s="446">
        <f>(MAX(BR3:BR174))*E4</f>
        <v>0</v>
      </c>
      <c r="BS207" s="446">
        <f>(MAX(BS4:BS174))*BS3</f>
        <v>1</v>
      </c>
      <c r="BU207" s="446">
        <f>MAX(BU3:BU206)*AUTOQUESTIONNAIRE!$H$3</f>
        <v>0</v>
      </c>
      <c r="BV207" s="446">
        <f t="shared" ref="BV207:CL207" si="77">MAX(BV3:BV206)</f>
        <v>0</v>
      </c>
      <c r="BW207" s="446">
        <f t="shared" si="77"/>
        <v>0</v>
      </c>
      <c r="BX207" s="446">
        <f t="shared" si="77"/>
        <v>0</v>
      </c>
      <c r="BY207" s="446">
        <f t="shared" si="77"/>
        <v>0</v>
      </c>
      <c r="BZ207" s="446">
        <f t="shared" si="77"/>
        <v>0</v>
      </c>
      <c r="CA207" s="446">
        <f t="shared" si="77"/>
        <v>0</v>
      </c>
      <c r="CB207" s="446">
        <f t="shared" si="77"/>
        <v>0</v>
      </c>
      <c r="CC207" s="446">
        <f t="shared" si="77"/>
        <v>0</v>
      </c>
      <c r="CD207" s="446">
        <f t="shared" si="77"/>
        <v>0</v>
      </c>
      <c r="CE207" s="446">
        <f t="shared" si="77"/>
        <v>1</v>
      </c>
      <c r="CF207" s="446">
        <f t="shared" si="77"/>
        <v>0</v>
      </c>
      <c r="CG207" s="446">
        <f t="shared" si="77"/>
        <v>1</v>
      </c>
      <c r="CH207" s="446">
        <f t="shared" si="77"/>
        <v>1</v>
      </c>
      <c r="CI207" s="446">
        <f>MAX(CI3:CI206)*AUTOQUESTIONNAIRE!$H$3</f>
        <v>0</v>
      </c>
      <c r="CJ207" s="446">
        <f>MAX(CJ3:CJ206)*AUTOQUESTIONNAIRE!I3</f>
        <v>0</v>
      </c>
      <c r="CK207" s="446">
        <f t="shared" si="77"/>
        <v>0</v>
      </c>
      <c r="CL207" s="446">
        <f t="shared" si="77"/>
        <v>0</v>
      </c>
      <c r="CM207" s="829"/>
      <c r="CN207" s="411"/>
      <c r="CO207" s="411"/>
      <c r="CP207" s="411"/>
      <c r="CQ207" s="411"/>
      <c r="CR207" s="411"/>
      <c r="CS207" s="411"/>
      <c r="CT207" s="411"/>
      <c r="CU207" s="411"/>
      <c r="CV207" s="411"/>
      <c r="CW207" s="411"/>
      <c r="CX207" s="411"/>
      <c r="CY207" s="411"/>
      <c r="CZ207" s="411"/>
      <c r="DA207" s="411"/>
      <c r="DB207" s="411"/>
      <c r="DC207" s="411"/>
      <c r="DD207" s="411"/>
      <c r="DE207" s="411"/>
      <c r="DF207" s="411"/>
      <c r="DG207" s="411"/>
      <c r="DH207" s="411"/>
      <c r="DI207" s="411"/>
      <c r="DJ207" s="411"/>
      <c r="DK207" s="411"/>
      <c r="DL207" s="411"/>
    </row>
    <row r="208" spans="2:116">
      <c r="B208" s="651" t="s">
        <v>1323</v>
      </c>
      <c r="F208" s="443" t="str">
        <f>IF(F207&gt;0,F210," ")</f>
        <v xml:space="preserve">Numération formule sanguine, Plaquettes, </v>
      </c>
      <c r="G208" s="443" t="str">
        <f t="shared" ref="G208:AH208" si="78">IF(G207&gt;0,G210," ")</f>
        <v xml:space="preserve">Glycémie, Hb1Ac, Insuline et indice HOMA-IR, </v>
      </c>
      <c r="H208" s="443" t="str">
        <f t="shared" si="78"/>
        <v xml:space="preserve">Cholestérol Total et fractions HDL et LDL, Triglycérides, </v>
      </c>
      <c r="I208" s="443" t="str">
        <f t="shared" si="78"/>
        <v>Electrophorèse des protéines</v>
      </c>
      <c r="J208" s="443" t="str">
        <f t="shared" si="78"/>
        <v>ASAT, ALAT, GGT</v>
      </c>
      <c r="K208" s="443" t="str">
        <f t="shared" si="78"/>
        <v xml:space="preserve"> </v>
      </c>
      <c r="L208" s="443" t="str">
        <f t="shared" ref="L208" si="79">IF(L207&gt;0,L210," ")</f>
        <v xml:space="preserve">Oestradiol FSH; Cortisol; Sulfate DHEA, </v>
      </c>
      <c r="M208" s="443" t="str">
        <f t="shared" si="78"/>
        <v xml:space="preserve">Vitamine D2-D3, Vitamine B6; Magnésium sang, </v>
      </c>
      <c r="N208" s="443" t="str">
        <f t="shared" si="78"/>
        <v xml:space="preserve"> </v>
      </c>
      <c r="O208" s="443" t="str">
        <f t="shared" si="78"/>
        <v xml:space="preserve">Fer sérique, Ferritine, Coefficient saturation, </v>
      </c>
      <c r="P208" s="443" t="str">
        <f t="shared" si="78"/>
        <v xml:space="preserve">CPK, </v>
      </c>
      <c r="Q208" s="443" t="str">
        <f t="shared" si="78"/>
        <v xml:space="preserve">TSH, </v>
      </c>
      <c r="R208" s="443" t="str">
        <f t="shared" si="78"/>
        <v xml:space="preserve"> </v>
      </c>
      <c r="S208" s="443" t="str">
        <f t="shared" si="78"/>
        <v xml:space="preserve">Créatininémie, DFG, </v>
      </c>
      <c r="T208" s="443" t="str">
        <f t="shared" si="78"/>
        <v xml:space="preserve"> </v>
      </c>
      <c r="U208" s="443" t="str">
        <f t="shared" si="78"/>
        <v xml:space="preserve">ECBU, </v>
      </c>
      <c r="V208" s="443" t="str">
        <f t="shared" si="78"/>
        <v xml:space="preserve"> </v>
      </c>
      <c r="W208" s="443" t="str">
        <f t="shared" si="78"/>
        <v xml:space="preserve">Cytologie urinaire avec recherche d'atypie celllaire, </v>
      </c>
      <c r="X208" s="443" t="str">
        <f t="shared" si="78"/>
        <v xml:space="preserve"> </v>
      </c>
      <c r="Y208" s="952" t="str">
        <f t="shared" si="78"/>
        <v xml:space="preserve">test immunochimique fécal (TIF), </v>
      </c>
      <c r="Z208" s="443" t="str">
        <f t="shared" si="78"/>
        <v xml:space="preserve">IgE spécifique, </v>
      </c>
      <c r="AA208" s="443" t="str">
        <f t="shared" si="78"/>
        <v xml:space="preserve">Cotinurie, Methylation AHRR, </v>
      </c>
      <c r="AB208" s="443" t="str">
        <f t="shared" si="78"/>
        <v>-</v>
      </c>
      <c r="AC208" s="443" t="str">
        <f t="shared" si="78"/>
        <v xml:space="preserve">Lipoproteine a, </v>
      </c>
      <c r="AE208" s="443" t="str">
        <f>IF(AE207&gt;0.9,AE210," ")</f>
        <v xml:space="preserve">Questionnaire Nutritionnel, </v>
      </c>
      <c r="AF208" s="443" t="str">
        <f>IF(AF207&gt;0,AF210," ")</f>
        <v xml:space="preserve">Questionnaire AUDIT, </v>
      </c>
      <c r="AG208" s="443" t="str">
        <f t="shared" si="78"/>
        <v xml:space="preserve">Questionnaire CAST (Cannabis), </v>
      </c>
      <c r="AH208" s="443" t="str">
        <f t="shared" si="78"/>
        <v xml:space="preserve">Questionnaire Santé mental, </v>
      </c>
      <c r="AI208" s="443" t="str">
        <f>IF(AI207&gt;0.8,AI210," ")</f>
        <v xml:space="preserve">Cs Trouble du sommeil, </v>
      </c>
      <c r="AJ208" s="443" t="str">
        <f t="shared" ref="AJ208:AK208" si="80">IF(AJ207&gt;0,AJ210," ")</f>
        <v xml:space="preserve">Cs Addictologie, </v>
      </c>
      <c r="AK208" s="443" t="str">
        <f t="shared" si="80"/>
        <v xml:space="preserve">Cs Bucco-dentaire, </v>
      </c>
      <c r="AL208" s="443" t="str">
        <f t="shared" ref="AL208:BK208" si="81">IF(AL207&gt;0,AL210," ")</f>
        <v xml:space="preserve"> </v>
      </c>
      <c r="AM208" s="443" t="str">
        <f t="shared" si="81"/>
        <v xml:space="preserve">Cs Cardiologie, </v>
      </c>
      <c r="AN208" s="443" t="str">
        <f t="shared" si="81"/>
        <v>Cs Pneumo-allergologie,</v>
      </c>
      <c r="AO208" s="443" t="str">
        <f t="shared" si="81"/>
        <v xml:space="preserve"> </v>
      </c>
      <c r="AP208" s="443" t="str">
        <f t="shared" si="81"/>
        <v xml:space="preserve">Cs Gynécologie, </v>
      </c>
      <c r="AQ208" s="443" t="str">
        <f t="shared" si="81"/>
        <v xml:space="preserve"> </v>
      </c>
      <c r="AR208" s="443" t="str">
        <f t="shared" si="81"/>
        <v xml:space="preserve"> </v>
      </c>
      <c r="AS208" s="443" t="str">
        <f t="shared" si="81"/>
        <v xml:space="preserve"> </v>
      </c>
      <c r="AT208" s="443" t="str">
        <f t="shared" si="81"/>
        <v xml:space="preserve"> </v>
      </c>
      <c r="AU208" s="443" t="str">
        <f t="shared" si="81"/>
        <v xml:space="preserve"> </v>
      </c>
      <c r="AV208" s="443" t="str">
        <f t="shared" si="81"/>
        <v xml:space="preserve">Cs Ophtalmologie, </v>
      </c>
      <c r="AW208" s="443" t="str">
        <f t="shared" si="81"/>
        <v xml:space="preserve">Cs ORL, </v>
      </c>
      <c r="AX208" s="443" t="str">
        <f t="shared" si="81"/>
        <v xml:space="preserve">Supplémentation VitaD, </v>
      </c>
      <c r="AY208" s="443" t="str">
        <f t="shared" si="81"/>
        <v xml:space="preserve">Supplémentation Vitamine B12, </v>
      </c>
      <c r="AZ208" s="443" t="str">
        <f t="shared" si="81"/>
        <v xml:space="preserve">Supplémentation Vitamine B6, </v>
      </c>
      <c r="BA208" s="443" t="str">
        <f t="shared" si="81"/>
        <v>Supplémentation Ubiquinol,</v>
      </c>
      <c r="BB208" s="443" t="str">
        <f t="shared" si="81"/>
        <v xml:space="preserve"> </v>
      </c>
      <c r="BC208" s="443" t="str">
        <f t="shared" si="81"/>
        <v xml:space="preserve">Vaccination Tetanos (diphtérie, coqueluche, polio), ou Test IgG, </v>
      </c>
      <c r="BD208" s="443" t="str">
        <f t="shared" si="81"/>
        <v xml:space="preserve"> Vaccination grippe, </v>
      </c>
      <c r="BG208" s="443" t="str">
        <f t="shared" si="81"/>
        <v xml:space="preserve">Prévention cancer du col utérin, </v>
      </c>
      <c r="BH208" s="443" t="str">
        <f t="shared" si="81"/>
        <v xml:space="preserve"> </v>
      </c>
      <c r="BI208" s="443" t="str">
        <f t="shared" si="81"/>
        <v xml:space="preserve"> </v>
      </c>
      <c r="BJ208" s="443" t="str">
        <f t="shared" si="81"/>
        <v xml:space="preserve"> </v>
      </c>
      <c r="BK208" s="443" t="str">
        <f t="shared" si="81"/>
        <v xml:space="preserve"> </v>
      </c>
      <c r="BN208" s="443" t="str">
        <f t="shared" ref="BN208:CC208" si="82">IF(BN207&gt;0.9,BN210," ")</f>
        <v xml:space="preserve">Dépistage  cancer du sein, </v>
      </c>
      <c r="BO208" s="443" t="str">
        <f t="shared" si="82"/>
        <v xml:space="preserve">Dépistage  cancer du colon, </v>
      </c>
      <c r="BP208" s="443" t="str">
        <f t="shared" si="82"/>
        <v xml:space="preserve"> </v>
      </c>
      <c r="BQ208" s="443" t="str">
        <f t="shared" si="82"/>
        <v xml:space="preserve">Dépistage cancer du poumon, </v>
      </c>
      <c r="BR208" s="443" t="str">
        <f t="shared" si="82"/>
        <v xml:space="preserve"> </v>
      </c>
      <c r="BS208" s="443" t="str">
        <f t="shared" si="82"/>
        <v xml:space="preserve">Score ROMA (Ovaire), </v>
      </c>
      <c r="BU208" s="443" t="str">
        <f t="shared" si="82"/>
        <v xml:space="preserve"> </v>
      </c>
      <c r="BV208" s="443" t="str">
        <f t="shared" si="82"/>
        <v xml:space="preserve"> </v>
      </c>
      <c r="BW208" s="443" t="str">
        <f t="shared" si="82"/>
        <v xml:space="preserve"> </v>
      </c>
      <c r="BX208" s="443" t="str">
        <f t="shared" si="82"/>
        <v xml:space="preserve"> </v>
      </c>
      <c r="BY208" s="443" t="str">
        <f t="shared" si="82"/>
        <v xml:space="preserve"> </v>
      </c>
      <c r="BZ208" s="443" t="str">
        <f t="shared" si="82"/>
        <v xml:space="preserve"> </v>
      </c>
      <c r="CA208" s="443" t="str">
        <f t="shared" si="82"/>
        <v xml:space="preserve"> </v>
      </c>
      <c r="CB208" s="443" t="str">
        <f t="shared" si="82"/>
        <v xml:space="preserve"> </v>
      </c>
      <c r="CC208" s="443" t="str">
        <f t="shared" si="82"/>
        <v xml:space="preserve"> </v>
      </c>
      <c r="CD208" s="443" t="str">
        <f t="shared" ref="CD208:CL208" si="83">IF(CD207&gt;0.9,CD210," ")</f>
        <v xml:space="preserve"> </v>
      </c>
      <c r="CE208" s="443" t="str">
        <f t="shared" si="83"/>
        <v>Echographie hépatique (splénique)</v>
      </c>
      <c r="CF208" s="443" t="str">
        <f t="shared" si="83"/>
        <v xml:space="preserve"> </v>
      </c>
      <c r="CG208" s="443" t="str">
        <f t="shared" si="83"/>
        <v>Scanner Coronnaire</v>
      </c>
      <c r="CH208" s="443" t="str">
        <f t="shared" si="83"/>
        <v>Echo-doppler vasculaire artériel</v>
      </c>
      <c r="CI208" s="443" t="str">
        <f t="shared" si="83"/>
        <v xml:space="preserve"> </v>
      </c>
      <c r="CJ208" s="443" t="str">
        <f t="shared" si="83"/>
        <v xml:space="preserve"> </v>
      </c>
      <c r="CK208" s="443" t="str">
        <f t="shared" si="83"/>
        <v xml:space="preserve"> </v>
      </c>
      <c r="CL208" s="443" t="str">
        <f t="shared" si="83"/>
        <v xml:space="preserve"> </v>
      </c>
    </row>
    <row r="210" spans="2:90" ht="102.75">
      <c r="B210" s="651" t="s">
        <v>1324</v>
      </c>
      <c r="F210" s="443" t="s">
        <v>1345</v>
      </c>
      <c r="G210" s="443" t="s">
        <v>1346</v>
      </c>
      <c r="H210" s="443" t="s">
        <v>2686</v>
      </c>
      <c r="I210" s="443" t="s">
        <v>1969</v>
      </c>
      <c r="J210" s="443" t="s">
        <v>1970</v>
      </c>
      <c r="K210" s="443" t="s">
        <v>1347</v>
      </c>
      <c r="L210" s="443" t="s">
        <v>1348</v>
      </c>
      <c r="M210" s="443" t="s">
        <v>1349</v>
      </c>
      <c r="N210" s="443" t="s">
        <v>1350</v>
      </c>
      <c r="O210" s="443" t="s">
        <v>1351</v>
      </c>
      <c r="P210" s="443" t="s">
        <v>1352</v>
      </c>
      <c r="Q210" s="443" t="s">
        <v>1353</v>
      </c>
      <c r="R210" s="443" t="s">
        <v>1354</v>
      </c>
      <c r="S210" s="443" t="s">
        <v>1355</v>
      </c>
      <c r="T210" s="443" t="s">
        <v>1971</v>
      </c>
      <c r="U210" s="443" t="s">
        <v>1356</v>
      </c>
      <c r="V210" s="443" t="s">
        <v>1357</v>
      </c>
      <c r="W210" s="443" t="s">
        <v>1358</v>
      </c>
      <c r="X210" s="443" t="s">
        <v>1359</v>
      </c>
      <c r="Y210" s="955" t="s">
        <v>1367</v>
      </c>
      <c r="Z210" s="443" t="s">
        <v>1474</v>
      </c>
      <c r="AA210" s="443" t="s">
        <v>1360</v>
      </c>
      <c r="AB210" s="443" t="s">
        <v>1341</v>
      </c>
      <c r="AC210" s="443" t="s">
        <v>1361</v>
      </c>
      <c r="AE210" s="443" t="s">
        <v>1375</v>
      </c>
      <c r="AF210" s="443" t="s">
        <v>1362</v>
      </c>
      <c r="AG210" s="443" t="s">
        <v>1363</v>
      </c>
      <c r="AH210" s="443" t="s">
        <v>1365</v>
      </c>
      <c r="AI210" s="673" t="s">
        <v>1383</v>
      </c>
      <c r="AJ210" s="673" t="s">
        <v>1384</v>
      </c>
      <c r="AK210" s="673" t="s">
        <v>1385</v>
      </c>
      <c r="AL210" s="443" t="s">
        <v>1386</v>
      </c>
      <c r="AM210" s="445" t="s">
        <v>1387</v>
      </c>
      <c r="AN210" s="445" t="s">
        <v>1388</v>
      </c>
      <c r="AO210" s="445" t="s">
        <v>1389</v>
      </c>
      <c r="AP210" s="445" t="s">
        <v>1390</v>
      </c>
      <c r="AQ210" s="445" t="s">
        <v>1391</v>
      </c>
      <c r="AR210" s="445" t="s">
        <v>1392</v>
      </c>
      <c r="AS210" s="445" t="s">
        <v>1393</v>
      </c>
      <c r="AT210" s="445" t="s">
        <v>2370</v>
      </c>
      <c r="AU210" s="445" t="s">
        <v>1382</v>
      </c>
      <c r="AV210" s="445" t="s">
        <v>1477</v>
      </c>
      <c r="AW210" s="445" t="s">
        <v>1478</v>
      </c>
      <c r="AX210" s="445" t="s">
        <v>1370</v>
      </c>
      <c r="AY210" s="445" t="s">
        <v>1371</v>
      </c>
      <c r="AZ210" s="445" t="s">
        <v>1372</v>
      </c>
      <c r="BA210" s="445" t="s">
        <v>1373</v>
      </c>
      <c r="BB210" s="674" t="s">
        <v>1426</v>
      </c>
      <c r="BC210" s="674" t="s">
        <v>2732</v>
      </c>
      <c r="BD210" s="674" t="s">
        <v>2368</v>
      </c>
      <c r="BE210" s="674" t="s">
        <v>2733</v>
      </c>
      <c r="BF210" s="674" t="s">
        <v>2734</v>
      </c>
      <c r="BG210" s="674" t="s">
        <v>1421</v>
      </c>
      <c r="BH210" s="674" t="s">
        <v>2735</v>
      </c>
      <c r="BI210" s="674" t="s">
        <v>2736</v>
      </c>
      <c r="BJ210" s="674" t="s">
        <v>2737</v>
      </c>
      <c r="BK210" s="674" t="s">
        <v>2738</v>
      </c>
      <c r="BL210" s="674" t="s">
        <v>2739</v>
      </c>
      <c r="BM210" s="674" t="s">
        <v>2740</v>
      </c>
      <c r="BN210" s="445" t="s">
        <v>2741</v>
      </c>
      <c r="BO210" s="445" t="s">
        <v>1427</v>
      </c>
      <c r="BP210" s="445" t="s">
        <v>1422</v>
      </c>
      <c r="BQ210" s="445" t="s">
        <v>1423</v>
      </c>
      <c r="BR210" s="445" t="s">
        <v>1424</v>
      </c>
      <c r="BS210" s="443" t="s">
        <v>2742</v>
      </c>
      <c r="BU210" s="411" t="s">
        <v>2226</v>
      </c>
      <c r="BV210" s="830" t="s">
        <v>2231</v>
      </c>
      <c r="BW210" s="411" t="s">
        <v>2232</v>
      </c>
      <c r="BX210" s="411" t="s">
        <v>1114</v>
      </c>
      <c r="BY210" s="411" t="s">
        <v>1115</v>
      </c>
      <c r="BZ210" s="411" t="s">
        <v>2233</v>
      </c>
      <c r="CA210" s="411" t="s">
        <v>1725</v>
      </c>
      <c r="CB210" s="411" t="s">
        <v>2214</v>
      </c>
      <c r="CC210" s="411" t="s">
        <v>2219</v>
      </c>
      <c r="CD210" s="411" t="s">
        <v>2220</v>
      </c>
      <c r="CE210" s="411" t="s">
        <v>2228</v>
      </c>
      <c r="CF210" s="411" t="s">
        <v>2221</v>
      </c>
      <c r="CG210" s="411" t="s">
        <v>2222</v>
      </c>
      <c r="CH210" s="411" t="s">
        <v>2223</v>
      </c>
      <c r="CI210" s="411" t="s">
        <v>2224</v>
      </c>
      <c r="CJ210" s="411" t="s">
        <v>2225</v>
      </c>
      <c r="CK210" s="411" t="s">
        <v>2227</v>
      </c>
      <c r="CL210" s="411" t="s">
        <v>2229</v>
      </c>
    </row>
  </sheetData>
  <conditionalFormatting sqref="C1:C90 C92:C1048576">
    <cfRule type="colorScale" priority="109">
      <colorScale>
        <cfvo type="min"/>
        <cfvo type="percentile" val="50"/>
        <cfvo type="max"/>
        <color rgb="FF63BE7B"/>
        <color rgb="FFFFEB84"/>
        <color rgb="FFF8696B"/>
      </colorScale>
    </cfRule>
  </conditionalFormatting>
  <conditionalFormatting sqref="F178">
    <cfRule type="colorScale" priority="25">
      <colorScale>
        <cfvo type="min"/>
        <cfvo type="percentile" val="50"/>
        <cfvo type="max"/>
        <color rgb="FF63BE7B"/>
        <color rgb="FFFFEB84"/>
        <color rgb="FFF8696B"/>
      </colorScale>
    </cfRule>
  </conditionalFormatting>
  <conditionalFormatting sqref="F113:BN113 BP113:BS113 F114:BS127 F128:Y128 AA128:BS128 F129:BS174 F3:BS112">
    <cfRule type="colorScale" priority="26">
      <colorScale>
        <cfvo type="min"/>
        <cfvo type="percentile" val="50"/>
        <cfvo type="max"/>
        <color rgb="FF63BE7B"/>
        <color rgb="FFFFEB84"/>
        <color rgb="FFF8696B"/>
      </colorScale>
    </cfRule>
  </conditionalFormatting>
  <conditionalFormatting sqref="I178">
    <cfRule type="colorScale" priority="24">
      <colorScale>
        <cfvo type="min"/>
        <cfvo type="percentile" val="50"/>
        <cfvo type="max"/>
        <color rgb="FF63BE7B"/>
        <color rgb="FFFFEB84"/>
        <color rgb="FFF8696B"/>
      </colorScale>
    </cfRule>
  </conditionalFormatting>
  <conditionalFormatting sqref="P95">
    <cfRule type="colorScale" priority="98">
      <colorScale>
        <cfvo type="min"/>
        <cfvo type="percentile" val="50"/>
        <cfvo type="max"/>
        <color rgb="FF63BE7B"/>
        <color rgb="FFFFEB84"/>
        <color rgb="FFF8696B"/>
      </colorScale>
    </cfRule>
  </conditionalFormatting>
  <conditionalFormatting sqref="Z210:AA210 M210:X210 M211:AA1048576 M209:AA209 AA4:AE4 M1:AA21 M22:AE22 E105:Z107 M96:AA104 M95:O95 Q95:AA95 AA7:AE7 L170:M171 F68:L104 F51:AA67 F108:L1048576 M68:AA94 AA90:AE90 F1:L50 M23:AA50 M108:AA127 M128:Y128 AA128 M129:AA206 M207:AG208">
    <cfRule type="colorScale" priority="1287">
      <colorScale>
        <cfvo type="min"/>
        <cfvo type="percentile" val="50"/>
        <cfvo type="max"/>
        <color rgb="FF63BE7B"/>
        <color rgb="FFFFEB84"/>
        <color rgb="FFF8696B"/>
      </colorScale>
    </cfRule>
  </conditionalFormatting>
  <conditionalFormatting sqref="AB164">
    <cfRule type="colorScale" priority="29">
      <colorScale>
        <cfvo type="min"/>
        <cfvo type="percentile" val="50"/>
        <cfvo type="max"/>
        <color rgb="FF63BE7B"/>
        <color rgb="FFFFEB84"/>
        <color rgb="FFF8696B"/>
      </colorScale>
    </cfRule>
  </conditionalFormatting>
  <conditionalFormatting sqref="AB21:AE21">
    <cfRule type="colorScale" priority="107">
      <colorScale>
        <cfvo type="min"/>
        <cfvo type="percentile" val="50"/>
        <cfvo type="max"/>
        <color rgb="FF63BE7B"/>
        <color rgb="FFFFEB84"/>
        <color rgb="FFF8696B"/>
      </colorScale>
    </cfRule>
  </conditionalFormatting>
  <conditionalFormatting sqref="AB68:AE82 AB83:AD83">
    <cfRule type="colorScale" priority="106">
      <colorScale>
        <cfvo type="min"/>
        <cfvo type="percentile" val="50"/>
        <cfvo type="max"/>
        <color rgb="FF63BE7B"/>
        <color rgb="FFFFEB84"/>
        <color rgb="FFF8696B"/>
      </colorScale>
    </cfRule>
  </conditionalFormatting>
  <conditionalFormatting sqref="AC95">
    <cfRule type="colorScale" priority="2">
      <colorScale>
        <cfvo type="min"/>
        <cfvo type="percentile" val="50"/>
        <cfvo type="max"/>
        <color rgb="FF63BE7B"/>
        <color rgb="FFFFEB84"/>
        <color rgb="FFF8696B"/>
      </colorScale>
    </cfRule>
  </conditionalFormatting>
  <conditionalFormatting sqref="AC122:AC123">
    <cfRule type="colorScale" priority="105">
      <colorScale>
        <cfvo type="min"/>
        <cfvo type="percentile" val="50"/>
        <cfvo type="max"/>
        <color rgb="FF63BE7B"/>
        <color rgb="FFFFEB84"/>
        <color rgb="FFF8696B"/>
      </colorScale>
    </cfRule>
  </conditionalFormatting>
  <conditionalFormatting sqref="AD150">
    <cfRule type="colorScale" priority="33">
      <colorScale>
        <cfvo type="min"/>
        <cfvo type="percentile" val="50"/>
        <cfvo type="max"/>
        <color rgb="FF63BE7B"/>
        <color rgb="FFFFEB84"/>
        <color rgb="FFF8696B"/>
      </colorScale>
    </cfRule>
  </conditionalFormatting>
  <conditionalFormatting sqref="AD156">
    <cfRule type="colorScale" priority="30">
      <colorScale>
        <cfvo type="min"/>
        <cfvo type="percentile" val="50"/>
        <cfvo type="max"/>
        <color rgb="FF63BE7B"/>
        <color rgb="FFFFEB84"/>
        <color rgb="FFF8696B"/>
      </colorScale>
    </cfRule>
  </conditionalFormatting>
  <conditionalFormatting sqref="AE83">
    <cfRule type="colorScale" priority="39">
      <colorScale>
        <cfvo type="min"/>
        <cfvo type="percentile" val="50"/>
        <cfvo type="max"/>
        <color rgb="FF63BE7B"/>
        <color rgb="FFFFEB84"/>
        <color rgb="FFF8696B"/>
      </colorScale>
    </cfRule>
  </conditionalFormatting>
  <conditionalFormatting sqref="AE85">
    <cfRule type="colorScale" priority="40">
      <colorScale>
        <cfvo type="min"/>
        <cfvo type="percentile" val="50"/>
        <cfvo type="max"/>
        <color rgb="FF63BE7B"/>
        <color rgb="FFFFEB84"/>
        <color rgb="FFF8696B"/>
      </colorScale>
    </cfRule>
  </conditionalFormatting>
  <conditionalFormatting sqref="AE89:AE90">
    <cfRule type="colorScale" priority="41">
      <colorScale>
        <cfvo type="min"/>
        <cfvo type="percentile" val="50"/>
        <cfvo type="max"/>
        <color rgb="FF63BE7B"/>
        <color rgb="FFFFEB84"/>
        <color rgb="FFF8696B"/>
      </colorScale>
    </cfRule>
  </conditionalFormatting>
  <conditionalFormatting sqref="AE149">
    <cfRule type="colorScale" priority="42">
      <colorScale>
        <cfvo type="min"/>
        <cfvo type="percentile" val="50"/>
        <cfvo type="max"/>
        <color rgb="FF63BE7B"/>
        <color rgb="FFFFEB84"/>
        <color rgb="FFF8696B"/>
      </colorScale>
    </cfRule>
  </conditionalFormatting>
  <conditionalFormatting sqref="AF71">
    <cfRule type="colorScale" priority="104">
      <colorScale>
        <cfvo type="min"/>
        <cfvo type="percentile" val="50"/>
        <cfvo type="max"/>
        <color rgb="FF63BE7B"/>
        <color rgb="FFFFEB84"/>
        <color rgb="FFF8696B"/>
      </colorScale>
    </cfRule>
  </conditionalFormatting>
  <conditionalFormatting sqref="AG74">
    <cfRule type="colorScale" priority="103">
      <colorScale>
        <cfvo type="min"/>
        <cfvo type="percentile" val="50"/>
        <cfvo type="max"/>
        <color rgb="FF63BE7B"/>
        <color rgb="FFFFEB84"/>
        <color rgb="FFF8696B"/>
      </colorScale>
    </cfRule>
  </conditionalFormatting>
  <conditionalFormatting sqref="AH146">
    <cfRule type="colorScale" priority="74">
      <colorScale>
        <cfvo type="min"/>
        <cfvo type="percentile" val="50"/>
        <cfvo type="max"/>
        <color rgb="FF63BE7B"/>
        <color rgb="FFFFEB84"/>
        <color rgb="FFF8696B"/>
      </colorScale>
    </cfRule>
  </conditionalFormatting>
  <conditionalFormatting sqref="AH162">
    <cfRule type="colorScale" priority="63">
      <colorScale>
        <cfvo type="min"/>
        <cfvo type="percentile" val="50"/>
        <cfvo type="max"/>
        <color rgb="FF63BE7B"/>
        <color rgb="FFFFEB84"/>
        <color rgb="FFF8696B"/>
      </colorScale>
    </cfRule>
  </conditionalFormatting>
  <conditionalFormatting sqref="AH171">
    <cfRule type="colorScale" priority="64">
      <colorScale>
        <cfvo type="min"/>
        <cfvo type="percentile" val="50"/>
        <cfvo type="max"/>
        <color rgb="FF63BE7B"/>
        <color rgb="FFFFEB84"/>
        <color rgb="FFF8696B"/>
      </colorScale>
    </cfRule>
  </conditionalFormatting>
  <conditionalFormatting sqref="AH174">
    <cfRule type="colorScale" priority="34">
      <colorScale>
        <cfvo type="min"/>
        <cfvo type="percentile" val="50"/>
        <cfvo type="max"/>
        <color rgb="FF63BE7B"/>
        <color rgb="FFFFEB84"/>
        <color rgb="FFF8696B"/>
      </colorScale>
    </cfRule>
  </conditionalFormatting>
  <conditionalFormatting sqref="AH208">
    <cfRule type="colorScale" priority="1">
      <colorScale>
        <cfvo type="min"/>
        <cfvo type="percentile" val="50"/>
        <cfvo type="max"/>
        <color rgb="FF63BE7B"/>
        <color rgb="FFFFEB84"/>
        <color rgb="FFF8696B"/>
      </colorScale>
    </cfRule>
  </conditionalFormatting>
  <conditionalFormatting sqref="AH207:AK207">
    <cfRule type="colorScale" priority="1264">
      <colorScale>
        <cfvo type="min"/>
        <cfvo type="percentile" val="50"/>
        <cfvo type="max"/>
        <color rgb="FF63BE7B"/>
        <color rgb="FFFFEB84"/>
        <color rgb="FFF8696B"/>
      </colorScale>
    </cfRule>
  </conditionalFormatting>
  <conditionalFormatting sqref="AI7">
    <cfRule type="colorScale" priority="1259">
      <colorScale>
        <cfvo type="min"/>
        <cfvo type="percentile" val="50"/>
        <cfvo type="max"/>
        <color rgb="FF63BE7B"/>
        <color rgb="FFFFEB84"/>
        <color rgb="FFF8696B"/>
      </colorScale>
    </cfRule>
  </conditionalFormatting>
  <conditionalFormatting sqref="AI142">
    <cfRule type="colorScale" priority="28">
      <colorScale>
        <cfvo type="min"/>
        <cfvo type="percentile" val="50"/>
        <cfvo type="max"/>
        <color rgb="FF63BE7B"/>
        <color rgb="FFFFEB84"/>
        <color rgb="FFF8696B"/>
      </colorScale>
    </cfRule>
  </conditionalFormatting>
  <conditionalFormatting sqref="AI208:BS208">
    <cfRule type="colorScale" priority="1260">
      <colorScale>
        <cfvo type="min"/>
        <cfvo type="percentile" val="50"/>
        <cfvo type="max"/>
        <color rgb="FF63BE7B"/>
        <color rgb="FFFFEB84"/>
        <color rgb="FFF8696B"/>
      </colorScale>
    </cfRule>
  </conditionalFormatting>
  <conditionalFormatting sqref="AJ68">
    <cfRule type="colorScale" priority="81">
      <colorScale>
        <cfvo type="min"/>
        <cfvo type="percentile" val="50"/>
        <cfvo type="max"/>
        <color rgb="FF63BE7B"/>
        <color rgb="FFFFEB84"/>
        <color rgb="FFF8696B"/>
      </colorScale>
    </cfRule>
  </conditionalFormatting>
  <conditionalFormatting sqref="AJ74:AJ75">
    <cfRule type="colorScale" priority="80">
      <colorScale>
        <cfvo type="min"/>
        <cfvo type="percentile" val="50"/>
        <cfvo type="max"/>
        <color rgb="FF63BE7B"/>
        <color rgb="FFFFEB84"/>
        <color rgb="FFF8696B"/>
      </colorScale>
    </cfRule>
  </conditionalFormatting>
  <conditionalFormatting sqref="AK58">
    <cfRule type="colorScale" priority="82">
      <colorScale>
        <cfvo type="min"/>
        <cfvo type="percentile" val="50"/>
        <cfvo type="max"/>
        <color rgb="FF63BE7B"/>
        <color rgb="FFFFEB84"/>
        <color rgb="FFF8696B"/>
      </colorScale>
    </cfRule>
  </conditionalFormatting>
  <conditionalFormatting sqref="AL207">
    <cfRule type="colorScale" priority="96">
      <colorScale>
        <cfvo type="min"/>
        <cfvo type="percentile" val="50"/>
        <cfvo type="max"/>
        <color rgb="FF63BE7B"/>
        <color rgb="FFFFEB84"/>
        <color rgb="FFF8696B"/>
      </colorScale>
    </cfRule>
  </conditionalFormatting>
  <conditionalFormatting sqref="AM150:AS156 AM158:AS202 AM157:AQ157 AS157">
    <cfRule type="colorScale" priority="1286">
      <colorScale>
        <cfvo type="min"/>
        <cfvo type="percentile" val="50"/>
        <cfvo type="max"/>
        <color rgb="FF63BE7B"/>
        <color rgb="FFFFEB84"/>
        <color rgb="FFF8696B"/>
      </colorScale>
    </cfRule>
  </conditionalFormatting>
  <conditionalFormatting sqref="AM207:BS207">
    <cfRule type="colorScale" priority="1257">
      <colorScale>
        <cfvo type="min"/>
        <cfvo type="percentile" val="50"/>
        <cfvo type="max"/>
        <color rgb="FF63BE7B"/>
        <color rgb="FFFFEB84"/>
        <color rgb="FFF8696B"/>
      </colorScale>
    </cfRule>
  </conditionalFormatting>
  <conditionalFormatting sqref="AN43">
    <cfRule type="colorScale" priority="36">
      <colorScale>
        <cfvo type="min"/>
        <cfvo type="percentile" val="50"/>
        <cfvo type="max"/>
        <color rgb="FF63BE7B"/>
        <color rgb="FFFFEB84"/>
        <color rgb="FFF8696B"/>
      </colorScale>
    </cfRule>
  </conditionalFormatting>
  <conditionalFormatting sqref="AN45">
    <cfRule type="colorScale" priority="38">
      <colorScale>
        <cfvo type="min"/>
        <cfvo type="percentile" val="50"/>
        <cfvo type="max"/>
        <color rgb="FF63BE7B"/>
        <color rgb="FFFFEB84"/>
        <color rgb="FFF8696B"/>
      </colorScale>
    </cfRule>
  </conditionalFormatting>
  <conditionalFormatting sqref="AP65:AP66">
    <cfRule type="colorScale" priority="79">
      <colorScale>
        <cfvo type="min"/>
        <cfvo type="percentile" val="50"/>
        <cfvo type="max"/>
        <color rgb="FF63BE7B"/>
        <color rgb="FFFFEB84"/>
        <color rgb="FFF8696B"/>
      </colorScale>
    </cfRule>
  </conditionalFormatting>
  <conditionalFormatting sqref="AQ7">
    <cfRule type="colorScale" priority="77">
      <colorScale>
        <cfvo type="min"/>
        <cfvo type="percentile" val="50"/>
        <cfvo type="max"/>
        <color rgb="FF63BE7B"/>
        <color rgb="FFFFEB84"/>
        <color rgb="FFF8696B"/>
      </colorScale>
    </cfRule>
  </conditionalFormatting>
  <conditionalFormatting sqref="AR145">
    <cfRule type="colorScale" priority="75">
      <colorScale>
        <cfvo type="min"/>
        <cfvo type="percentile" val="50"/>
        <cfvo type="max"/>
        <color rgb="FF63BE7B"/>
        <color rgb="FFFFEB84"/>
        <color rgb="FFF8696B"/>
      </colorScale>
    </cfRule>
  </conditionalFormatting>
  <conditionalFormatting sqref="AR157">
    <cfRule type="colorScale" priority="62">
      <colorScale>
        <cfvo type="min"/>
        <cfvo type="percentile" val="50"/>
        <cfvo type="max"/>
        <color rgb="FF63BE7B"/>
        <color rgb="FFFFEB84"/>
        <color rgb="FFF8696B"/>
      </colorScale>
    </cfRule>
  </conditionalFormatting>
  <conditionalFormatting sqref="AT44">
    <cfRule type="colorScale" priority="37">
      <colorScale>
        <cfvo type="min"/>
        <cfvo type="percentile" val="50"/>
        <cfvo type="max"/>
        <color rgb="FF63BE7B"/>
        <color rgb="FFFFEB84"/>
        <color rgb="FFF8696B"/>
      </colorScale>
    </cfRule>
  </conditionalFormatting>
  <conditionalFormatting sqref="AT111">
    <cfRule type="colorScale" priority="48">
      <colorScale>
        <cfvo type="min"/>
        <cfvo type="percentile" val="50"/>
        <cfvo type="max"/>
        <color rgb="FF63BE7B"/>
        <color rgb="FFFFEB84"/>
        <color rgb="FFF8696B"/>
      </colorScale>
    </cfRule>
  </conditionalFormatting>
  <conditionalFormatting sqref="AT118:AT119">
    <cfRule type="colorScale" priority="46">
      <colorScale>
        <cfvo type="min"/>
        <cfvo type="percentile" val="50"/>
        <cfvo type="max"/>
        <color rgb="FF63BE7B"/>
        <color rgb="FFFFEB84"/>
        <color rgb="FFF8696B"/>
      </colorScale>
    </cfRule>
  </conditionalFormatting>
  <conditionalFormatting sqref="AU46:AW46">
    <cfRule type="colorScale" priority="35">
      <colorScale>
        <cfvo type="min"/>
        <cfvo type="percentile" val="50"/>
        <cfvo type="max"/>
        <color rgb="FF63BE7B"/>
        <color rgb="FFFFEB84"/>
        <color rgb="FFF8696B"/>
      </colorScale>
    </cfRule>
  </conditionalFormatting>
  <conditionalFormatting sqref="AU144:AW144">
    <cfRule type="colorScale" priority="76">
      <colorScale>
        <cfvo type="min"/>
        <cfvo type="percentile" val="50"/>
        <cfvo type="max"/>
        <color rgb="FF63BE7B"/>
        <color rgb="FFFFEB84"/>
        <color rgb="FFF8696B"/>
      </colorScale>
    </cfRule>
  </conditionalFormatting>
  <conditionalFormatting sqref="AU157:AW170">
    <cfRule type="colorScale" priority="65">
      <colorScale>
        <cfvo type="min"/>
        <cfvo type="percentile" val="50"/>
        <cfvo type="max"/>
        <color rgb="FF63BE7B"/>
        <color rgb="FFFFEB84"/>
        <color rgb="FFF8696B"/>
      </colorScale>
    </cfRule>
  </conditionalFormatting>
  <conditionalFormatting sqref="AV152">
    <cfRule type="colorScale" priority="32">
      <colorScale>
        <cfvo type="min"/>
        <cfvo type="percentile" val="50"/>
        <cfvo type="max"/>
        <color rgb="FF63BE7B"/>
        <color rgb="FFFFEB84"/>
        <color rgb="FFF8696B"/>
      </colorScale>
    </cfRule>
  </conditionalFormatting>
  <conditionalFormatting sqref="AW153">
    <cfRule type="colorScale" priority="31">
      <colorScale>
        <cfvo type="min"/>
        <cfvo type="percentile" val="50"/>
        <cfvo type="max"/>
        <color rgb="FF63BE7B"/>
        <color rgb="FFFFEB84"/>
        <color rgb="FFF8696B"/>
      </colorScale>
    </cfRule>
  </conditionalFormatting>
  <conditionalFormatting sqref="AX83">
    <cfRule type="colorScale" priority="102">
      <colorScale>
        <cfvo type="min"/>
        <cfvo type="percentile" val="50"/>
        <cfvo type="max"/>
        <color rgb="FF63BE7B"/>
        <color rgb="FFFFEB84"/>
        <color rgb="FFF8696B"/>
      </colorScale>
    </cfRule>
  </conditionalFormatting>
  <conditionalFormatting sqref="AX91">
    <cfRule type="colorScale" priority="27">
      <colorScale>
        <cfvo type="min"/>
        <cfvo type="percentile" val="50"/>
        <cfvo type="max"/>
        <color rgb="FF63BE7B"/>
        <color rgb="FFFFEB84"/>
        <color rgb="FFF8696B"/>
      </colorScale>
    </cfRule>
  </conditionalFormatting>
  <conditionalFormatting sqref="AY83">
    <cfRule type="colorScale" priority="101">
      <colorScale>
        <cfvo type="min"/>
        <cfvo type="percentile" val="50"/>
        <cfvo type="max"/>
        <color rgb="FF63BE7B"/>
        <color rgb="FFFFEB84"/>
        <color rgb="FFF8696B"/>
      </colorScale>
    </cfRule>
  </conditionalFormatting>
  <conditionalFormatting sqref="AZ83">
    <cfRule type="colorScale" priority="100">
      <colorScale>
        <cfvo type="min"/>
        <cfvo type="percentile" val="50"/>
        <cfvo type="max"/>
        <color rgb="FF63BE7B"/>
        <color rgb="FFFFEB84"/>
        <color rgb="FFF8696B"/>
      </colorScale>
    </cfRule>
  </conditionalFormatting>
  <conditionalFormatting sqref="BA95">
    <cfRule type="colorScale" priority="99">
      <colorScale>
        <cfvo type="min"/>
        <cfvo type="percentile" val="50"/>
        <cfvo type="max"/>
        <color rgb="FF63BE7B"/>
        <color rgb="FFFFEB84"/>
        <color rgb="FFF8696B"/>
      </colorScale>
    </cfRule>
  </conditionalFormatting>
  <conditionalFormatting sqref="BB4">
    <cfRule type="colorScale" priority="43">
      <colorScale>
        <cfvo type="min"/>
        <cfvo type="percentile" val="50"/>
        <cfvo type="max"/>
        <color rgb="FF63BE7B"/>
        <color rgb="FFFFEB84"/>
        <color rgb="FFF8696B"/>
      </colorScale>
    </cfRule>
  </conditionalFormatting>
  <conditionalFormatting sqref="BB63">
    <cfRule type="colorScale" priority="60">
      <colorScale>
        <cfvo type="min"/>
        <cfvo type="percentile" val="50"/>
        <cfvo type="max"/>
        <color rgb="FF63BE7B"/>
        <color rgb="FFFFEB84"/>
        <color rgb="FFF8696B"/>
      </colorScale>
    </cfRule>
  </conditionalFormatting>
  <conditionalFormatting sqref="BC64">
    <cfRule type="colorScale" priority="61">
      <colorScale>
        <cfvo type="min"/>
        <cfvo type="percentile" val="50"/>
        <cfvo type="max"/>
        <color rgb="FF63BE7B"/>
        <color rgb="FFFFEB84"/>
        <color rgb="FFF8696B"/>
      </colorScale>
    </cfRule>
  </conditionalFormatting>
  <conditionalFormatting sqref="BD62:BF62">
    <cfRule type="colorScale" priority="59">
      <colorScale>
        <cfvo type="min"/>
        <cfvo type="percentile" val="50"/>
        <cfvo type="max"/>
        <color rgb="FF63BE7B"/>
        <color rgb="FFFFEB84"/>
        <color rgb="FFF8696B"/>
      </colorScale>
    </cfRule>
  </conditionalFormatting>
  <conditionalFormatting sqref="BF67">
    <cfRule type="colorScale" priority="15">
      <colorScale>
        <cfvo type="min"/>
        <cfvo type="percentile" val="50"/>
        <cfvo type="max"/>
        <color rgb="FF63BE7B"/>
        <color rgb="FFFFEB84"/>
        <color rgb="FFF8696B"/>
      </colorScale>
    </cfRule>
  </conditionalFormatting>
  <conditionalFormatting sqref="BG55:BM55">
    <cfRule type="colorScale" priority="58">
      <colorScale>
        <cfvo type="min"/>
        <cfvo type="percentile" val="50"/>
        <cfvo type="max"/>
        <color rgb="FF63BE7B"/>
        <color rgb="FFFFEB84"/>
        <color rgb="FFF8696B"/>
      </colorScale>
    </cfRule>
  </conditionalFormatting>
  <conditionalFormatting sqref="BH66">
    <cfRule type="colorScale" priority="14">
      <colorScale>
        <cfvo type="min"/>
        <cfvo type="percentile" val="50"/>
        <cfvo type="max"/>
        <color rgb="FF63BE7B"/>
        <color rgb="FFFFEB84"/>
        <color rgb="FFF8696B"/>
      </colorScale>
    </cfRule>
  </conditionalFormatting>
  <conditionalFormatting sqref="BI189">
    <cfRule type="colorScale" priority="23">
      <colorScale>
        <cfvo type="min"/>
        <cfvo type="percentile" val="50"/>
        <cfvo type="max"/>
        <color rgb="FF63BE7B"/>
        <color rgb="FFFFEB84"/>
        <color rgb="FFF8696B"/>
      </colorScale>
    </cfRule>
    <cfRule type="colorScale" priority="22">
      <colorScale>
        <cfvo type="min"/>
        <cfvo type="percentile" val="50"/>
        <cfvo type="max"/>
        <color rgb="FF63BE7B"/>
        <color rgb="FFFFEB84"/>
        <color rgb="FFF8696B"/>
      </colorScale>
    </cfRule>
  </conditionalFormatting>
  <conditionalFormatting sqref="BJ190">
    <cfRule type="colorScale" priority="20">
      <colorScale>
        <cfvo type="min"/>
        <cfvo type="percentile" val="50"/>
        <cfvo type="max"/>
        <color rgb="FF63BE7B"/>
        <color rgb="FFFFEB84"/>
        <color rgb="FFF8696B"/>
      </colorScale>
    </cfRule>
    <cfRule type="colorScale" priority="21">
      <colorScale>
        <cfvo type="min"/>
        <cfvo type="percentile" val="50"/>
        <cfvo type="max"/>
        <color rgb="FF63BE7B"/>
        <color rgb="FFFFEB84"/>
        <color rgb="FFF8696B"/>
      </colorScale>
    </cfRule>
  </conditionalFormatting>
  <conditionalFormatting sqref="BK191:BL191">
    <cfRule type="colorScale" priority="19">
      <colorScale>
        <cfvo type="min"/>
        <cfvo type="percentile" val="50"/>
        <cfvo type="max"/>
        <color rgb="FF63BE7B"/>
        <color rgb="FFFFEB84"/>
        <color rgb="FFF8696B"/>
      </colorScale>
    </cfRule>
    <cfRule type="colorScale" priority="18">
      <colorScale>
        <cfvo type="min"/>
        <cfvo type="percentile" val="50"/>
        <cfvo type="max"/>
        <color rgb="FF63BE7B"/>
        <color rgb="FFFFEB84"/>
        <color rgb="FFF8696B"/>
      </colorScale>
    </cfRule>
  </conditionalFormatting>
  <conditionalFormatting sqref="BL192">
    <cfRule type="colorScale" priority="4">
      <colorScale>
        <cfvo type="min"/>
        <cfvo type="percentile" val="50"/>
        <cfvo type="max"/>
        <color rgb="FF63BE7B"/>
        <color rgb="FFFFEB84"/>
        <color rgb="FFF8696B"/>
      </colorScale>
    </cfRule>
  </conditionalFormatting>
  <conditionalFormatting sqref="BL193">
    <cfRule type="colorScale" priority="3">
      <colorScale>
        <cfvo type="min"/>
        <cfvo type="percentile" val="50"/>
        <cfvo type="max"/>
        <color rgb="FF63BE7B"/>
        <color rgb="FFFFEB84"/>
        <color rgb="FFF8696B"/>
      </colorScale>
    </cfRule>
  </conditionalFormatting>
  <conditionalFormatting sqref="BM192">
    <cfRule type="colorScale" priority="17">
      <colorScale>
        <cfvo type="min"/>
        <cfvo type="percentile" val="50"/>
        <cfvo type="max"/>
        <color rgb="FF63BE7B"/>
        <color rgb="FFFFEB84"/>
        <color rgb="FFF8696B"/>
      </colorScale>
    </cfRule>
    <cfRule type="colorScale" priority="16">
      <colorScale>
        <cfvo type="min"/>
        <cfvo type="percentile" val="50"/>
        <cfvo type="max"/>
        <color rgb="FF63BE7B"/>
        <color rgb="FFFFEB84"/>
        <color rgb="FFF8696B"/>
      </colorScale>
    </cfRule>
  </conditionalFormatting>
  <conditionalFormatting sqref="BN54">
    <cfRule type="colorScale" priority="57">
      <colorScale>
        <cfvo type="min"/>
        <cfvo type="percentile" val="50"/>
        <cfvo type="max"/>
        <color rgb="FF63BE7B"/>
        <color rgb="FFFFEB84"/>
        <color rgb="FFF8696B"/>
      </colorScale>
    </cfRule>
  </conditionalFormatting>
  <conditionalFormatting sqref="BN112">
    <cfRule type="colorScale" priority="54">
      <colorScale>
        <cfvo type="min"/>
        <cfvo type="percentile" val="50"/>
        <cfvo type="max"/>
        <color rgb="FF63BE7B"/>
        <color rgb="FFFFEB84"/>
        <color rgb="FFF8696B"/>
      </colorScale>
    </cfRule>
  </conditionalFormatting>
  <conditionalFormatting sqref="BN117">
    <cfRule type="colorScale" priority="52">
      <colorScale>
        <cfvo type="min"/>
        <cfvo type="percentile" val="50"/>
        <cfvo type="max"/>
        <color rgb="FF63BE7B"/>
        <color rgb="FFFFEB84"/>
        <color rgb="FFF8696B"/>
      </colorScale>
    </cfRule>
  </conditionalFormatting>
  <conditionalFormatting sqref="BO57">
    <cfRule type="colorScale" priority="56">
      <colorScale>
        <cfvo type="min"/>
        <cfvo type="percentile" val="50"/>
        <cfvo type="max"/>
        <color rgb="FF63BE7B"/>
        <color rgb="FFFFEB84"/>
        <color rgb="FFF8696B"/>
      </colorScale>
    </cfRule>
  </conditionalFormatting>
  <conditionalFormatting sqref="BO110">
    <cfRule type="colorScale" priority="53">
      <colorScale>
        <cfvo type="min"/>
        <cfvo type="percentile" val="50"/>
        <cfvo type="max"/>
        <color rgb="FF63BE7B"/>
        <color rgb="FFFFEB84"/>
        <color rgb="FFF8696B"/>
      </colorScale>
    </cfRule>
  </conditionalFormatting>
  <conditionalFormatting sqref="BO120">
    <cfRule type="colorScale" priority="51">
      <colorScale>
        <cfvo type="min"/>
        <cfvo type="percentile" val="50"/>
        <cfvo type="max"/>
        <color rgb="FF63BE7B"/>
        <color rgb="FFFFEB84"/>
        <color rgb="FFF8696B"/>
      </colorScale>
    </cfRule>
  </conditionalFormatting>
  <conditionalFormatting sqref="BP108">
    <cfRule type="colorScale" priority="55">
      <colorScale>
        <cfvo type="min"/>
        <cfvo type="percentile" val="50"/>
        <cfvo type="max"/>
        <color rgb="FF63BE7B"/>
        <color rgb="FFFFEB84"/>
        <color rgb="FFF8696B"/>
      </colorScale>
    </cfRule>
  </conditionalFormatting>
  <conditionalFormatting sqref="BP109">
    <cfRule type="colorScale" priority="50">
      <colorScale>
        <cfvo type="min"/>
        <cfvo type="percentile" val="50"/>
        <cfvo type="max"/>
        <color rgb="FF63BE7B"/>
        <color rgb="FFFFEB84"/>
        <color rgb="FFF8696B"/>
      </colorScale>
    </cfRule>
  </conditionalFormatting>
  <conditionalFormatting sqref="BP116">
    <cfRule type="colorScale" priority="49">
      <colorScale>
        <cfvo type="min"/>
        <cfvo type="percentile" val="50"/>
        <cfvo type="max"/>
        <color rgb="FF63BE7B"/>
        <color rgb="FFFFEB84"/>
        <color rgb="FFF8696B"/>
      </colorScale>
    </cfRule>
  </conditionalFormatting>
  <conditionalFormatting sqref="BQ68">
    <cfRule type="colorScale" priority="45">
      <colorScale>
        <cfvo type="min"/>
        <cfvo type="percentile" val="50"/>
        <cfvo type="max"/>
        <color rgb="FF63BE7B"/>
        <color rgb="FFFFEB84"/>
        <color rgb="FFF8696B"/>
      </colorScale>
    </cfRule>
  </conditionalFormatting>
  <conditionalFormatting sqref="BR35">
    <cfRule type="colorScale" priority="44">
      <colorScale>
        <cfvo type="min"/>
        <cfvo type="percentile" val="50"/>
        <cfvo type="max"/>
        <color rgb="FF63BE7B"/>
        <color rgb="FFFFEB84"/>
        <color rgb="FFF8696B"/>
      </colorScale>
    </cfRule>
  </conditionalFormatting>
  <conditionalFormatting sqref="BT1">
    <cfRule type="iconSet" priority="8">
      <iconSet reverse="1">
        <cfvo type="percent" val="0"/>
        <cfvo type="percent" val="33"/>
        <cfvo type="percent" val="67"/>
      </iconSet>
    </cfRule>
  </conditionalFormatting>
  <conditionalFormatting sqref="BT1:BT42 BT44:BT1048576">
    <cfRule type="duplicateValues" dxfId="76" priority="9"/>
  </conditionalFormatting>
  <conditionalFormatting sqref="BT3:BT6 BT9:BT11 BT13:BT17">
    <cfRule type="colorScale" priority="10">
      <colorScale>
        <cfvo type="min"/>
        <cfvo type="percentile" val="50"/>
        <cfvo type="max"/>
        <color rgb="FF5A8AC6"/>
        <color rgb="FFFCFCFF"/>
        <color rgb="FFF8696B"/>
      </colorScale>
    </cfRule>
  </conditionalFormatting>
  <conditionalFormatting sqref="BT12">
    <cfRule type="colorScale" priority="11">
      <colorScale>
        <cfvo type="min"/>
        <cfvo type="percentile" val="50"/>
        <cfvo type="max"/>
        <color rgb="FF5A8AC6"/>
        <color rgb="FFFCFCFF"/>
        <color rgb="FFF8696B"/>
      </colorScale>
    </cfRule>
  </conditionalFormatting>
  <conditionalFormatting sqref="BT19:BT20">
    <cfRule type="colorScale" priority="12">
      <colorScale>
        <cfvo type="min"/>
        <cfvo type="percentile" val="50"/>
        <cfvo type="max"/>
        <color rgb="FF5A8AC6"/>
        <color rgb="FFFCFCFF"/>
        <color rgb="FFF8696B"/>
      </colorScale>
    </cfRule>
  </conditionalFormatting>
  <conditionalFormatting sqref="BT22:BT23">
    <cfRule type="iconSet" priority="13">
      <iconSet reverse="1">
        <cfvo type="percent" val="0"/>
        <cfvo type="percent" val="33"/>
        <cfvo type="percent" val="67"/>
      </iconSet>
    </cfRule>
  </conditionalFormatting>
  <conditionalFormatting sqref="BU207:CL207">
    <cfRule type="colorScale" priority="5">
      <colorScale>
        <cfvo type="min"/>
        <cfvo type="percentile" val="50"/>
        <cfvo type="max"/>
        <color rgb="FF63BE7B"/>
        <color rgb="FFFFEB84"/>
        <color rgb="FFF8696B"/>
      </colorScale>
    </cfRule>
  </conditionalFormatting>
  <conditionalFormatting sqref="BU208:CL208">
    <cfRule type="colorScale" priority="6">
      <colorScale>
        <cfvo type="min"/>
        <cfvo type="percentile" val="50"/>
        <cfvo type="max"/>
        <color rgb="FF63BE7B"/>
        <color rgb="FFFFEB84"/>
        <color rgb="FFF8696B"/>
      </colorScale>
    </cfRule>
  </conditionalFormatting>
  <pageMargins left="0.7" right="0.7" top="0.75" bottom="0.75" header="0.3" footer="0.3"/>
  <pageSetup scale="1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B7E9E-DF8E-4687-A710-CB3B62799C02}">
  <sheetPr>
    <tabColor rgb="FF9966FF"/>
  </sheetPr>
  <dimension ref="A1:J223"/>
  <sheetViews>
    <sheetView workbookViewId="0">
      <pane ySplit="1" topLeftCell="A194" activePane="bottomLeft" state="frozen"/>
      <selection pane="bottomLeft" activeCell="B204" sqref="B204"/>
    </sheetView>
  </sheetViews>
  <sheetFormatPr baseColWidth="10" defaultColWidth="9.140625" defaultRowHeight="15"/>
  <cols>
    <col min="1" max="1" width="49.28515625" customWidth="1"/>
    <col min="2" max="2" width="28.5703125" customWidth="1"/>
    <col min="3" max="3" width="8.85546875" customWidth="1"/>
    <col min="4" max="5" width="13" customWidth="1"/>
    <col min="6" max="6" width="13.85546875" customWidth="1"/>
    <col min="7" max="7" width="88.42578125" customWidth="1"/>
    <col min="8" max="8" width="25.7109375" customWidth="1"/>
    <col min="9" max="9" width="28.5703125" customWidth="1"/>
    <col min="10" max="10" width="38.7109375" customWidth="1"/>
    <col min="11" max="12" width="13" customWidth="1"/>
    <col min="13" max="13" width="14.7109375" customWidth="1"/>
    <col min="14" max="17" width="13" customWidth="1"/>
  </cols>
  <sheetData>
    <row r="1" spans="1:10">
      <c r="A1" s="859" t="s">
        <v>2813</v>
      </c>
      <c r="B1" s="859" t="s">
        <v>2677</v>
      </c>
      <c r="C1" s="859" t="s">
        <v>2915</v>
      </c>
      <c r="F1" s="859" t="s">
        <v>2758</v>
      </c>
      <c r="G1" s="859" t="s">
        <v>2762</v>
      </c>
      <c r="H1" s="859" t="s">
        <v>2814</v>
      </c>
      <c r="I1" s="859" t="s">
        <v>2878</v>
      </c>
      <c r="J1" s="859" t="s">
        <v>2879</v>
      </c>
    </row>
    <row r="2" spans="1:10">
      <c r="A2" s="1003" t="s">
        <v>2884</v>
      </c>
    </row>
    <row r="3" spans="1:10">
      <c r="A3" s="366" t="s">
        <v>2234</v>
      </c>
      <c r="B3" s="985" t="str">
        <f>AUTOQUESTIONNAIRE!F351</f>
        <v>Léa</v>
      </c>
      <c r="C3" s="366"/>
      <c r="D3" s="366"/>
      <c r="E3" s="366"/>
      <c r="F3" s="366"/>
      <c r="G3" s="366"/>
    </row>
    <row r="4" spans="1:10">
      <c r="A4" s="366" t="s">
        <v>2235</v>
      </c>
      <c r="B4" s="985" t="str">
        <f>AUTOQUESTIONNAIRE!F352</f>
        <v>Soucaux</v>
      </c>
      <c r="C4" s="366"/>
      <c r="D4" s="366"/>
      <c r="E4" s="366"/>
      <c r="F4" s="366"/>
      <c r="G4" s="366"/>
    </row>
    <row r="5" spans="1:10">
      <c r="A5" s="366" t="s">
        <v>2752</v>
      </c>
      <c r="B5" s="986">
        <f ca="1">AUTOQUESTIONNAIRE!F2</f>
        <v>46189</v>
      </c>
      <c r="C5" s="366"/>
      <c r="D5" s="366"/>
      <c r="E5" s="366"/>
      <c r="F5" s="366"/>
      <c r="G5" s="366"/>
    </row>
    <row r="6" spans="1:10">
      <c r="A6" s="366" t="s">
        <v>203</v>
      </c>
      <c r="B6" s="987">
        <f>AUTOQUESTIONNAIRE!F4</f>
        <v>65</v>
      </c>
      <c r="C6" s="366"/>
      <c r="D6" s="366"/>
      <c r="E6" s="366"/>
      <c r="F6" s="366"/>
      <c r="G6" s="366"/>
    </row>
    <row r="7" spans="1:10">
      <c r="A7" s="366" t="s">
        <v>2753</v>
      </c>
      <c r="B7" s="985">
        <f>AUTOQUESTIONNAIRE!F6</f>
        <v>180</v>
      </c>
      <c r="C7" s="366"/>
      <c r="D7" s="366"/>
      <c r="E7" s="366"/>
      <c r="F7" s="366"/>
      <c r="G7" s="366"/>
    </row>
    <row r="8" spans="1:10">
      <c r="A8" s="366" t="s">
        <v>2754</v>
      </c>
      <c r="B8" s="985">
        <f>AUTOQUESTIONNAIRE!F7</f>
        <v>65</v>
      </c>
      <c r="C8" s="366"/>
      <c r="D8" s="366"/>
      <c r="E8" s="366"/>
      <c r="F8" s="366"/>
      <c r="G8" s="366"/>
    </row>
    <row r="9" spans="1:10" ht="60">
      <c r="A9" s="366" t="s">
        <v>0</v>
      </c>
      <c r="B9" s="987">
        <f>AUTOQUESTIONNAIRE!H6*100</f>
        <v>20.061728395061728</v>
      </c>
      <c r="C9" s="366"/>
      <c r="D9" s="366"/>
      <c r="E9" s="366"/>
      <c r="F9" s="366"/>
      <c r="G9" s="958" t="s">
        <v>2906</v>
      </c>
    </row>
    <row r="10" spans="1:10" ht="75">
      <c r="A10" s="366" t="s">
        <v>2755</v>
      </c>
      <c r="B10" s="985" t="str">
        <f>AUTOQUESTIONNAIRE!H249&amp;IF(AUTOQUESTIONNAIRE!F251=1," - Vapotage","")</f>
        <v>0,3</v>
      </c>
      <c r="C10" s="366"/>
      <c r="D10" s="366"/>
      <c r="E10" s="366"/>
      <c r="F10" s="366"/>
      <c r="G10" s="958" t="s">
        <v>2907</v>
      </c>
    </row>
    <row r="11" spans="1:10" ht="49.15" customHeight="1">
      <c r="A11" s="366" t="s">
        <v>2916</v>
      </c>
      <c r="B11" s="992" t="str" cm="1">
        <f t="array" ref="B11">IF(_xlfn.TEXTJOIN("; ",TRUE,IF((ISNUMBER(RRImmédiat!$G$2:$G$200))*(RRImmédiat!$G$2:$G$200&gt;2),RRImmédiat!$B$2:$B$200,""))="","N/A",_xlfn.TEXTJOIN("; ",TRUE,IF((ISNUMBER(RRImmédiat!$G$2:$G$200))*(RRImmédiat!$G$2:$G$200&gt;2),RRImmédiat!$B$2:$B$200,"")))</f>
        <v>Cardiopathie ischémique; Dyslipidémie; Asthme; Pollinose saisonnière (rhume des foins)</v>
      </c>
      <c r="C11" s="366"/>
      <c r="D11" s="366"/>
      <c r="E11" s="366"/>
      <c r="F11" s="366"/>
      <c r="G11" s="366"/>
    </row>
    <row r="12" spans="1:10" ht="45">
      <c r="A12" s="366" t="s">
        <v>2893</v>
      </c>
      <c r="B12" s="992" t="str">
        <f>_xlfn.TEXTJOIN("; ",TRUE,IF(AUTOQUESTIONNAIRE!F8=1,"Aidant",""),IF(AUTOQUESTIONNAIRE!F185=1,"Allergies",""),IF(AUTOQUESTIONNAIRE!F83=1,"Régime végan",""),IF(AUTOQUESTIONNAIRE!F14=1,"Travail physique",""),IF(AUTOQUESTIONNAIRE!F69=1,"Travail à risque",""),IF(AUTOQUESTIONNAIRE!F9=0,"Peu d'entourage",""),IF(AUTOQUESTIONNAIRE!F155=1,"Oubli",""),IF(AUTOQUESTIONNAIRE!F337=1,"Gestes du quotidien difficile",""))</f>
        <v>Aidant; Régime végan; Travail physique; Travail à risque; Gestes du quotidien difficile</v>
      </c>
      <c r="C12" s="366"/>
      <c r="D12" s="366"/>
      <c r="E12" s="366"/>
      <c r="F12" s="366"/>
      <c r="G12" s="366"/>
    </row>
    <row r="13" spans="1:10">
      <c r="A13" s="366"/>
      <c r="B13" s="1004"/>
      <c r="C13" s="366"/>
      <c r="D13" s="366"/>
      <c r="E13" s="366"/>
      <c r="F13" s="366"/>
      <c r="G13" s="366"/>
    </row>
    <row r="14" spans="1:10">
      <c r="B14" s="980"/>
    </row>
    <row r="15" spans="1:10">
      <c r="B15" s="980"/>
    </row>
    <row r="16" spans="1:10">
      <c r="B16" s="980"/>
    </row>
    <row r="17" spans="1:7">
      <c r="B17" s="980"/>
    </row>
    <row r="18" spans="1:7">
      <c r="B18" s="980"/>
    </row>
    <row r="20" spans="1:7">
      <c r="A20" s="965" t="s">
        <v>2883</v>
      </c>
    </row>
    <row r="21" spans="1:7" ht="270">
      <c r="A21" s="316" t="s">
        <v>2792</v>
      </c>
      <c r="B21" s="981" t="str">
        <f>AFaire!E208&amp;AFaire!G208&amp;AFaire!H208&amp;AFaire!I208&amp;AFaire!J208&amp;AFaire!K208&amp;AFaire!L208&amp;AFaire!M208&amp;AFaire!N208&amp;AFaire!O208&amp;AFaire!P208&amp;AFaire!Q208&amp;AFaire!R208&amp;AFaire!S208&amp;AFaire!T208&amp;AFaire!U208&amp;AFaire!V208&amp;AFaire!W208&amp;AFaire!X208&amp;AFaire!Y208&amp;AFaire!Z208&amp;AFaire!AA208&amp;AFaire!AB208&amp;AFaire!AC208&amp;AFaire!BS208</f>
        <v xml:space="preserve">Glycémie, Hb1Ac, Insuline et indice HOMA-IR, Cholestérol Total et fractions HDL et LDL, Triglycérides, Electrophorèse des protéinesASAT, ALAT, GGT Oestradiol FSH; Cortisol; Sulfate DHEA, Vitamine D2-D3, Vitamine B6; Magnésium sang,  Fer sérique, Ferritine, Coefficient saturation, CPK, TSH,  Créatininémie, DFG,  ECBU,  Cytologie urinaire avec recherche d'atypie celllaire,  test immunochimique fécal (TIF), IgE spécifique, Cotinurie, Methylation AHRR, -Lipoproteine a, Score ROMA (Ovaire), </v>
      </c>
      <c r="C21" s="366"/>
      <c r="D21" s="366"/>
      <c r="E21" s="366"/>
      <c r="F21" s="366"/>
      <c r="G21" s="366"/>
    </row>
    <row r="22" spans="1:7" ht="90">
      <c r="A22" s="316" t="s">
        <v>1380</v>
      </c>
      <c r="B22" s="982" t="str">
        <f>AFaire!AI208&amp;AFaire!AJ208&amp;AFaire!AK208&amp;AFaire!AL208&amp;AFaire!AM208&amp;AFaire!AN208&amp;AFaire!AO208&amp;AFaire!AP208&amp;AFaire!AQ208&amp;AFaire!AR208&amp;AFaire!AS208&amp;AFaire!AV208</f>
        <v xml:space="preserve">Cs Trouble du sommeil, Cs Addictologie, Cs Bucco-dentaire,  Cs Cardiologie, Cs Pneumo-allergologie, Cs Gynécologie,    Cs Ophtalmologie, </v>
      </c>
      <c r="C22" s="366"/>
      <c r="D22" s="366"/>
      <c r="E22" s="366"/>
      <c r="F22" s="366"/>
      <c r="G22" s="366"/>
    </row>
    <row r="23" spans="1:7" ht="75">
      <c r="A23" s="316" t="s">
        <v>1368</v>
      </c>
      <c r="B23" s="982" t="str">
        <f>AFaire!BG208&amp;AFaire!BN208&amp;AFaire!BO208&amp;AFaire!BP208&amp;AFaire!BQ208&amp;AFaire!AT208</f>
        <v xml:space="preserve">Prévention cancer du col utérin, Dépistage  cancer du sein, Dépistage  cancer du colon,  Dépistage cancer du poumon,  </v>
      </c>
      <c r="C23" s="366"/>
      <c r="D23" s="366"/>
      <c r="E23" s="366"/>
      <c r="F23" s="366"/>
      <c r="G23" s="366"/>
    </row>
    <row r="24" spans="1:7" ht="60">
      <c r="A24" s="316" t="s">
        <v>1425</v>
      </c>
      <c r="B24" s="982" t="str">
        <f>AFaire!BB208&amp;AFaire!BC208&amp;AFaire!BD208</f>
        <v xml:space="preserve"> Vaccination Tetanos (diphtérie, coqueluche, polio), ou Test IgG,  Vaccination grippe, </v>
      </c>
      <c r="C24" s="366"/>
      <c r="D24" s="366"/>
      <c r="E24" s="366"/>
      <c r="F24" s="366"/>
      <c r="G24" s="366"/>
    </row>
    <row r="25" spans="1:7" ht="60">
      <c r="A25" s="316" t="s">
        <v>2230</v>
      </c>
      <c r="B25" s="982" t="str">
        <f>AFaire!BU208&amp;AFaire!BV208&amp;AFaire!BW208&amp;AFaire!BX208&amp;AFaire!BY208&amp;AFaire!BZ208&amp;AFaire!CA208&amp;AFaire!CB208&amp;AFaire!CC208&amp;AFaire!CD208&amp;AFaire!CE208&amp;AFaire!CF208&amp;AFaire!CG208&amp;AFaire!CH208&amp;AFaire!CI208&amp;AFaire!CJ208&amp;AFaire!CK208&amp;AFaire!CL208</f>
        <v xml:space="preserve">          Echographie hépatique (splénique) Scanner CoronnaireEcho-doppler vasculaire artériel    </v>
      </c>
      <c r="C25" s="366"/>
      <c r="D25" s="366"/>
      <c r="E25" s="366"/>
      <c r="F25" s="366"/>
      <c r="G25" s="366"/>
    </row>
    <row r="26" spans="1:7" ht="59.45" customHeight="1">
      <c r="A26" s="316" t="s">
        <v>1344</v>
      </c>
      <c r="B26" s="983" t="str">
        <f>AFaire!AF208&amp;AFaire!AG208&amp;AFaire!AH208&amp;AFaire!AE208</f>
        <v xml:space="preserve">Questionnaire AUDIT, Questionnaire CAST (Cannabis), Questionnaire Santé mental, Questionnaire Nutritionnel, </v>
      </c>
      <c r="C26" s="366"/>
      <c r="D26" s="366"/>
      <c r="E26" s="366"/>
      <c r="F26" s="366"/>
      <c r="G26" s="366"/>
    </row>
    <row r="27" spans="1:7" ht="60">
      <c r="A27" s="316" t="s">
        <v>2885</v>
      </c>
      <c r="B27" s="981">
        <f>((AUTOQUESTIONNAIRE!F220-70)+2*(AUTOQUESTIONNAIRE!F221-AUTOQUESTIONNAIRE!F217))/10</f>
        <v>1</v>
      </c>
      <c r="C27" s="366"/>
      <c r="D27" s="366"/>
      <c r="E27" s="366"/>
      <c r="F27" s="366"/>
      <c r="G27" s="958" t="s">
        <v>2908</v>
      </c>
    </row>
    <row r="28" spans="1:7" ht="60">
      <c r="A28" s="820" t="s">
        <v>1967</v>
      </c>
      <c r="B28" s="981">
        <f>MAX(AUTOQUESTIONNAIRE!G215:H215)</f>
        <v>86.399999999999991</v>
      </c>
      <c r="C28" s="366"/>
      <c r="D28" s="366"/>
      <c r="E28" s="366"/>
      <c r="F28" s="366"/>
      <c r="G28" s="958" t="s">
        <v>2909</v>
      </c>
    </row>
    <row r="29" spans="1:7" ht="60">
      <c r="A29" s="820" t="s">
        <v>1974</v>
      </c>
      <c r="B29" s="981">
        <f>MAX(AUTOQUESTIONNAIRE!G216:H216)</f>
        <v>40.5</v>
      </c>
      <c r="C29" s="366"/>
      <c r="D29" s="366"/>
      <c r="E29" s="366"/>
      <c r="F29" s="366"/>
      <c r="G29" s="958" t="s">
        <v>2910</v>
      </c>
    </row>
    <row r="30" spans="1:7" ht="60">
      <c r="A30" s="316" t="s">
        <v>2815</v>
      </c>
      <c r="B30" s="995">
        <f>AUTOQUESTIONNAIRE!G346</f>
        <v>10</v>
      </c>
      <c r="C30" s="366"/>
      <c r="D30" s="366"/>
      <c r="E30" s="366"/>
      <c r="F30" s="366"/>
      <c r="G30" s="958" t="s">
        <v>2911</v>
      </c>
    </row>
    <row r="31" spans="1:7" ht="60">
      <c r="A31" s="316" t="s">
        <v>2709</v>
      </c>
      <c r="B31" s="995">
        <f>AUTOQUESTIONNAIRE!G347</f>
        <v>40</v>
      </c>
      <c r="C31" s="366"/>
      <c r="D31" s="366"/>
      <c r="E31" s="366"/>
      <c r="F31" s="366"/>
      <c r="G31" s="958" t="s">
        <v>2912</v>
      </c>
    </row>
    <row r="32" spans="1:7" ht="75">
      <c r="A32" s="887" t="s">
        <v>2793</v>
      </c>
      <c r="B32" s="996" t="str">
        <f>AFaire!AX208&amp;AFaire!AY208&amp;AFaire!AZ208&amp;AFaire!BA208</f>
        <v>Supplémentation VitaD, Supplémentation Vitamine B12, Supplémentation Vitamine B6, Supplémentation Ubiquinol,</v>
      </c>
      <c r="C32" s="366"/>
      <c r="D32" s="366"/>
      <c r="E32" s="366"/>
      <c r="F32" s="366"/>
      <c r="G32" s="366"/>
    </row>
    <row r="33" spans="1:7">
      <c r="A33" s="859"/>
      <c r="B33" s="998"/>
    </row>
    <row r="34" spans="1:7">
      <c r="A34" s="859"/>
      <c r="B34" s="998"/>
    </row>
    <row r="35" spans="1:7">
      <c r="A35" s="859"/>
      <c r="B35" s="998"/>
    </row>
    <row r="36" spans="1:7">
      <c r="A36" s="859"/>
      <c r="B36" s="998"/>
    </row>
    <row r="41" spans="1:7">
      <c r="A41" s="887" t="s">
        <v>2887</v>
      </c>
      <c r="B41" s="366"/>
      <c r="C41" s="366"/>
      <c r="D41" s="366"/>
      <c r="E41" s="366"/>
      <c r="F41" s="366"/>
      <c r="G41" s="366"/>
    </row>
    <row r="42" spans="1:7">
      <c r="A42" s="366" t="s">
        <v>2794</v>
      </c>
      <c r="B42" s="366"/>
      <c r="C42" s="366"/>
      <c r="D42" s="366"/>
      <c r="E42" s="366"/>
      <c r="F42" s="366"/>
      <c r="G42" s="366" t="s">
        <v>2920</v>
      </c>
    </row>
    <row r="43" spans="1:7">
      <c r="A43" s="366" t="s">
        <v>1668</v>
      </c>
      <c r="B43" s="366"/>
      <c r="C43" s="366"/>
      <c r="D43" s="366"/>
      <c r="E43" s="366"/>
      <c r="F43" s="366"/>
      <c r="G43" s="366" t="s">
        <v>2861</v>
      </c>
    </row>
    <row r="44" spans="1:7">
      <c r="A44" s="366" t="s">
        <v>2795</v>
      </c>
      <c r="B44" s="366"/>
      <c r="C44" s="366"/>
      <c r="D44" s="366"/>
      <c r="E44" s="366"/>
      <c r="F44" s="366"/>
      <c r="G44" s="366" t="s">
        <v>2913</v>
      </c>
    </row>
    <row r="45" spans="1:7">
      <c r="A45" s="366" t="s">
        <v>2796</v>
      </c>
      <c r="B45" s="366"/>
      <c r="C45" s="366"/>
      <c r="D45" s="366"/>
      <c r="E45" s="366"/>
      <c r="F45" s="366"/>
      <c r="G45" s="366" t="s">
        <v>2921</v>
      </c>
    </row>
    <row r="53" spans="1:7">
      <c r="A53" s="887" t="s">
        <v>2886</v>
      </c>
      <c r="B53" s="366"/>
      <c r="C53" s="366"/>
      <c r="D53" s="366"/>
      <c r="E53" s="366"/>
      <c r="F53" s="366"/>
      <c r="G53" s="967" t="s">
        <v>2762</v>
      </c>
    </row>
    <row r="54" spans="1:7">
      <c r="A54" s="366" t="s">
        <v>2914</v>
      </c>
      <c r="B54" s="366" t="s">
        <v>2865</v>
      </c>
      <c r="C54" s="366"/>
      <c r="D54" s="366"/>
      <c r="E54" s="366"/>
      <c r="F54" s="366"/>
      <c r="G54" s="964" t="s">
        <v>2838</v>
      </c>
    </row>
    <row r="55" spans="1:7">
      <c r="A55" s="366" t="s">
        <v>2760</v>
      </c>
      <c r="B55" s="366" t="s">
        <v>2863</v>
      </c>
      <c r="C55" s="366"/>
      <c r="D55" s="366"/>
      <c r="E55" s="366"/>
      <c r="F55" s="366"/>
      <c r="G55" s="964" t="s">
        <v>2839</v>
      </c>
    </row>
    <row r="56" spans="1:7">
      <c r="A56" s="366" t="s">
        <v>2761</v>
      </c>
      <c r="B56" s="366" t="s">
        <v>2864</v>
      </c>
      <c r="C56" s="366"/>
      <c r="D56" s="366"/>
      <c r="E56" s="366"/>
      <c r="F56" s="366"/>
      <c r="G56" s="964" t="s">
        <v>2840</v>
      </c>
    </row>
    <row r="57" spans="1:7">
      <c r="A57" s="366" t="s">
        <v>2797</v>
      </c>
      <c r="B57" s="366" t="s">
        <v>472</v>
      </c>
      <c r="C57" s="366"/>
      <c r="D57" s="366"/>
      <c r="E57" s="366"/>
      <c r="F57" s="366"/>
      <c r="G57" s="964" t="s">
        <v>2841</v>
      </c>
    </row>
    <row r="59" spans="1:7">
      <c r="A59" s="887" t="s">
        <v>2758</v>
      </c>
      <c r="B59" s="366"/>
      <c r="C59" s="366"/>
      <c r="D59" s="366"/>
      <c r="E59" s="366"/>
      <c r="F59" s="366"/>
      <c r="G59" s="374" t="s">
        <v>2762</v>
      </c>
    </row>
    <row r="60" spans="1:7">
      <c r="A60" s="366" t="s">
        <v>2798</v>
      </c>
      <c r="B60" s="997"/>
      <c r="C60" s="366"/>
      <c r="D60" s="366"/>
      <c r="E60" s="366"/>
      <c r="F60" s="366"/>
      <c r="G60" s="961" t="s">
        <v>2842</v>
      </c>
    </row>
    <row r="61" spans="1:7">
      <c r="A61" s="366" t="s">
        <v>2799</v>
      </c>
      <c r="B61" s="997"/>
      <c r="C61" s="366"/>
      <c r="D61" s="366"/>
      <c r="E61" s="366"/>
      <c r="F61" s="366"/>
      <c r="G61" s="961" t="s">
        <v>2843</v>
      </c>
    </row>
    <row r="62" spans="1:7">
      <c r="A62" s="366" t="s">
        <v>2800</v>
      </c>
      <c r="B62" s="997"/>
      <c r="C62" s="366"/>
      <c r="D62" s="366"/>
      <c r="E62" s="366"/>
      <c r="F62" s="366"/>
      <c r="G62" s="961" t="s">
        <v>2844</v>
      </c>
    </row>
    <row r="66" spans="1:10">
      <c r="A66" s="965" t="s">
        <v>2888</v>
      </c>
      <c r="G66" s="963" t="s">
        <v>2877</v>
      </c>
    </row>
    <row r="67" spans="1:10">
      <c r="A67" s="887" t="s">
        <v>2756</v>
      </c>
      <c r="B67" s="887" t="s">
        <v>2757</v>
      </c>
      <c r="F67" s="887" t="s">
        <v>2758</v>
      </c>
      <c r="G67" s="887" t="s">
        <v>2762</v>
      </c>
      <c r="H67" s="566" t="s">
        <v>2759</v>
      </c>
      <c r="I67" s="566" t="s">
        <v>2760</v>
      </c>
      <c r="J67" s="566" t="s">
        <v>2761</v>
      </c>
    </row>
    <row r="68" spans="1:10" ht="45">
      <c r="A68" s="366" t="s">
        <v>2763</v>
      </c>
      <c r="B68" s="959">
        <f>RRImmédiat!C74</f>
        <v>2.4</v>
      </c>
      <c r="C68" s="366">
        <v>1</v>
      </c>
      <c r="D68" s="366">
        <v>2</v>
      </c>
      <c r="E68" s="366">
        <v>3</v>
      </c>
      <c r="F68" s="988" t="str">
        <f>IF(ISNUMBER(B68),IF(B68&gt;=3,"Suivi en cours",IF(B68&gt;1.2,"Vigilance",IF(B68&gt;=1.1,"Sensibilisation","Dans la norme"))),"")</f>
        <v>Vigilance</v>
      </c>
      <c r="G68" s="958" t="s">
        <v>2827</v>
      </c>
      <c r="H68" s="991" t="str" cm="1">
        <f t="array" ref="H68">_xlfn.TEXTJOIN("; ",TRUE,IF((RRImmédiat!$A$2:$A$200="Cardiovasculaires et circulatoires")*(ISNUMBER(RRImmédiat!$G$2:$G$200))*(RRImmédiat!$G$2:$G$200&gt;2)*(ISERROR(SEARCH("cancer",RRImmédiat!$B$2:$B$200))),RRImmédiat!$B$2:$B$200,""))</f>
        <v>Cardiopathie ischémique</v>
      </c>
      <c r="I68" s="991" t="str" cm="1">
        <f t="array" ref="I68">_xlfn.TEXTJOIN("; ",TRUE,IF((RRImmédiat!$A$2:$A$200="Cardiovasculaires et circulatoires")*(ISNUMBER(RRImmédiat!$G$2:$G$200))*(RRImmédiat!$G$2:$G$200&gt;1.2)*(RRImmédiat!$G$2:$G$200&lt;2)*(ISERROR(SEARCH("cancer",RRImmédiat!$B$2:$B$200))),RRImmédiat!$B$2:$B$200,""))</f>
        <v/>
      </c>
      <c r="J68" s="991" t="str" cm="1">
        <f t="array" ref="J68">_xlfn.TEXTJOIN("; ",TRUE,IF((RRImmédiat!$A$2:$A$200="Cardiovasculaires et circulatoires")*(ISNUMBER(RRImmédiat!$G$2:$G$200))*(RRImmédiat!$G$2:$G$200&gt;=1)*(RRImmédiat!$G$2:$G$200&lt;=1.2)*(ISERROR(SEARCH("cancer",RRImmédiat!$B$2:$B$200))),RRImmédiat!$B$2:$B$200,""))</f>
        <v>Thrombose vasculaire; Artériopathie des membres inférieurs; Hypertension artérielle</v>
      </c>
    </row>
    <row r="69" spans="1:10" ht="45">
      <c r="A69" s="366" t="s">
        <v>2764</v>
      </c>
      <c r="B69" s="959">
        <f>RRImmédiat!C79</f>
        <v>3</v>
      </c>
      <c r="C69" s="366">
        <v>1</v>
      </c>
      <c r="D69" s="366">
        <v>2</v>
      </c>
      <c r="E69" s="366">
        <v>3</v>
      </c>
      <c r="F69" s="988" t="str">
        <f t="shared" ref="F69:F78" si="0">IF(ISNUMBER(B69),IF(B69&gt;=3,"Suivi en cours",IF(B69&gt;1.2,"Vigilance",IF(B69&gt;=1.1,"Sensibilisation","Dans la norme"))),"")</f>
        <v>Suivi en cours</v>
      </c>
      <c r="G69" s="958" t="s">
        <v>2828</v>
      </c>
      <c r="H69" s="991" t="str" cm="1">
        <f t="array" ref="H69">_xlfn.TEXTJOIN("; ",TRUE,IF((RRImmédiat!$A$2:$A$200="Endocrino-Métabolisme")*(ISNUMBER(RRImmédiat!$G$2:$G$200))*(RRImmédiat!$G$2:$G$200&gt;2)*(ISERROR(SEARCH("cancer",RRImmédiat!$B$2:$B$200))),RRImmédiat!$B$2:$B$200,""))</f>
        <v>Dyslipidémie</v>
      </c>
      <c r="I69" s="991" t="str" cm="1">
        <f t="array" ref="I69">_xlfn.TEXTJOIN("; ",TRUE,IF((RRImmédiat!$A$2:$A$200="Endocrino-Métabolisme")*(ISNUMBER(RRImmédiat!$G$2:$G$200))*(RRImmédiat!$G$2:$G$200&gt;1.2)*(RRImmédiat!$G$2:$G$200&lt;2)*(ISERROR(SEARCH("cancer",RRImmédiat!$B$2:$B$200))),RRImmédiat!$B$2:$B$200,""))</f>
        <v/>
      </c>
      <c r="J69" s="991" t="str" cm="1">
        <f t="array" ref="J69">_xlfn.TEXTJOIN("; ",TRUE,IF((RRImmédiat!$A$2:$A$200="Endocrino-Métabolisme")*(ISNUMBER(RRImmédiat!$G$2:$G$200))*(RRImmédiat!$G$2:$G$200&gt;=1)*(RRImmédiat!$G$2:$G$200&lt;=1.2)*(ISERROR(SEARCH("cancer",RRImmédiat!$B$2:$B$200))),RRImmédiat!$B$2:$B$200,""))</f>
        <v>Diabète; Syndrome métabolique</v>
      </c>
    </row>
    <row r="70" spans="1:10" ht="45">
      <c r="A70" s="366" t="s">
        <v>2765</v>
      </c>
      <c r="B70" s="959">
        <f>RRImmédiat!C76</f>
        <v>1.2</v>
      </c>
      <c r="C70" s="366">
        <v>1</v>
      </c>
      <c r="D70" s="366">
        <v>2</v>
      </c>
      <c r="E70" s="366">
        <v>3</v>
      </c>
      <c r="F70" s="988" t="str">
        <f t="shared" si="0"/>
        <v>Sensibilisation</v>
      </c>
      <c r="G70" s="958" t="s">
        <v>2829</v>
      </c>
      <c r="H70" s="991" t="str" cm="1">
        <f t="array" ref="H70">_xlfn.TEXTJOIN("; ",TRUE,IF((RRImmédiat!$A$2:$A$200="Digestives")*(ISNUMBER(RRImmédiat!$G$2:$G$200))*(RRImmédiat!$G$2:$G$200&gt;2)*(ISERROR(SEARCH("cancer",RRImmédiat!$B$2:$B$200))),RRImmédiat!$B$2:$B$200,""))</f>
        <v/>
      </c>
      <c r="I70" s="991" t="str" cm="1">
        <f t="array" ref="I70">_xlfn.TEXTJOIN("; ",TRUE,IF((RRImmédiat!$A$2:$A$200="Digestives")*(ISNUMBER(RRImmédiat!$G$2:$G$200))*(RRImmédiat!$G$2:$G$200&gt;1.2)*(RRImmédiat!$G$2:$G$200&lt;2)*(ISERROR(SEARCH("cancer",RRImmédiat!$B$2:$B$200))),RRImmédiat!$B$2:$B$200,""))</f>
        <v/>
      </c>
      <c r="J70" s="991" t="str" cm="1">
        <f t="array" ref="J70">_xlfn.TEXTJOIN("; ",TRUE,IF((RRImmédiat!$A$2:$A$200="Digestives")*(ISNUMBER(RRImmédiat!$G$2:$G$200))*(RRImmédiat!$G$2:$G$200&gt;=1)*(RRImmédiat!$G$2:$G$200&lt;=1.2)*(ISERROR(SEARCH("cancer",RRImmédiat!$B$2:$B$200))),RRImmédiat!$B$2:$B$200,""))</f>
        <v/>
      </c>
    </row>
    <row r="71" spans="1:10" ht="45">
      <c r="A71" s="366" t="s">
        <v>2766</v>
      </c>
      <c r="B71" s="959">
        <f>RRImmédiat!C77</f>
        <v>1.2</v>
      </c>
      <c r="C71" s="366">
        <v>1</v>
      </c>
      <c r="D71" s="366">
        <v>2</v>
      </c>
      <c r="E71" s="366">
        <v>3</v>
      </c>
      <c r="F71" s="988" t="str">
        <f t="shared" si="0"/>
        <v>Sensibilisation</v>
      </c>
      <c r="G71" s="958" t="s">
        <v>2830</v>
      </c>
      <c r="H71" s="991" t="str" cm="1">
        <f t="array" ref="H71">_xlfn.TEXTJOIN("; ",TRUE,IF((RRImmédiat!$A$2:$A$200="Hépatiques")*(ISNUMBER(RRImmédiat!$G$2:$G$200))*(RRImmédiat!$G$2:$G$200&gt;2)*(ISERROR(SEARCH("cancer",RRImmédiat!$B$2:$B$200))),RRImmédiat!$B$2:$B$200,""))</f>
        <v/>
      </c>
      <c r="I71" s="991" t="str" cm="1">
        <f t="array" ref="I71">_xlfn.TEXTJOIN("; ",TRUE,IF((RRImmédiat!$A$2:$A$200="Hépatiques")*(ISNUMBER(RRImmédiat!$G$2:$G$200))*(RRImmédiat!$G$2:$G$200&gt;1.2)*(RRImmédiat!$G$2:$G$200&lt;2)*(ISERROR(SEARCH("cancer",RRImmédiat!$B$2:$B$200))),RRImmédiat!$B$2:$B$200,""))</f>
        <v/>
      </c>
      <c r="J71" s="991" t="str" cm="1">
        <f t="array" ref="J71">_xlfn.TEXTJOIN("; ",TRUE,IF((RRImmédiat!$A$2:$A$200="Hépatiques")*(ISNUMBER(RRImmédiat!$G$2:$G$200))*(RRImmédiat!$G$2:$G$200&gt;=1)*(RRImmédiat!$G$2:$G$200&lt;=1.2)*(ISERROR(SEARCH("cancer",RRImmédiat!$B$2:$B$200))),RRImmédiat!$B$2:$B$200,""))</f>
        <v/>
      </c>
    </row>
    <row r="72" spans="1:10" ht="45">
      <c r="A72" s="366" t="s">
        <v>2767</v>
      </c>
      <c r="B72" s="959">
        <f>RRImmédiat!C72</f>
        <v>0.9</v>
      </c>
      <c r="C72" s="366">
        <v>1</v>
      </c>
      <c r="D72" s="366">
        <v>2</v>
      </c>
      <c r="E72" s="366">
        <v>3</v>
      </c>
      <c r="F72" s="988" t="str">
        <f t="shared" si="0"/>
        <v>Dans la norme</v>
      </c>
      <c r="G72" s="958" t="s">
        <v>2831</v>
      </c>
      <c r="H72" s="991" t="str" cm="1">
        <f t="array" ref="H72">_xlfn.TEXTJOIN("; ",TRUE,IF((RRImmédiat!$A$2:$A$200="Uro-génital")*(ISNUMBER(RRImmédiat!$G$2:$G$200))*(RRImmédiat!$G$2:$G$200&gt;2)*(ISERROR(SEARCH("cancer",RRImmédiat!$B$2:$B$200))),RRImmédiat!$B$2:$B$200,""))</f>
        <v/>
      </c>
      <c r="I72" s="991" t="str" cm="1">
        <f t="array" ref="I72">_xlfn.TEXTJOIN("; ",TRUE,IF((RRImmédiat!$A$2:$A$200="Uro-génital")*(ISNUMBER(RRImmédiat!$G$2:$G$200))*(RRImmédiat!$G$2:$G$200&gt;1.2)*(RRImmédiat!$G$2:$G$200&lt;2)*(ISERROR(SEARCH("cancer",RRImmédiat!$B$2:$B$200))),RRImmédiat!$B$2:$B$200,""))</f>
        <v/>
      </c>
      <c r="J72" s="991" t="str" cm="1">
        <f t="array" ref="J72">_xlfn.TEXTJOIN("; ",TRUE,IF((RRImmédiat!$A$2:$A$200="Uro-génital")*(ISNUMBER(RRImmédiat!$G$2:$G$200))*(RRImmédiat!$G$2:$G$200&gt;=1)*(RRImmédiat!$G$2:$G$200&lt;=1.2)*(ISERROR(SEARCH("cancer",RRImmédiat!$B$2:$B$200))),RRImmédiat!$B$2:$B$200,""))</f>
        <v>Tumeur des voies excrétrices urinaires</v>
      </c>
    </row>
    <row r="73" spans="1:10" ht="45">
      <c r="A73" s="366" t="s">
        <v>2768</v>
      </c>
      <c r="B73" s="959">
        <f>RRImmédiat!C78</f>
        <v>1.8</v>
      </c>
      <c r="C73" s="366">
        <v>1</v>
      </c>
      <c r="D73" s="366">
        <v>2</v>
      </c>
      <c r="E73" s="366">
        <v>3</v>
      </c>
      <c r="F73" s="988" t="str">
        <f t="shared" si="0"/>
        <v>Vigilance</v>
      </c>
      <c r="G73" s="958" t="s">
        <v>2832</v>
      </c>
      <c r="H73" s="991" t="str" cm="1">
        <f t="array" ref="H73">_xlfn.TEXTJOIN("; ",TRUE,IF((RRImmédiat!$A$2:$A$200="Locomoteur &amp; peau")*(ISNUMBER(RRImmédiat!$G$2:$G$200))*(RRImmédiat!$G$2:$G$200&gt;2)*(ISERROR(SEARCH("cancer",RRImmédiat!$B$2:$B$200))),RRImmédiat!$B$2:$B$200,""))</f>
        <v/>
      </c>
      <c r="I73" s="991" t="str" cm="1">
        <f t="array" ref="I73">_xlfn.TEXTJOIN("; ",TRUE,IF((RRImmédiat!$A$2:$A$200="Locomoteur &amp; peau")*(ISNUMBER(RRImmédiat!$G$2:$G$200))*(RRImmédiat!$G$2:$G$200&gt;1.2)*(RRImmédiat!$G$2:$G$200&lt;2)*(ISERROR(SEARCH("cancer",RRImmédiat!$B$2:$B$200))),RRImmédiat!$B$2:$B$200,""))</f>
        <v>Rhumatisme inflammatoire et goutte</v>
      </c>
      <c r="J73" s="991" t="str" cm="1">
        <f t="array" ref="J73">_xlfn.TEXTJOIN("; ",TRUE,IF((RRImmédiat!$A$2:$A$200="Locomoteur &amp; peau")*(ISNUMBER(RRImmédiat!$G$2:$G$200))*(RRImmédiat!$G$2:$G$200&gt;=1)*(RRImmédiat!$G$2:$G$200&lt;=1.2)*(ISERROR(SEARCH("cancer",RRImmédiat!$B$2:$B$200))),RRImmédiat!$B$2:$B$200,""))</f>
        <v>Ostéopénie; Sarcopénie</v>
      </c>
    </row>
    <row r="74" spans="1:10" ht="45">
      <c r="A74" s="366" t="s">
        <v>2769</v>
      </c>
      <c r="B74" s="959">
        <f>RRImmédiat!C73</f>
        <v>2</v>
      </c>
      <c r="C74" s="366">
        <v>1</v>
      </c>
      <c r="D74" s="366">
        <v>2</v>
      </c>
      <c r="E74" s="366">
        <v>3</v>
      </c>
      <c r="F74" s="988" t="str">
        <f t="shared" si="0"/>
        <v>Vigilance</v>
      </c>
      <c r="G74" s="958" t="s">
        <v>2833</v>
      </c>
      <c r="H74" s="991" t="str" cm="1">
        <f t="array" ref="H74">_xlfn.TEXTJOIN("; ",TRUE,IF((RRImmédiat!$A$2:$A$200="Nerveux")*(ISNUMBER(RRImmédiat!$G$2:$G$200))*(RRImmédiat!$G$2:$G$200&gt;2)*(ISERROR(SEARCH("cancer",RRImmédiat!$B$2:$B$200))),RRImmédiat!$B$2:$B$200,""))</f>
        <v/>
      </c>
      <c r="I74" s="991" t="str" cm="1">
        <f t="array" ref="I74">_xlfn.TEXTJOIN("; ",TRUE,IF((RRImmédiat!$A$2:$A$200="Nerveux")*(ISNUMBER(RRImmédiat!$G$2:$G$200))*(RRImmédiat!$G$2:$G$200&gt;1.2)*(RRImmédiat!$G$2:$G$200&lt;2),RRImmédiat!$B$2:$B$200,""))</f>
        <v/>
      </c>
      <c r="J74" s="991" t="str" cm="1">
        <f t="array" ref="J74">_xlfn.TEXTJOIN("; ",TRUE,IF((RRImmédiat!$A$2:$A$200="Nerveux")*(ISNUMBER(RRImmédiat!$G$2:$G$200))*(RRImmédiat!$G$2:$G$200&gt;=1)*(RRImmédiat!$G$2:$G$200&lt;=1.2)*(ISERROR(SEARCH("cancer",RRImmédiat!$B$2:$B$200))),RRImmédiat!$B$2:$B$200,""))</f>
        <v>Dépression; Burn-out</v>
      </c>
    </row>
    <row r="75" spans="1:10" ht="45">
      <c r="A75" s="366" t="s">
        <v>2770</v>
      </c>
      <c r="B75" s="959">
        <f>RRImmédiat!C75</f>
        <v>3</v>
      </c>
      <c r="C75" s="366">
        <v>1</v>
      </c>
      <c r="D75" s="366">
        <v>2</v>
      </c>
      <c r="E75" s="366">
        <v>3</v>
      </c>
      <c r="F75" s="988" t="str">
        <f t="shared" si="0"/>
        <v>Suivi en cours</v>
      </c>
      <c r="G75" s="958" t="s">
        <v>2834</v>
      </c>
      <c r="H75" s="991" t="str" cm="1">
        <f t="array" ref="H75">_xlfn.TEXTJOIN("; ",TRUE,IF((RRImmédiat!$A$2:$A$200="Respiratoire")*(ISNUMBER(RRImmédiat!$G$2:$G$200))*(RRImmédiat!$G$2:$G$200&gt;2)*(ISERROR(SEARCH("cancer",RRImmédiat!$B$2:$B$200))),RRImmédiat!$B$2:$B$200,""))</f>
        <v>Asthme; Pollinose saisonnière (rhume des foins)</v>
      </c>
      <c r="I75" s="991" t="str" cm="1">
        <f t="array" ref="I75">_xlfn.TEXTJOIN("; ",TRUE,IF((RRImmédiat!$A$2:$A$200="Respiratoire")*(ISNUMBER(RRImmédiat!$G$2:$G$200))*(RRImmédiat!$G$2:$G$200&gt;1.2)*(RRImmédiat!$G$2:$G$200&lt;2)*(ISERROR(SEARCH("cancer",RRImmédiat!$B$2:$B$200))),RRImmédiat!$B$2:$B$200,""))</f>
        <v/>
      </c>
      <c r="J75" s="991" t="str" cm="1">
        <f t="array" ref="J75">_xlfn.TEXTJOIN("; ",TRUE,IF((RRImmédiat!$A$2:$A$200="Respiratoire")*(ISNUMBER(RRImmédiat!$G$2:$G$200))*(RRImmédiat!$G$2:$G$200&gt;=1)*(RRImmédiat!$G$2:$G$200&lt;=1.2)*(ISERROR(SEARCH("cancer",RRImmédiat!$B$2:$B$200))),RRImmédiat!$B$2:$B$200,""))</f>
        <v>BPCO (Bronchopneumopathie chronique obstructive)</v>
      </c>
    </row>
    <row r="76" spans="1:10" ht="45">
      <c r="A76" s="366" t="s">
        <v>2383</v>
      </c>
      <c r="B76" s="959">
        <f>IF(AUTOQUESTIONNAIRE!K153=0,1,AUTOQUESTIONNAIRE!K153)</f>
        <v>3</v>
      </c>
      <c r="C76" s="366">
        <v>1</v>
      </c>
      <c r="D76" s="366">
        <v>2</v>
      </c>
      <c r="E76" s="366">
        <v>3</v>
      </c>
      <c r="F76" s="988" t="str">
        <f t="shared" si="0"/>
        <v>Suivi en cours</v>
      </c>
      <c r="G76" s="958" t="s">
        <v>2835</v>
      </c>
      <c r="H76" s="991"/>
      <c r="I76" s="991" t="str">
        <f>IF(AUTOQUESTIONNAIRE!K187&gt;2,_xlfn.TEXTJOIN("; ",TRUE,IF((AUTOQUESTIONNAIRE!F186=1)+(AUTOQUESTIONNAIRE!F267&lt;=16)&gt;=1,"Vision",""),IF(AUTOQUESTIONNAIRE!F187=1,"Audition","")),"")</f>
        <v/>
      </c>
      <c r="J76" s="991" t="str">
        <f>IF((AUTOQUESTIONNAIRE!K187&gt;1.2)*(AUTOQUESTIONNAIRE!K187&lt;2),_xlfn.TEXTJOIN("; ",TRUE,IF(AUTOQUESTIONNAIRE!F186=1,"Vision",""),IF(AUTOQUESTIONNAIRE!F267&lt;=16,"Vision",""),IF(AUTOQUESTIONNAIRE!F187=1,"Audition","")),"")</f>
        <v/>
      </c>
    </row>
    <row r="77" spans="1:10" ht="45">
      <c r="A77" s="366" t="s">
        <v>1464</v>
      </c>
      <c r="B77" s="959">
        <f>RRImmédiat!C71</f>
        <v>0.9</v>
      </c>
      <c r="C77" s="366">
        <v>1</v>
      </c>
      <c r="D77" s="366">
        <v>2</v>
      </c>
      <c r="E77" s="366">
        <v>3</v>
      </c>
      <c r="F77" s="988" t="str">
        <f t="shared" si="0"/>
        <v>Dans la norme</v>
      </c>
      <c r="G77" s="958" t="s">
        <v>2836</v>
      </c>
      <c r="H77" s="991" t="str" cm="1">
        <f t="array" ref="H77">_xlfn.TEXTJOIN("; ",TRUE,IF((RRImmédiat!$A$2:$A$200="Uro")*(ISNUMBER(RRImmédiat!$G$2:$G$200))*(RRImmédiat!$G$2:$G$200&gt;2)*(ISERROR(SEARCH("cancer",RRImmédiat!$B$2:$B$200)))*(ISERROR(SEARCH("tumeur",RRImmédiat!$B$2:$B$200))),RRImmédiat!$B$2:$B$200,""))</f>
        <v/>
      </c>
      <c r="I77" s="991" t="str" cm="1">
        <f t="array" ref="I77">_xlfn.TEXTJOIN("; ",TRUE,IF((RRImmédiat!$A$2:$A$200="Uro")*(ISNUMBER(RRImmédiat!$G$2:$G$200))*(RRImmédiat!$G$2:$G$200&gt;1.2)*(RRImmédiat!$G$2:$G$200&lt;2)*(ISERROR(SEARCH("cancer",RRImmédiat!$B$2:$B$200)))*(ISERROR(SEARCH("tumeur",RRImmédiat!$B$2:$B$200))),RRImmédiat!$B$2:$B$200,""))</f>
        <v/>
      </c>
      <c r="J77" s="991" t="str" cm="1">
        <f t="array" ref="J77">_xlfn.TEXTJOIN("; ",TRUE,IF((RRImmédiat!$A$2:$A$200="Uro")*(ISNUMBER(RRImmédiat!$G$2:$G$200))*(RRImmédiat!$G$2:$G$200&gt;=1)*(RRImmédiat!$G$2:$G$200&lt;=1.2)*(ISERROR(SEARCH("cancer",RRImmédiat!$B$2:$B$200)))*(ISERROR(SEARCH("tumeur",RRImmédiat!$B$2:$B$200))),RRImmédiat!$B$2:$B$200,""))</f>
        <v/>
      </c>
    </row>
    <row r="78" spans="1:10" ht="45">
      <c r="A78" s="366" t="s">
        <v>1458</v>
      </c>
      <c r="B78" s="959">
        <f>RRImmédiat!C70</f>
        <v>1.2</v>
      </c>
      <c r="C78" s="366">
        <v>1</v>
      </c>
      <c r="D78" s="366">
        <v>2</v>
      </c>
      <c r="E78" s="366">
        <v>3</v>
      </c>
      <c r="F78" s="988" t="str">
        <f t="shared" si="0"/>
        <v>Sensibilisation</v>
      </c>
      <c r="G78" s="958" t="s">
        <v>2837</v>
      </c>
      <c r="H78" s="991" t="str" cm="1">
        <f t="array" ref="H78">_xlfn.TEXTJOIN("; ",TRUE,IF((ISNUMBER(RRImmédiat!$G$2:$G$200))*(RRImmédiat!$G$2:$G$200&gt;2)*((ISNUMBER(SEARCH("cancer",RRImmédiat!$B$2:$B$200)))+(ISNUMBER(SEARCH("tumeur",RRImmédiat!$B$2:$B$200)))),TRIM(SUBSTITUTE(SUBSTITUTE(SUBSTITUTE(SUBSTITUTE(SUBSTITUTE(SUBSTITUTE(RRImmédiat!$B$2:$B$200,"Cancer des ",""),"Cancer de ",""),"Cancer du ",""),"Cancer ",""),"Tumeur des ",""),"Tumeur ","")),""))</f>
        <v/>
      </c>
      <c r="I78" s="991" t="str" cm="1">
        <f t="array" ref="I78">_xlfn.TEXTJOIN("; ",TRUE,IF((ISNUMBER(RRImmédiat!$G$2:$G$200))*(RRImmédiat!$G$2:$G$200&gt;1.2)*(RRImmédiat!$G$2:$G$200&lt;2)*((ISNUMBER(SEARCH("cancer",RRImmédiat!$B$2:$B$200)))+(ISNUMBER(SEARCH("tumeur",RRImmédiat!$B$2:$B$200)))),TRIM(SUBSTITUTE(SUBSTITUTE(SUBSTITUTE(SUBSTITUTE(SUBSTITUTE(SUBSTITUTE(RRImmédiat!$B$2:$B$200,"Cancer des ",""),"Cancer de ",""),"Cancer du ",""),"Cancer ",""),"Tumeur des ",""),"Tumeur ","")),""))</f>
        <v/>
      </c>
      <c r="J78" s="991" t="str" cm="1">
        <f t="array" ref="J78">_xlfn.TEXTJOIN("; ",TRUE,IF((ISNUMBER(RRImmédiat!$G$2:$G$200))*(RRImmédiat!$G$2:$G$200&gt;=1)*(RRImmédiat!$G$2:$G$200&lt;=1.2)*((ISNUMBER(SEARCH("cancer",RRImmédiat!$B$2:$B$200)))+(ISNUMBER(SEARCH("tumeur",RRImmédiat!$B$2:$B$200)))),TRIM(SUBSTITUTE(SUBSTITUTE(SUBSTITUTE(SUBSTITUTE(SUBSTITUTE(SUBSTITUTE(RRImmédiat!$B$2:$B$200,"Cancer des ",""),"Cancer de ",""),"Cancer du ",""),"Cancer ",""),"Tumeur des ",""),"Tumeur ","")),""))</f>
        <v>côlon et du rectum; poumon et des bronches; Cancers du sein; rein; voies excrétrices urinaires</v>
      </c>
    </row>
    <row r="79" spans="1:10">
      <c r="B79" s="959">
        <v>1</v>
      </c>
    </row>
    <row r="80" spans="1:10">
      <c r="B80" s="28"/>
    </row>
    <row r="81" spans="1:7">
      <c r="B81" s="28"/>
    </row>
    <row r="82" spans="1:7">
      <c r="B82" s="28"/>
    </row>
    <row r="83" spans="1:7">
      <c r="B83" s="28"/>
    </row>
    <row r="84" spans="1:7">
      <c r="B84" s="28"/>
    </row>
    <row r="85" spans="1:7">
      <c r="B85" s="28"/>
    </row>
    <row r="86" spans="1:7">
      <c r="B86" s="28"/>
    </row>
    <row r="87" spans="1:7">
      <c r="B87" s="28"/>
    </row>
    <row r="89" spans="1:7">
      <c r="A89" s="972" t="s">
        <v>2890</v>
      </c>
      <c r="B89" s="366"/>
      <c r="C89" s="366"/>
      <c r="D89" s="366"/>
      <c r="E89" s="366"/>
      <c r="F89" s="366"/>
      <c r="G89" s="973" t="s">
        <v>2846</v>
      </c>
    </row>
    <row r="90" spans="1:7">
      <c r="A90" s="887" t="s">
        <v>240</v>
      </c>
      <c r="B90" s="887" t="s">
        <v>2677</v>
      </c>
      <c r="C90" s="366"/>
      <c r="D90" s="366"/>
      <c r="E90" s="366"/>
      <c r="F90" s="887" t="s">
        <v>2758</v>
      </c>
      <c r="G90" s="366"/>
    </row>
    <row r="91" spans="1:7">
      <c r="A91" s="366" t="s">
        <v>251</v>
      </c>
      <c r="B91" s="960">
        <f>1-AUTOQUESTIONNAIRE!K141</f>
        <v>0.66666666666666674</v>
      </c>
      <c r="C91" s="366"/>
      <c r="D91" s="366"/>
      <c r="E91" s="366"/>
      <c r="F91" s="988" t="str">
        <f t="shared" ref="F91:F98" si="1">IF(ISNUMBER(B91),IF(B91&gt;0.75,"Norme",IF(B91&gt;=0.51,"Sensibilisation","Vigilance")),"")</f>
        <v>Sensibilisation</v>
      </c>
      <c r="G91" s="366"/>
    </row>
    <row r="92" spans="1:7">
      <c r="A92" s="366" t="s">
        <v>776</v>
      </c>
      <c r="B92" s="960">
        <f>1-AUTOQUESTIONNAIRE!K142</f>
        <v>1</v>
      </c>
      <c r="C92" s="366"/>
      <c r="D92" s="366"/>
      <c r="E92" s="366"/>
      <c r="F92" s="988" t="str">
        <f t="shared" si="1"/>
        <v>Norme</v>
      </c>
      <c r="G92" s="366"/>
    </row>
    <row r="93" spans="1:7">
      <c r="A93" s="366" t="s">
        <v>2771</v>
      </c>
      <c r="B93" s="960">
        <f>1-AUTOQUESTIONNAIRE!K143</f>
        <v>0.93333333333333335</v>
      </c>
      <c r="C93" s="366"/>
      <c r="D93" s="366"/>
      <c r="E93" s="366"/>
      <c r="F93" s="988" t="str">
        <f t="shared" si="1"/>
        <v>Norme</v>
      </c>
      <c r="G93" s="366"/>
    </row>
    <row r="94" spans="1:7">
      <c r="A94" s="366" t="s">
        <v>2772</v>
      </c>
      <c r="B94" s="960">
        <f>1-AUTOQUESTIONNAIRE!K144</f>
        <v>1</v>
      </c>
      <c r="C94" s="366"/>
      <c r="D94" s="366"/>
      <c r="E94" s="366"/>
      <c r="F94" s="988" t="str">
        <f t="shared" si="1"/>
        <v>Norme</v>
      </c>
      <c r="G94" s="366"/>
    </row>
    <row r="95" spans="1:7">
      <c r="A95" s="366" t="s">
        <v>2374</v>
      </c>
      <c r="B95" s="960">
        <f>1-AUTOQUESTIONNAIRE!K145</f>
        <v>0.625</v>
      </c>
      <c r="C95" s="366"/>
      <c r="D95" s="366"/>
      <c r="E95" s="366"/>
      <c r="F95" s="988" t="str">
        <f t="shared" si="1"/>
        <v>Sensibilisation</v>
      </c>
      <c r="G95" s="366"/>
    </row>
    <row r="96" spans="1:7">
      <c r="A96" s="366" t="s">
        <v>2679</v>
      </c>
      <c r="B96" s="960">
        <f>AUTOQUESTIONNAIRE!K137</f>
        <v>0.25</v>
      </c>
      <c r="C96" s="366"/>
      <c r="D96" s="366"/>
      <c r="E96" s="366"/>
      <c r="F96" s="988" t="str">
        <f t="shared" si="1"/>
        <v>Vigilance</v>
      </c>
      <c r="G96" s="366"/>
    </row>
    <row r="97" spans="1:7">
      <c r="A97" s="366" t="s">
        <v>745</v>
      </c>
      <c r="B97" s="960">
        <f>AUTOQUESTIONNAIRE!K146</f>
        <v>1</v>
      </c>
      <c r="C97" s="366"/>
      <c r="D97" s="366"/>
      <c r="E97" s="366"/>
      <c r="F97" s="988" t="str">
        <f t="shared" si="1"/>
        <v>Norme</v>
      </c>
      <c r="G97" s="366"/>
    </row>
    <row r="98" spans="1:7">
      <c r="A98" s="366" t="s">
        <v>746</v>
      </c>
      <c r="B98" s="960">
        <f>AUTOQUESTIONNAIRE!K147</f>
        <v>0.5</v>
      </c>
      <c r="C98" s="366"/>
      <c r="D98" s="366"/>
      <c r="E98" s="366"/>
      <c r="F98" s="988" t="str">
        <f t="shared" si="1"/>
        <v>Vigilance</v>
      </c>
      <c r="G98" s="366"/>
    </row>
    <row r="105" spans="1:7">
      <c r="A105" s="972" t="s">
        <v>2891</v>
      </c>
      <c r="B105" s="366"/>
      <c r="C105" s="366"/>
      <c r="D105" s="366"/>
      <c r="E105" s="366"/>
      <c r="F105" s="366"/>
      <c r="G105" s="973" t="s">
        <v>2845</v>
      </c>
    </row>
    <row r="106" spans="1:7">
      <c r="A106" s="887" t="s">
        <v>2773</v>
      </c>
      <c r="B106" s="981" t="str">
        <f>IF(AUTOQUESTIONNAIRE!F344="","",IF(AUTOQUESTIONNAIRE!F344=0,"",AUTOQUESTIONNAIRE!F344))</f>
        <v>Mon arthrose</v>
      </c>
      <c r="C106" s="366"/>
      <c r="D106" s="366"/>
      <c r="E106" s="366"/>
      <c r="F106" s="366"/>
      <c r="G106" s="366"/>
    </row>
    <row r="107" spans="1:7">
      <c r="A107" s="859"/>
      <c r="B107" s="980"/>
    </row>
    <row r="108" spans="1:7">
      <c r="A108" s="859"/>
      <c r="B108" s="980"/>
    </row>
    <row r="109" spans="1:7">
      <c r="A109" s="859"/>
      <c r="B109" s="980"/>
    </row>
    <row r="110" spans="1:7">
      <c r="A110" s="859"/>
      <c r="B110" s="980"/>
    </row>
    <row r="111" spans="1:7">
      <c r="A111" s="859"/>
      <c r="B111" s="980"/>
    </row>
    <row r="113" spans="1:7">
      <c r="A113" s="972" t="s">
        <v>2892</v>
      </c>
      <c r="B113" s="366"/>
      <c r="C113" s="366"/>
      <c r="D113" s="366"/>
      <c r="E113" s="366"/>
      <c r="F113" s="366"/>
      <c r="G113" s="973" t="s">
        <v>2826</v>
      </c>
    </row>
    <row r="114" spans="1:7">
      <c r="A114" s="887" t="s">
        <v>2774</v>
      </c>
      <c r="B114" s="887" t="s">
        <v>2677</v>
      </c>
      <c r="C114" s="366"/>
      <c r="D114" s="366"/>
      <c r="E114" s="366"/>
      <c r="F114" s="366"/>
      <c r="G114" s="374" t="s">
        <v>2762</v>
      </c>
    </row>
    <row r="115" spans="1:7">
      <c r="A115" s="366" t="s">
        <v>2866</v>
      </c>
      <c r="B115" s="985">
        <f>AUTOQUESTIONNAIRE!F218</f>
        <v>110</v>
      </c>
      <c r="C115" s="366"/>
      <c r="D115" s="366"/>
      <c r="E115" s="366"/>
      <c r="F115" s="366"/>
      <c r="G115" s="366" t="s">
        <v>2816</v>
      </c>
    </row>
    <row r="116" spans="1:7">
      <c r="A116" s="366" t="s">
        <v>2867</v>
      </c>
      <c r="B116" s="985">
        <f>AUTOQUESTIONNAIRE!F219</f>
        <v>65</v>
      </c>
      <c r="C116" s="366"/>
      <c r="D116" s="366"/>
      <c r="E116" s="366"/>
      <c r="F116" s="366"/>
      <c r="G116" s="366" t="s">
        <v>2817</v>
      </c>
    </row>
    <row r="117" spans="1:7">
      <c r="A117" s="366" t="s">
        <v>2868</v>
      </c>
      <c r="B117" s="985">
        <f>AUTOQUESTIONNAIRE!F217</f>
        <v>70</v>
      </c>
      <c r="C117" s="366"/>
      <c r="D117" s="366"/>
      <c r="E117" s="366"/>
      <c r="F117" s="366"/>
      <c r="G117" s="366" t="s">
        <v>2818</v>
      </c>
    </row>
    <row r="118" spans="1:7" ht="60">
      <c r="A118" s="958" t="s">
        <v>2869</v>
      </c>
      <c r="B118" s="985" t="str">
        <f>IF(ISNUMBER(SEARCH("Cholestérol",B21)),"","N/A")</f>
        <v/>
      </c>
      <c r="C118" s="366"/>
      <c r="D118" s="366"/>
      <c r="E118" s="366"/>
      <c r="F118" s="366"/>
      <c r="G118" s="366" t="s">
        <v>2819</v>
      </c>
    </row>
    <row r="119" spans="1:7">
      <c r="A119" s="366" t="s">
        <v>2870</v>
      </c>
      <c r="B119" s="985">
        <f>AUTOQUESTIONNAIRE!F228</f>
        <v>99</v>
      </c>
      <c r="C119" s="366"/>
      <c r="D119" s="366"/>
      <c r="E119" s="366"/>
      <c r="F119" s="366"/>
      <c r="G119" s="366" t="s">
        <v>2820</v>
      </c>
    </row>
    <row r="120" spans="1:7">
      <c r="A120" s="366" t="s">
        <v>2871</v>
      </c>
      <c r="B120" s="985" t="str">
        <f>IF(ISNUMBER(SEARCH("Glycémie",B21)),"","N/A")</f>
        <v/>
      </c>
      <c r="C120" s="366"/>
      <c r="D120" s="366"/>
      <c r="E120" s="366"/>
      <c r="F120" s="366"/>
      <c r="G120" s="366" t="s">
        <v>2821</v>
      </c>
    </row>
    <row r="121" spans="1:7">
      <c r="A121" s="366" t="s">
        <v>2872</v>
      </c>
      <c r="B121" s="985" t="str">
        <f>IF(ISNUMBER(SEARCH("Hb1Ac",B21)),"","N/A")</f>
        <v/>
      </c>
      <c r="C121" s="366"/>
      <c r="D121" s="366"/>
      <c r="E121" s="366"/>
      <c r="F121" s="366"/>
      <c r="G121" s="366" t="s">
        <v>2822</v>
      </c>
    </row>
    <row r="122" spans="1:7">
      <c r="A122" s="366" t="s">
        <v>2873</v>
      </c>
      <c r="B122" s="985" t="str">
        <f>IF(ISNUMBER(SEARCH("Créatininémie",B21)),"","N/A")</f>
        <v/>
      </c>
      <c r="C122" s="366"/>
      <c r="D122" s="366"/>
      <c r="E122" s="366"/>
      <c r="F122" s="366"/>
      <c r="G122" s="366" t="s">
        <v>2823</v>
      </c>
    </row>
    <row r="123" spans="1:7">
      <c r="A123" s="366" t="s">
        <v>2874</v>
      </c>
      <c r="B123" s="985" t="str">
        <f>IF(AUTOQUESTIONNAIRE!F233=2,"Normal",IF(AUTOQUESTIONNAIRE!F233=1,"A vérifier",IF(AUTOQUESTIONNAIRE!F233&lt;&gt;0,AUTOQUESTIONNAIRE!F233,IF(AUTOQUESTIONNAIRE!F152=1,"A faire","N/A"))))</f>
        <v>N/A</v>
      </c>
      <c r="C123" s="366"/>
      <c r="D123" s="366"/>
      <c r="E123" s="366"/>
      <c r="F123" s="366"/>
      <c r="G123" s="366" t="s">
        <v>2824</v>
      </c>
    </row>
    <row r="124" spans="1:7" ht="30">
      <c r="A124" s="958" t="s">
        <v>2875</v>
      </c>
      <c r="B124" s="985" t="str">
        <f>IF(AUTOQUESTIONNAIRE!F236=2,"Normal",IF(AUTOQUESTIONNAIRE!F236=1,"A vérifier",IF(AUTOQUESTIONNAIRE!F236&lt;&gt;0,AUTOQUESTIONNAIRE!F236,IF(AUTOQUESTIONNAIRE!F4&gt;=50,"A faire","N/A"))))</f>
        <v>A vérifier</v>
      </c>
      <c r="C124" s="366"/>
      <c r="D124" s="366"/>
      <c r="E124" s="366"/>
      <c r="F124" s="366"/>
      <c r="G124" s="366" t="s">
        <v>2825</v>
      </c>
    </row>
    <row r="125" spans="1:7">
      <c r="A125" s="860"/>
      <c r="B125" s="968"/>
    </row>
    <row r="126" spans="1:7">
      <c r="A126" s="860"/>
      <c r="B126" s="968"/>
    </row>
    <row r="127" spans="1:7">
      <c r="A127" s="860"/>
      <c r="B127" s="968"/>
    </row>
    <row r="128" spans="1:7">
      <c r="A128" s="860"/>
      <c r="B128" s="968"/>
    </row>
    <row r="129" spans="1:8">
      <c r="A129" s="860"/>
      <c r="B129" s="968"/>
    </row>
    <row r="130" spans="1:8">
      <c r="A130" s="860"/>
      <c r="B130" s="968"/>
    </row>
    <row r="131" spans="1:8">
      <c r="A131" s="965" t="s">
        <v>2895</v>
      </c>
      <c r="B131" s="968"/>
    </row>
    <row r="132" spans="1:8">
      <c r="A132" s="887" t="s">
        <v>2894</v>
      </c>
      <c r="B132" s="988" t="str">
        <f>_xlfn.TEXTJOIN("; ",TRUE,IF(AUTOQUESTIONNAIRE!F68=1,"Tabac",""),IF(AUTOQUESTIONNAIRE!F251=1,"Vapotage",""),IF(AUTOQUESTIONNAIRE!F71=1,"Alcool",""),IF(AUTOQUESTIONNAIRE!F74=1,"Substances récréatives",""),IF(AUTOQUESTIONNAIRE!F87=3,"Ecran",""),IF(AUTOQUESTIONNAIRE!F75=1,"Jeux",""))</f>
        <v>Tabac; Alcool; Substances récréatives; Ecran; Jeux</v>
      </c>
    </row>
    <row r="134" spans="1:8">
      <c r="G134" s="963" t="s">
        <v>2847</v>
      </c>
    </row>
    <row r="135" spans="1:8">
      <c r="A135" s="887" t="s">
        <v>2775</v>
      </c>
      <c r="B135" s="887" t="s">
        <v>2677</v>
      </c>
      <c r="F135" s="887" t="s">
        <v>2758</v>
      </c>
      <c r="G135" s="969" t="s">
        <v>2776</v>
      </c>
    </row>
    <row r="136" spans="1:8">
      <c r="A136" s="366" t="s">
        <v>2777</v>
      </c>
      <c r="B136" s="959">
        <f>1-AUTOQUESTIONNAIRE!K83</f>
        <v>1</v>
      </c>
      <c r="C136" s="149">
        <v>0</v>
      </c>
      <c r="D136" s="366">
        <v>0.5</v>
      </c>
      <c r="E136" s="366">
        <v>1</v>
      </c>
      <c r="F136" s="988" t="str">
        <f>IF(ISNUMBER(B136),IF(B136&gt;0.65,"Vigilance",IF(B136&gt;=0.3,"Sensibilisation","Norme")),"")</f>
        <v>Vigilance</v>
      </c>
      <c r="G136" s="970" t="s">
        <v>2848</v>
      </c>
    </row>
    <row r="137" spans="1:8">
      <c r="A137" s="366" t="s">
        <v>2778</v>
      </c>
      <c r="B137" s="959">
        <f>1-AUTOQUESTIONNAIRE!K70</f>
        <v>1</v>
      </c>
      <c r="C137" s="149">
        <v>0</v>
      </c>
      <c r="D137" s="366">
        <v>0.5</v>
      </c>
      <c r="E137" s="366">
        <v>1</v>
      </c>
      <c r="F137" s="988" t="str">
        <f t="shared" ref="F137:F146" si="2">IF(ISNUMBER(B137),IF(B137&gt;0.65,"Vigilance",IF(B137&gt;=0.3,"Sensibilisation","Norme")),"")</f>
        <v>Vigilance</v>
      </c>
      <c r="G137" s="970" t="s">
        <v>2876</v>
      </c>
      <c r="H137" s="968"/>
    </row>
    <row r="138" spans="1:8">
      <c r="A138" s="366" t="s">
        <v>2917</v>
      </c>
      <c r="B138" s="959">
        <f>1-MIN(AUTOQUESTIONNAIRE!K57,AUTOQUESTIONNAIRE!K58)</f>
        <v>0.8</v>
      </c>
      <c r="C138" s="149">
        <v>0</v>
      </c>
      <c r="D138" s="366">
        <v>0.5</v>
      </c>
      <c r="E138" s="366">
        <v>1</v>
      </c>
      <c r="F138" s="988" t="str">
        <f t="shared" si="2"/>
        <v>Vigilance</v>
      </c>
      <c r="G138" s="970" t="s">
        <v>2849</v>
      </c>
    </row>
    <row r="139" spans="1:8">
      <c r="A139" s="366" t="s">
        <v>2779</v>
      </c>
      <c r="B139" s="959">
        <f>1-AUTOQUESTIONNAIRE!K18</f>
        <v>1</v>
      </c>
      <c r="C139" s="149">
        <v>0</v>
      </c>
      <c r="D139" s="366">
        <v>0.5</v>
      </c>
      <c r="E139" s="366">
        <v>1</v>
      </c>
      <c r="F139" s="988" t="str">
        <f t="shared" si="2"/>
        <v>Vigilance</v>
      </c>
      <c r="G139" s="970" t="s">
        <v>2850</v>
      </c>
    </row>
    <row r="140" spans="1:8">
      <c r="A140" s="366" t="s">
        <v>2682</v>
      </c>
      <c r="B140" s="959">
        <f>1-AUTOQUESTIONNAIRE!K72</f>
        <v>0</v>
      </c>
      <c r="C140" s="149">
        <v>0</v>
      </c>
      <c r="D140" s="366">
        <v>0.5</v>
      </c>
      <c r="E140" s="366">
        <v>1</v>
      </c>
      <c r="F140" s="988" t="str">
        <f t="shared" si="2"/>
        <v>Norme</v>
      </c>
      <c r="G140" s="970" t="s">
        <v>2851</v>
      </c>
    </row>
    <row r="141" spans="1:8">
      <c r="A141" s="366" t="s">
        <v>2780</v>
      </c>
      <c r="B141" s="959">
        <f>1-AUTOQUESTIONNAIRE!K93</f>
        <v>0.19999999999999996</v>
      </c>
      <c r="C141" s="149">
        <v>0</v>
      </c>
      <c r="D141" s="366">
        <v>0.5</v>
      </c>
      <c r="E141" s="366">
        <v>1</v>
      </c>
      <c r="F141" s="988" t="str">
        <f t="shared" si="2"/>
        <v>Norme</v>
      </c>
      <c r="G141" s="970" t="s">
        <v>2852</v>
      </c>
    </row>
    <row r="142" spans="1:8">
      <c r="A142" s="366" t="s">
        <v>2680</v>
      </c>
      <c r="B142" s="959">
        <f>1-AUTOQUESTIONNAIRE!K81</f>
        <v>0.73684210526315785</v>
      </c>
      <c r="C142" s="149">
        <v>0</v>
      </c>
      <c r="D142" s="366">
        <v>0.5</v>
      </c>
      <c r="E142" s="366">
        <v>1</v>
      </c>
      <c r="F142" s="988" t="str">
        <f t="shared" si="2"/>
        <v>Vigilance</v>
      </c>
      <c r="G142" s="970" t="s">
        <v>2853</v>
      </c>
    </row>
    <row r="143" spans="1:8">
      <c r="A143" s="366" t="s">
        <v>2781</v>
      </c>
      <c r="B143" s="959">
        <f>1-AUTOQUESTIONNAIRE!K68</f>
        <v>1.1000000000000001</v>
      </c>
      <c r="C143" s="149">
        <v>0</v>
      </c>
      <c r="D143" s="366">
        <v>0.5</v>
      </c>
      <c r="E143" s="366">
        <v>1</v>
      </c>
      <c r="F143" s="988" t="str">
        <f t="shared" si="2"/>
        <v>Vigilance</v>
      </c>
      <c r="G143" s="970" t="s">
        <v>2854</v>
      </c>
    </row>
    <row r="144" spans="1:8">
      <c r="A144" s="366" t="s">
        <v>2782</v>
      </c>
      <c r="B144" s="959">
        <f>1-(MIN(AUTOQUESTIONNAIRE!K19,AUTOQUESTIONNAIRE!K159))</f>
        <v>1</v>
      </c>
      <c r="C144" s="149">
        <v>0</v>
      </c>
      <c r="D144" s="366">
        <v>0.5</v>
      </c>
      <c r="E144" s="366">
        <v>1</v>
      </c>
      <c r="F144" s="988" t="str">
        <f t="shared" si="2"/>
        <v>Vigilance</v>
      </c>
      <c r="G144" s="970" t="s">
        <v>2855</v>
      </c>
    </row>
    <row r="145" spans="1:7">
      <c r="A145" s="366" t="s">
        <v>2783</v>
      </c>
      <c r="B145" s="959">
        <f>1-AUTOQUESTIONNAIRE!K79</f>
        <v>0</v>
      </c>
      <c r="C145" s="149">
        <v>0</v>
      </c>
      <c r="D145" s="366">
        <v>0.5</v>
      </c>
      <c r="E145" s="366">
        <v>1</v>
      </c>
      <c r="F145" s="988" t="str">
        <f t="shared" si="2"/>
        <v>Norme</v>
      </c>
      <c r="G145" s="970" t="s">
        <v>2856</v>
      </c>
    </row>
    <row r="146" spans="1:7">
      <c r="A146" s="366" t="s">
        <v>2918</v>
      </c>
      <c r="B146" s="959">
        <f>1-AUTOQUESTIONNAIRE!K137</f>
        <v>0.75</v>
      </c>
      <c r="C146" s="149">
        <v>0</v>
      </c>
      <c r="D146" s="366">
        <v>0.5</v>
      </c>
      <c r="E146" s="366">
        <v>1</v>
      </c>
      <c r="F146" s="988" t="str">
        <f t="shared" si="2"/>
        <v>Vigilance</v>
      </c>
      <c r="G146" s="970" t="s">
        <v>2857</v>
      </c>
    </row>
    <row r="155" spans="1:7">
      <c r="A155" s="965" t="s">
        <v>2898</v>
      </c>
      <c r="G155" s="963" t="s">
        <v>2858</v>
      </c>
    </row>
    <row r="156" spans="1:7" ht="45">
      <c r="A156" s="999" t="s">
        <v>2896</v>
      </c>
      <c r="B156" s="985" t="e">
        <f ca="1">_xlfn.TEXTJOIN(", ",TRUE,IF(B23&lt;&gt;"","Dépistage",""),IF(B24&lt;&gt;"","Vaccin",""),IF(ISNUMBER(SEARCH("Bucco-dentaire",B22))+(ISNUMBER(SEARCH("Gynécologie",B22))*(AUTOQUESTIONNAIRE!F65&lt;&gt;1))+ISNUMBER(SEARCH("Ophtalmologie",B22)),"Consultation de routine",""),IF(AUTOQUESTIONNAIRE!F68=1,"Tabac",""),IF(AUTOQUESTIONNAIRE!F71=1,"Alcool",""))</f>
        <v>#NAME?</v>
      </c>
    </row>
    <row r="158" spans="1:7">
      <c r="A158" s="887" t="s">
        <v>2807</v>
      </c>
      <c r="B158" s="887" t="s">
        <v>2677</v>
      </c>
      <c r="C158" s="966" t="s">
        <v>2801</v>
      </c>
      <c r="D158" s="366"/>
      <c r="E158" s="366"/>
      <c r="F158" s="366"/>
      <c r="G158" s="887" t="s">
        <v>2762</v>
      </c>
    </row>
    <row r="159" spans="1:7">
      <c r="A159" s="366" t="s">
        <v>2784</v>
      </c>
      <c r="B159" s="1000">
        <f>AUTOQUESTIONNAIRE!F6-100-((AUTOQUESTIONNAIRE!F6-150)/4)</f>
        <v>72.5</v>
      </c>
      <c r="C159" s="366"/>
      <c r="D159" s="366"/>
      <c r="E159" s="366"/>
      <c r="F159" s="366"/>
      <c r="G159" s="1011" t="s">
        <v>2903</v>
      </c>
    </row>
    <row r="160" spans="1:7">
      <c r="A160" s="366" t="s">
        <v>2785</v>
      </c>
      <c r="B160" s="1001">
        <f>AUTOQUESTIONNAIRE!F7-(AUTOQUESTIONNAIRE!F7-B159)*0.4</f>
        <v>68</v>
      </c>
      <c r="C160" s="366"/>
      <c r="D160" s="366"/>
      <c r="E160" s="366"/>
      <c r="F160" s="366"/>
      <c r="G160" s="1013"/>
    </row>
    <row r="161" spans="1:7">
      <c r="A161" s="366" t="s">
        <v>594</v>
      </c>
      <c r="B161" s="989">
        <f>((10*AUTOQUESTIONNAIRE!F7)+(6.25*AUTOQUESTIONNAIRE!F6)-(5*AUTOQUESTIONNAIRE!F4+5))</f>
        <v>1445</v>
      </c>
      <c r="C161" s="985" t="str">
        <f>IF((B9&gt;=18)*(B9&lt;=25),"Oui","Non")</f>
        <v>Oui</v>
      </c>
      <c r="D161" s="366"/>
      <c r="E161" s="366"/>
      <c r="F161" s="366"/>
      <c r="G161" s="1013"/>
    </row>
    <row r="162" spans="1:7">
      <c r="A162" s="366" t="s">
        <v>2808</v>
      </c>
      <c r="B162" s="989">
        <f>B161*0.86</f>
        <v>1242.7</v>
      </c>
      <c r="C162" s="985" t="str">
        <f>IF(B9&gt;25,"Oui","Non")</f>
        <v>Non</v>
      </c>
      <c r="D162" s="366"/>
      <c r="E162" s="366"/>
      <c r="F162" s="366"/>
      <c r="G162" s="1013"/>
    </row>
    <row r="163" spans="1:7">
      <c r="A163" s="366" t="s">
        <v>2809</v>
      </c>
      <c r="B163" s="989">
        <f>B161*1.14</f>
        <v>1647.3</v>
      </c>
      <c r="C163" s="985" t="str">
        <f>IF(B9&lt;18,"Oui","Non")</f>
        <v>Non</v>
      </c>
      <c r="D163" s="366"/>
      <c r="E163" s="366"/>
      <c r="F163" s="366"/>
      <c r="G163" s="1012"/>
    </row>
    <row r="164" spans="1:7">
      <c r="B164" s="978"/>
      <c r="C164" s="974"/>
      <c r="G164" s="977"/>
    </row>
    <row r="165" spans="1:7">
      <c r="B165" s="978"/>
      <c r="C165" s="974"/>
      <c r="G165" s="977"/>
    </row>
    <row r="166" spans="1:7">
      <c r="B166" s="978"/>
      <c r="C166" s="974"/>
      <c r="G166" s="977"/>
    </row>
    <row r="168" spans="1:7">
      <c r="A168" s="887" t="s">
        <v>2804</v>
      </c>
      <c r="B168" s="887" t="s">
        <v>2677</v>
      </c>
      <c r="C168" s="366"/>
      <c r="D168" s="366"/>
      <c r="E168" s="366"/>
      <c r="F168" s="366"/>
      <c r="G168" s="887" t="s">
        <v>2762</v>
      </c>
    </row>
    <row r="169" spans="1:7" ht="144" customHeight="1">
      <c r="A169" s="366" t="s">
        <v>2786</v>
      </c>
      <c r="B169" s="987">
        <f>0.8*B159</f>
        <v>58</v>
      </c>
      <c r="C169" s="366"/>
      <c r="D169" s="366"/>
      <c r="E169" s="366"/>
      <c r="F169" s="366"/>
      <c r="G169" s="1011" t="s">
        <v>2902</v>
      </c>
    </row>
    <row r="170" spans="1:7">
      <c r="A170" s="366" t="s">
        <v>2787</v>
      </c>
      <c r="B170" s="578">
        <v>3.8</v>
      </c>
      <c r="C170" s="366"/>
      <c r="D170" s="366"/>
      <c r="E170" s="366"/>
      <c r="F170" s="366"/>
      <c r="G170" s="1013"/>
    </row>
    <row r="171" spans="1:7">
      <c r="A171" s="366" t="s">
        <v>1470</v>
      </c>
      <c r="B171" s="987">
        <f>IF(AUTOQUESTIONNAIRE!H3=1,2,1.8)</f>
        <v>1.8</v>
      </c>
      <c r="C171" s="366"/>
      <c r="D171" s="366"/>
      <c r="E171" s="366"/>
      <c r="F171" s="366"/>
      <c r="G171" s="1012"/>
    </row>
    <row r="172" spans="1:7">
      <c r="B172" s="1002"/>
      <c r="G172" s="977"/>
    </row>
    <row r="173" spans="1:7">
      <c r="B173" s="1002"/>
      <c r="G173" s="977"/>
    </row>
    <row r="174" spans="1:7">
      <c r="B174" s="1002"/>
      <c r="G174" s="977"/>
    </row>
    <row r="176" spans="1:7">
      <c r="A176" s="887" t="s">
        <v>2806</v>
      </c>
      <c r="B176" s="887" t="s">
        <v>2677</v>
      </c>
      <c r="C176" s="966" t="s">
        <v>2802</v>
      </c>
      <c r="D176" s="366"/>
      <c r="E176" s="366"/>
      <c r="F176" s="366"/>
      <c r="G176" s="887" t="s">
        <v>2762</v>
      </c>
    </row>
    <row r="177" spans="1:7" ht="216" customHeight="1">
      <c r="A177" s="366" t="s">
        <v>2788</v>
      </c>
      <c r="B177" s="989">
        <f>207.5-(0.78*AUTOQUESTIONNAIRE!F4)</f>
        <v>156.80000000000001</v>
      </c>
      <c r="C177" s="990" t="str">
        <f>IF(AUTOQUESTIONNAIRE!F3=1,"Oui","Non")</f>
        <v>Non</v>
      </c>
      <c r="D177" s="366"/>
      <c r="E177" s="366"/>
      <c r="F177" s="366"/>
      <c r="G177" s="1011" t="s">
        <v>2901</v>
      </c>
    </row>
    <row r="178" spans="1:7">
      <c r="A178" s="366" t="s">
        <v>2789</v>
      </c>
      <c r="B178" s="989">
        <f>208.3-(0.74*AUTOQUESTIONNAIRE!F4)</f>
        <v>160.20000000000002</v>
      </c>
      <c r="C178" s="990" t="str">
        <f>IF(AUTOQUESTIONNAIRE!F3=0,"Oui","Non")</f>
        <v>Oui</v>
      </c>
      <c r="D178" s="366"/>
      <c r="E178" s="366"/>
      <c r="F178" s="366"/>
      <c r="G178" s="1013"/>
    </row>
    <row r="179" spans="1:7">
      <c r="A179" s="997" t="s">
        <v>2790</v>
      </c>
      <c r="B179" s="989">
        <f>(70/100)*B177</f>
        <v>109.76</v>
      </c>
      <c r="C179" s="990" t="str">
        <f>IF(AUTOQUESTIONNAIRE!F3=1,"Oui","Non")</f>
        <v>Non</v>
      </c>
      <c r="D179" s="366"/>
      <c r="E179" s="366"/>
      <c r="F179" s="366"/>
      <c r="G179" s="1013"/>
    </row>
    <row r="180" spans="1:7">
      <c r="A180" s="997" t="s">
        <v>2791</v>
      </c>
      <c r="B180" s="989">
        <f>70%*B178</f>
        <v>112.14</v>
      </c>
      <c r="C180" s="990" t="str">
        <f>IF(AUTOQUESTIONNAIRE!F3=0,"Oui","Non")</f>
        <v>Oui</v>
      </c>
      <c r="D180" s="366"/>
      <c r="E180" s="366"/>
      <c r="F180" s="366"/>
      <c r="G180" s="1012"/>
    </row>
    <row r="181" spans="1:7">
      <c r="B181" s="978"/>
      <c r="C181" s="979"/>
    </row>
    <row r="182" spans="1:7">
      <c r="B182" s="978"/>
      <c r="C182" s="979"/>
    </row>
    <row r="183" spans="1:7">
      <c r="B183" s="978"/>
      <c r="C183" s="979"/>
    </row>
    <row r="185" spans="1:7">
      <c r="A185" s="887" t="s">
        <v>2810</v>
      </c>
      <c r="B185" s="887" t="s">
        <v>2677</v>
      </c>
      <c r="C185" s="966" t="s">
        <v>2897</v>
      </c>
      <c r="D185" s="366"/>
      <c r="E185" s="366"/>
      <c r="F185" s="366"/>
      <c r="G185" s="887" t="s">
        <v>2762</v>
      </c>
    </row>
    <row r="186" spans="1:7" ht="75">
      <c r="A186" s="366"/>
      <c r="B186" s="366"/>
      <c r="C186" s="988" t="str">
        <f>IF(AUTOQUESTIONNAIRE!F68=1,"Oui","Non")</f>
        <v>Oui</v>
      </c>
      <c r="D186" s="366"/>
      <c r="E186" s="366"/>
      <c r="F186" s="366"/>
      <c r="G186" s="1005" t="s">
        <v>2859</v>
      </c>
    </row>
    <row r="187" spans="1:7">
      <c r="G187" s="977"/>
    </row>
    <row r="188" spans="1:7">
      <c r="G188" s="977"/>
    </row>
    <row r="189" spans="1:7">
      <c r="G189" s="977"/>
    </row>
    <row r="191" spans="1:7">
      <c r="A191" s="887" t="s">
        <v>2811</v>
      </c>
      <c r="B191" s="887" t="s">
        <v>2677</v>
      </c>
      <c r="C191" s="966" t="s">
        <v>2897</v>
      </c>
      <c r="D191" s="366"/>
      <c r="E191" s="366"/>
      <c r="F191" s="366"/>
      <c r="G191" s="887" t="s">
        <v>2762</v>
      </c>
    </row>
    <row r="192" spans="1:7" ht="90">
      <c r="A192" s="366"/>
      <c r="B192" s="366"/>
      <c r="C192" s="988" t="str">
        <f>IF(AUTOQUESTIONNAIRE!F71=1,"Oui","Non")</f>
        <v>Oui</v>
      </c>
      <c r="D192" s="366"/>
      <c r="E192" s="366"/>
      <c r="F192" s="366"/>
      <c r="G192" s="1005" t="s">
        <v>2860</v>
      </c>
    </row>
    <row r="193" spans="1:7">
      <c r="G193" s="860"/>
    </row>
    <row r="194" spans="1:7">
      <c r="G194" s="860"/>
    </row>
    <row r="195" spans="1:7">
      <c r="G195" s="860"/>
    </row>
    <row r="197" spans="1:7">
      <c r="A197" s="962" t="s">
        <v>2919</v>
      </c>
      <c r="B197" s="887" t="s">
        <v>2677</v>
      </c>
      <c r="C197" s="966" t="s">
        <v>2897</v>
      </c>
      <c r="D197" s="366"/>
      <c r="E197" s="366"/>
      <c r="F197" s="366"/>
      <c r="G197" s="887" t="s">
        <v>2762</v>
      </c>
    </row>
    <row r="198" spans="1:7" ht="60">
      <c r="A198" s="366"/>
      <c r="B198" s="996" t="str">
        <f>AFaire!BB208&amp;AFaire!BC208&amp;AFaire!BD208</f>
        <v xml:space="preserve"> Vaccination Tetanos (diphtérie, coqueluche, polio), ou Test IgG,  Vaccination grippe, </v>
      </c>
      <c r="C198" s="988" t="str">
        <f>IF(LEN(TRIM(B198))&gt;0,"Oui","Non")</f>
        <v>Oui</v>
      </c>
      <c r="D198" s="366"/>
      <c r="E198" s="366"/>
      <c r="F198" s="366"/>
      <c r="G198" s="1005" t="s">
        <v>2905</v>
      </c>
    </row>
    <row r="199" spans="1:7">
      <c r="B199" s="976"/>
      <c r="G199" s="860"/>
    </row>
    <row r="200" spans="1:7">
      <c r="B200" s="976"/>
      <c r="G200" s="860"/>
    </row>
    <row r="201" spans="1:7">
      <c r="B201" s="976"/>
      <c r="G201" s="860"/>
    </row>
    <row r="202" spans="1:7">
      <c r="B202" s="971"/>
    </row>
    <row r="203" spans="1:7">
      <c r="A203" s="962" t="s">
        <v>2805</v>
      </c>
      <c r="B203" s="566" t="s">
        <v>2677</v>
      </c>
      <c r="C203" s="966" t="s">
        <v>2897</v>
      </c>
      <c r="D203" s="366"/>
      <c r="E203" s="366"/>
      <c r="F203" s="366"/>
      <c r="G203" s="887" t="s">
        <v>2762</v>
      </c>
    </row>
    <row r="204" spans="1:7" ht="43.15" customHeight="1">
      <c r="A204" s="366" t="s">
        <v>966</v>
      </c>
      <c r="B204" s="984" t="str">
        <f>AFaire!BG208&amp;AFaire!BN208&amp;AFaire!BO208&amp;AFaire!BP208&amp;AFaire!BQ208&amp;AFaire!AT208</f>
        <v xml:space="preserve">Prévention cancer du col utérin, Dépistage  cancer du sein, Dépistage  cancer du colon,  Dépistage cancer du poumon,  </v>
      </c>
      <c r="C204" s="988" t="str">
        <f>IF(LEN(TRIM(B204))&gt;0,"Oui","Non")</f>
        <v>Oui</v>
      </c>
      <c r="D204" s="366"/>
      <c r="E204" s="366"/>
      <c r="F204" s="366"/>
      <c r="G204" s="1011" t="s">
        <v>2900</v>
      </c>
    </row>
    <row r="205" spans="1:7">
      <c r="A205" s="366" t="s">
        <v>2803</v>
      </c>
      <c r="B205" s="985" t="str">
        <f>IF(ISNUMBER(SEARCH("Sommeil",B22)),",Dépistage apnée du sommeil","")</f>
        <v>,Dépistage apnée du sommeil</v>
      </c>
      <c r="C205" s="988" t="str">
        <f>IF(LEN(TRIM(B205))&gt;0,"Oui","Non")</f>
        <v>Oui</v>
      </c>
      <c r="D205" s="366"/>
      <c r="E205" s="366"/>
      <c r="F205" s="366"/>
      <c r="G205" s="1012"/>
    </row>
    <row r="206" spans="1:7">
      <c r="B206" s="974"/>
      <c r="G206" s="975"/>
    </row>
    <row r="207" spans="1:7">
      <c r="B207" s="974"/>
      <c r="G207" s="975"/>
    </row>
    <row r="208" spans="1:7">
      <c r="B208" s="974"/>
      <c r="G208" s="975"/>
    </row>
    <row r="209" spans="1:7">
      <c r="B209" s="971"/>
    </row>
    <row r="210" spans="1:7">
      <c r="A210" s="887" t="s">
        <v>2812</v>
      </c>
      <c r="B210" s="566" t="s">
        <v>2677</v>
      </c>
      <c r="C210" s="966" t="s">
        <v>2897</v>
      </c>
      <c r="D210" s="366"/>
      <c r="E210" s="366"/>
      <c r="F210" s="366"/>
      <c r="G210" s="887" t="s">
        <v>2762</v>
      </c>
    </row>
    <row r="211" spans="1:7" ht="45">
      <c r="A211" s="366"/>
      <c r="B211" s="985" t="str">
        <f>_xlfn.TEXTJOIN(", ",TRUE,IF(ISNUMBER(SEARCH("Bucco-dentaire",B22)),"Dentiste",""),IF((ISNUMBER(SEARCH("Gynécologie",B22)))*(AUTOQUESTIONNAIRE!F65&lt;&gt;1),"Gynécologue",""),IF(ISNUMBER(SEARCH("Ophtalmologie",B22)),"Ophtalmologue",""))</f>
        <v>Dentiste, Gynécologue, Ophtalmologue</v>
      </c>
      <c r="C211" s="988" t="str">
        <f>IF(LEN(TRIM(B211))&gt;0,"Oui","Non")</f>
        <v>Oui</v>
      </c>
      <c r="D211" s="366"/>
      <c r="E211" s="366"/>
      <c r="F211" s="366"/>
      <c r="G211" s="958" t="s">
        <v>2904</v>
      </c>
    </row>
    <row r="212" spans="1:7">
      <c r="B212" s="974"/>
      <c r="G212" s="860"/>
    </row>
    <row r="213" spans="1:7">
      <c r="B213" s="974"/>
      <c r="G213" s="860"/>
    </row>
    <row r="214" spans="1:7">
      <c r="B214" s="974"/>
      <c r="G214" s="860"/>
    </row>
    <row r="215" spans="1:7">
      <c r="B215" s="974"/>
      <c r="G215" s="860"/>
    </row>
    <row r="216" spans="1:7">
      <c r="B216" s="974"/>
      <c r="G216" s="860"/>
    </row>
    <row r="218" spans="1:7">
      <c r="A218" s="972" t="s">
        <v>2899</v>
      </c>
      <c r="B218" s="366"/>
      <c r="C218" s="366"/>
      <c r="D218" s="366"/>
      <c r="E218" s="366"/>
      <c r="F218" s="366"/>
      <c r="G218" s="973" t="s">
        <v>2862</v>
      </c>
    </row>
    <row r="219" spans="1:7">
      <c r="A219" s="566" t="s">
        <v>2793</v>
      </c>
      <c r="B219" s="566" t="s">
        <v>2677</v>
      </c>
      <c r="C219" s="578"/>
      <c r="D219" s="578"/>
      <c r="E219" s="578"/>
      <c r="F219" s="578"/>
      <c r="G219" s="566" t="s">
        <v>2762</v>
      </c>
    </row>
    <row r="220" spans="1:7">
      <c r="A220" s="578"/>
      <c r="B220" s="985" t="str">
        <f>IF(ISNUMBER(SEARCH("VitaD",B32)),A43,"")</f>
        <v>Vitamine D</v>
      </c>
      <c r="C220" s="578"/>
      <c r="D220" s="578"/>
      <c r="E220" s="578"/>
      <c r="F220" s="578"/>
      <c r="G220" s="985" t="str">
        <f>IF(ISNUMBER(SEARCH("VitaD",B32)),G43,"")</f>
        <v>&lt;p&gt;La &lt;strong&gt;vitamine D&lt;/strong&gt; contribue au maintien d'une ossature normale et au fonctionnement normal du système immunitaire.&lt;/p&gt;</v>
      </c>
    </row>
    <row r="221" spans="1:7">
      <c r="A221" s="578"/>
      <c r="B221" s="985" t="str">
        <f>IF(ISNUMBER(SEARCH("B12",B32)),A42,"")</f>
        <v>B12</v>
      </c>
      <c r="C221" s="578"/>
      <c r="D221" s="578"/>
      <c r="E221" s="578"/>
      <c r="F221" s="578"/>
      <c r="G221" s="985" t="str">
        <f>IF(ISNUMBER(SEARCH("B12",B32)),G42,"")</f>
        <v>&lt;p&gt;La &lt;strong&gt;vitamine B12&lt;/strong&gt; contribue au fonctionnement normal du système nerveux; à la formation normale de globules rouges et à réduire la fatigue.&lt;/p&gt;
&lt;p&gt;&lt;strong&gt;La vitamine B12&lt;/strong&gt; contribue au fonctionnement normal du système nerveux, à la formation normale des globules rouges et à la réduction de la fatigue. Une supplémentation est généralement recommandée en cas de régime végan.&lt;/p&gt;</v>
      </c>
    </row>
    <row r="222" spans="1:7">
      <c r="A222" s="578"/>
      <c r="B222" s="985" t="str">
        <f>IF(ISNUMBER(SEARCH("B6",B32)),A45,"")</f>
        <v>B6</v>
      </c>
      <c r="C222" s="578"/>
      <c r="D222" s="578"/>
      <c r="E222" s="578"/>
      <c r="F222" s="578"/>
      <c r="G222" s="985" t="str">
        <f>IF(ISNUMBER(SEARCH("B6",B32)),G45,"")</f>
        <v>&lt;p&gt;&lt;strong&gt;La vitamine B6&lt;/strong&gt; contribue au fonctionnement normal du système immunitaire, à une régulation normale de l'activité hormonale et à la réduction de la fatigue. Une supplémentation est généralement recommandée en cas de régime végan.&lt;/p&gt;</v>
      </c>
    </row>
    <row r="223" spans="1:7">
      <c r="A223" s="578"/>
      <c r="B223" s="985" t="str">
        <f>IF(ISNUMBER(SEARCH("ubiquinol",B32)),A44,"")</f>
        <v>Ubiquinol</v>
      </c>
      <c r="C223" s="578"/>
      <c r="D223" s="578"/>
      <c r="E223" s="578"/>
      <c r="F223" s="578"/>
      <c r="G223" s="985" t="str">
        <f>IF(ISNUMBER(SEARCH("B6",B32)),G44,"")</f>
        <v>&lt;p&gt;Un apport suffisant en &lt;strong&gt;ubiquinol&lt;/strong&gt; contribue au bon fonctionnement du métabolisme énergétique et au soutien de la vitalité cardiovasculaire.&lt;/p&gt;</v>
      </c>
    </row>
  </sheetData>
  <mergeCells count="4">
    <mergeCell ref="G204:G205"/>
    <mergeCell ref="G159:G163"/>
    <mergeCell ref="G169:G171"/>
    <mergeCell ref="G177:G180"/>
  </mergeCells>
  <conditionalFormatting sqref="B68:B87">
    <cfRule type="colorScale" priority="7">
      <colorScale>
        <cfvo type="min"/>
        <cfvo type="percentile" val="50"/>
        <cfvo type="max"/>
        <color rgb="FF63BE7B"/>
        <color rgb="FFFFEB84"/>
        <color rgb="FFF8696B"/>
      </colorScale>
    </cfRule>
    <cfRule type="colorScale" priority="8">
      <colorScale>
        <cfvo type="min"/>
        <cfvo type="percentile" val="50"/>
        <cfvo type="max"/>
        <color rgb="FF63BE7B"/>
        <color rgb="FFFFEB84"/>
        <color rgb="FFF8696B"/>
      </colorScale>
    </cfRule>
  </conditionalFormatting>
  <conditionalFormatting sqref="B91:B98">
    <cfRule type="colorScale" priority="6">
      <colorScale>
        <cfvo type="min"/>
        <cfvo type="percentile" val="50"/>
        <cfvo type="max"/>
        <color rgb="FFF8696B"/>
        <color rgb="FFFFEB84"/>
        <color rgb="FF63BE7B"/>
      </colorScale>
    </cfRule>
  </conditionalFormatting>
  <conditionalFormatting sqref="B136:B146">
    <cfRule type="colorScale" priority="1">
      <colorScale>
        <cfvo type="min"/>
        <cfvo type="percentile" val="50"/>
        <cfvo type="max"/>
        <color rgb="FF63BE7B"/>
        <color rgb="FFFFEB84"/>
        <color rgb="FFF8696B"/>
      </colorScale>
    </cfRule>
    <cfRule type="colorScale" priority="2">
      <colorScale>
        <cfvo type="min"/>
        <cfvo type="percentile" val="50"/>
        <cfvo type="max"/>
        <color rgb="FF63BE7B"/>
        <color rgb="FFFFEB84"/>
        <color rgb="FFF8696B"/>
      </colorScale>
    </cfRule>
    <cfRule type="colorScale" priority="3">
      <colorScale>
        <cfvo type="min"/>
        <cfvo type="percentile" val="50"/>
        <cfvo type="max"/>
        <color rgb="FFF8696B"/>
        <color rgb="FFFFEB84"/>
        <color rgb="FF63BE7B"/>
      </colorScale>
    </cfRule>
    <cfRule type="colorScale" priority="4">
      <colorScale>
        <cfvo type="min"/>
        <cfvo type="percentile" val="50"/>
        <cfvo type="max"/>
        <color rgb="FFF8696B"/>
        <color rgb="FFFFEB84"/>
        <color rgb="FF63BE7B"/>
      </colorScale>
    </cfRule>
    <cfRule type="colorScale" priority="5">
      <colorScale>
        <cfvo type="min"/>
        <cfvo type="percentile" val="50"/>
        <cfvo type="max"/>
        <color rgb="FF63BE7B"/>
        <color rgb="FFFFEB84"/>
        <color rgb="FFF8696B"/>
      </colorScale>
    </cfRule>
  </conditionalFormatting>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tabColor rgb="FF9966FF"/>
    <pageSetUpPr fitToPage="1"/>
  </sheetPr>
  <dimension ref="A1:H149"/>
  <sheetViews>
    <sheetView topLeftCell="A139" zoomScale="64" zoomScaleNormal="64" workbookViewId="0">
      <selection activeCell="E149" sqref="E149"/>
    </sheetView>
  </sheetViews>
  <sheetFormatPr baseColWidth="10" defaultColWidth="10.85546875" defaultRowHeight="21"/>
  <cols>
    <col min="1" max="1" width="69.85546875" style="450" customWidth="1"/>
    <col min="2" max="2" width="16.5703125" style="451" customWidth="1"/>
    <col min="3" max="3" width="144.42578125" style="452" customWidth="1"/>
    <col min="4" max="4" width="11.85546875" style="469" customWidth="1"/>
    <col min="5" max="5" width="15.7109375" style="450" customWidth="1"/>
    <col min="6" max="6" width="15.5703125" style="450" customWidth="1"/>
    <col min="7" max="7" width="17.140625" style="450" customWidth="1"/>
    <col min="8" max="16384" width="10.85546875" style="450"/>
  </cols>
  <sheetData>
    <row r="1" spans="1:8" ht="35.65" customHeight="1">
      <c r="A1" s="450" t="s">
        <v>98</v>
      </c>
      <c r="B1" s="451" t="s">
        <v>360</v>
      </c>
      <c r="C1" s="452" t="s">
        <v>300</v>
      </c>
      <c r="D1" s="701" t="s">
        <v>2062</v>
      </c>
      <c r="F1" s="450" t="s">
        <v>361</v>
      </c>
    </row>
    <row r="2" spans="1:8" s="460" customFormat="1">
      <c r="A2" s="453" t="s">
        <v>291</v>
      </c>
      <c r="B2" s="454"/>
      <c r="C2" s="455"/>
      <c r="D2" s="701"/>
      <c r="E2" s="456" t="s">
        <v>362</v>
      </c>
      <c r="F2" s="457" t="s">
        <v>364</v>
      </c>
      <c r="G2" s="458" t="s">
        <v>363</v>
      </c>
      <c r="H2" s="459" t="s">
        <v>502</v>
      </c>
    </row>
    <row r="3" spans="1:8" s="460" customFormat="1" ht="105">
      <c r="A3" s="461" t="s">
        <v>503</v>
      </c>
      <c r="B3" s="454">
        <f>AUTOQUESTIONNAIRE!F6-100-((AUTOQUESTIONNAIRE!F6-150)/4)</f>
        <v>72.5</v>
      </c>
      <c r="C3" s="462" t="s">
        <v>313</v>
      </c>
      <c r="D3" s="701" t="s">
        <v>2066</v>
      </c>
      <c r="E3" s="450"/>
      <c r="F3" s="450" t="s">
        <v>365</v>
      </c>
      <c r="G3" s="450"/>
      <c r="H3" s="459"/>
    </row>
    <row r="4" spans="1:8" ht="105">
      <c r="A4" s="463" t="s">
        <v>292</v>
      </c>
      <c r="B4" s="451">
        <f>AUTOQUESTIONNAIRE!H6*100</f>
        <v>20.061728395061728</v>
      </c>
      <c r="C4" s="452" t="s">
        <v>275</v>
      </c>
      <c r="D4" s="701" t="s">
        <v>2066</v>
      </c>
      <c r="E4" s="456" t="s">
        <v>368</v>
      </c>
      <c r="F4" s="457" t="s">
        <v>367</v>
      </c>
      <c r="G4" s="458" t="s">
        <v>366</v>
      </c>
      <c r="H4" s="459" t="s">
        <v>502</v>
      </c>
    </row>
    <row r="5" spans="1:8" ht="105">
      <c r="A5" s="1006" t="s">
        <v>504</v>
      </c>
      <c r="B5" s="451">
        <f>(ImportQuestion!F79)*ImportQuestion!H3</f>
        <v>0</v>
      </c>
      <c r="C5" s="464" t="s">
        <v>375</v>
      </c>
      <c r="D5" s="815" t="s">
        <v>2066</v>
      </c>
      <c r="E5" s="456" t="s">
        <v>371</v>
      </c>
      <c r="F5" s="457" t="s">
        <v>370</v>
      </c>
      <c r="G5" s="458" t="s">
        <v>369</v>
      </c>
      <c r="H5" s="459" t="s">
        <v>502</v>
      </c>
    </row>
    <row r="6" spans="1:8" ht="105">
      <c r="A6" s="1006" t="s">
        <v>505</v>
      </c>
      <c r="B6" s="465">
        <f>(ImportQuestion!F79)*ImportQuestion!H4</f>
        <v>0</v>
      </c>
      <c r="C6" s="464" t="s">
        <v>376</v>
      </c>
      <c r="D6" s="816" t="s">
        <v>2066</v>
      </c>
      <c r="E6" s="456" t="s">
        <v>372</v>
      </c>
      <c r="F6" s="457" t="s">
        <v>373</v>
      </c>
      <c r="G6" s="458" t="s">
        <v>374</v>
      </c>
      <c r="H6" s="459" t="s">
        <v>502</v>
      </c>
    </row>
    <row r="7" spans="1:8" ht="63">
      <c r="A7" s="453" t="s">
        <v>506</v>
      </c>
      <c r="B7" s="451">
        <f>AUTOQUESTIONNAIRE!F218</f>
        <v>110</v>
      </c>
      <c r="C7" s="464" t="s">
        <v>276</v>
      </c>
      <c r="D7" s="701" t="s">
        <v>2073</v>
      </c>
      <c r="E7" s="456" t="s">
        <v>377</v>
      </c>
      <c r="F7" s="457" t="s">
        <v>378</v>
      </c>
      <c r="G7" s="458" t="s">
        <v>379</v>
      </c>
      <c r="H7" s="459" t="s">
        <v>502</v>
      </c>
    </row>
    <row r="8" spans="1:8" ht="63">
      <c r="A8" s="453" t="s">
        <v>507</v>
      </c>
      <c r="B8" s="451">
        <f>AUTOQUESTIONNAIRE!F219</f>
        <v>65</v>
      </c>
      <c r="C8" s="464" t="s">
        <v>277</v>
      </c>
      <c r="D8" s="701" t="s">
        <v>2073</v>
      </c>
      <c r="E8" s="456" t="s">
        <v>372</v>
      </c>
      <c r="F8" s="457" t="s">
        <v>380</v>
      </c>
      <c r="G8" s="458" t="s">
        <v>381</v>
      </c>
      <c r="H8" s="459" t="s">
        <v>502</v>
      </c>
    </row>
    <row r="9" spans="1:8" s="470" customFormat="1">
      <c r="A9" s="466" t="s">
        <v>232</v>
      </c>
      <c r="B9" s="467"/>
      <c r="C9" s="468"/>
      <c r="D9" s="469"/>
      <c r="E9" s="450"/>
      <c r="F9" s="450"/>
      <c r="G9" s="450"/>
      <c r="H9" s="469"/>
    </row>
    <row r="10" spans="1:8" ht="105">
      <c r="A10" s="471" t="s">
        <v>594</v>
      </c>
      <c r="B10" s="451">
        <f>ImportBiologie!H57</f>
        <v>1.4550000000000001</v>
      </c>
      <c r="C10" s="462" t="s">
        <v>278</v>
      </c>
      <c r="D10" s="701" t="s">
        <v>2068</v>
      </c>
      <c r="F10" s="450" t="s">
        <v>365</v>
      </c>
      <c r="H10" s="459" t="s">
        <v>502</v>
      </c>
    </row>
    <row r="11" spans="1:8" ht="105">
      <c r="A11" s="471" t="s">
        <v>598</v>
      </c>
      <c r="B11" s="451">
        <f>B10*0.86</f>
        <v>1.2513000000000001</v>
      </c>
      <c r="C11" s="462" t="s">
        <v>279</v>
      </c>
      <c r="D11" s="701" t="s">
        <v>2068</v>
      </c>
      <c r="F11" s="450" t="s">
        <v>365</v>
      </c>
      <c r="H11" s="459" t="s">
        <v>502</v>
      </c>
    </row>
    <row r="12" spans="1:8" ht="105">
      <c r="A12" s="471" t="s">
        <v>595</v>
      </c>
      <c r="B12" s="451">
        <f>B10*1.14</f>
        <v>1.6586999999999998</v>
      </c>
      <c r="C12" s="462" t="s">
        <v>280</v>
      </c>
      <c r="D12" s="701" t="s">
        <v>2068</v>
      </c>
      <c r="F12" s="450" t="s">
        <v>365</v>
      </c>
      <c r="H12" s="459" t="s">
        <v>502</v>
      </c>
    </row>
    <row r="13" spans="1:8" ht="84">
      <c r="A13" s="472" t="s">
        <v>293</v>
      </c>
      <c r="B13" s="473">
        <f>ImportBiologie!C41</f>
        <v>0</v>
      </c>
      <c r="C13" s="452" t="s">
        <v>385</v>
      </c>
      <c r="D13" s="701" t="s">
        <v>2069</v>
      </c>
      <c r="E13" s="456" t="s">
        <v>382</v>
      </c>
      <c r="F13" s="457" t="s">
        <v>384</v>
      </c>
      <c r="G13" s="458" t="s">
        <v>383</v>
      </c>
      <c r="H13" s="459" t="s">
        <v>502</v>
      </c>
    </row>
    <row r="14" spans="1:8" ht="105">
      <c r="A14" s="471" t="s">
        <v>508</v>
      </c>
      <c r="B14" s="473">
        <f>ImportBiologie!C35</f>
        <v>0</v>
      </c>
      <c r="C14" s="464" t="s">
        <v>389</v>
      </c>
      <c r="D14" s="701" t="s">
        <v>2068</v>
      </c>
      <c r="E14" s="456" t="s">
        <v>386</v>
      </c>
      <c r="F14" s="457" t="s">
        <v>387</v>
      </c>
      <c r="G14" s="458" t="s">
        <v>388</v>
      </c>
      <c r="H14" s="459" t="s">
        <v>502</v>
      </c>
    </row>
    <row r="15" spans="1:8" s="477" customFormat="1">
      <c r="A15" s="474" t="s">
        <v>294</v>
      </c>
      <c r="B15" s="475"/>
      <c r="C15" s="476"/>
      <c r="D15" s="469"/>
      <c r="E15" s="450"/>
      <c r="F15" s="450"/>
      <c r="G15" s="450"/>
      <c r="H15" s="469"/>
    </row>
    <row r="16" spans="1:8" ht="105">
      <c r="A16" s="478" t="s">
        <v>509</v>
      </c>
      <c r="B16" s="451">
        <f>ImportBiologie!H38/8.5</f>
        <v>0.14117647058823529</v>
      </c>
      <c r="C16" s="479" t="s">
        <v>393</v>
      </c>
      <c r="D16" s="701" t="s">
        <v>2066</v>
      </c>
      <c r="E16" s="456" t="s">
        <v>392</v>
      </c>
      <c r="F16" s="457" t="s">
        <v>391</v>
      </c>
      <c r="G16" s="458" t="s">
        <v>390</v>
      </c>
      <c r="H16" s="459" t="s">
        <v>502</v>
      </c>
    </row>
    <row r="17" spans="1:8" ht="84">
      <c r="A17" s="1006" t="s">
        <v>510</v>
      </c>
      <c r="B17" s="451">
        <f>(ImportQuestion!H140/12)</f>
        <v>0.5</v>
      </c>
      <c r="C17" s="479" t="s">
        <v>596</v>
      </c>
      <c r="D17" s="701" t="s">
        <v>2070</v>
      </c>
      <c r="E17" s="456" t="s">
        <v>395</v>
      </c>
      <c r="F17" s="457" t="s">
        <v>394</v>
      </c>
      <c r="G17" s="458" t="s">
        <v>390</v>
      </c>
      <c r="H17" s="459" t="s">
        <v>502</v>
      </c>
    </row>
    <row r="18" spans="1:8" s="483" customFormat="1">
      <c r="A18" s="480" t="s">
        <v>295</v>
      </c>
      <c r="B18" s="481"/>
      <c r="C18" s="482"/>
      <c r="D18" s="469"/>
      <c r="E18" s="456"/>
      <c r="F18" s="457"/>
      <c r="G18" s="458"/>
      <c r="H18" s="459" t="s">
        <v>502</v>
      </c>
    </row>
    <row r="19" spans="1:8" ht="147">
      <c r="A19" s="484" t="s">
        <v>511</v>
      </c>
      <c r="B19" s="465">
        <f>ImportBiologie!C2</f>
        <v>0</v>
      </c>
      <c r="C19" s="479" t="s">
        <v>544</v>
      </c>
      <c r="D19" s="701" t="s">
        <v>2067</v>
      </c>
      <c r="E19" s="456" t="s">
        <v>547</v>
      </c>
      <c r="F19" s="457" t="s">
        <v>548</v>
      </c>
      <c r="G19" s="458" t="s">
        <v>451</v>
      </c>
      <c r="H19" s="459" t="s">
        <v>502</v>
      </c>
    </row>
    <row r="20" spans="1:8" ht="147">
      <c r="A20" s="484" t="s">
        <v>512</v>
      </c>
      <c r="B20" s="485">
        <f>ImportBiologie!C3</f>
        <v>6</v>
      </c>
      <c r="C20" s="464" t="s">
        <v>397</v>
      </c>
      <c r="D20" s="701" t="s">
        <v>2067</v>
      </c>
      <c r="E20" s="456" t="s">
        <v>398</v>
      </c>
      <c r="F20" s="457"/>
      <c r="G20" s="458"/>
      <c r="H20" s="459" t="s">
        <v>502</v>
      </c>
    </row>
    <row r="21" spans="1:8" ht="147">
      <c r="A21" s="484" t="s">
        <v>513</v>
      </c>
      <c r="B21" s="451">
        <f>ImportBiologie!C4</f>
        <v>1</v>
      </c>
      <c r="C21" s="464" t="s">
        <v>405</v>
      </c>
      <c r="D21" s="701" t="s">
        <v>2067</v>
      </c>
      <c r="E21" s="456" t="s">
        <v>407</v>
      </c>
      <c r="F21" s="457" t="s">
        <v>408</v>
      </c>
      <c r="G21" s="458" t="s">
        <v>406</v>
      </c>
      <c r="H21" s="459" t="s">
        <v>502</v>
      </c>
    </row>
    <row r="22" spans="1:8" ht="147">
      <c r="A22" s="484" t="s">
        <v>514</v>
      </c>
      <c r="B22" s="451">
        <f>ImportBiologie!C5</f>
        <v>5</v>
      </c>
      <c r="C22" s="464" t="s">
        <v>281</v>
      </c>
      <c r="D22" s="701" t="s">
        <v>2067</v>
      </c>
      <c r="E22" s="456" t="s">
        <v>399</v>
      </c>
      <c r="F22" s="457" t="s">
        <v>403</v>
      </c>
      <c r="G22" s="458" t="s">
        <v>404</v>
      </c>
      <c r="H22" s="459" t="s">
        <v>502</v>
      </c>
    </row>
    <row r="23" spans="1:8" ht="147">
      <c r="A23" s="484" t="s">
        <v>515</v>
      </c>
      <c r="B23" s="451">
        <f>ImportBiologie!C6</f>
        <v>3</v>
      </c>
      <c r="C23" s="464" t="s">
        <v>282</v>
      </c>
      <c r="D23" s="701" t="s">
        <v>2067</v>
      </c>
      <c r="E23" s="456" t="s">
        <v>400</v>
      </c>
      <c r="F23" s="457" t="s">
        <v>401</v>
      </c>
      <c r="G23" s="458" t="s">
        <v>402</v>
      </c>
      <c r="H23" s="459" t="s">
        <v>502</v>
      </c>
    </row>
    <row r="24" spans="1:8" ht="105">
      <c r="A24" s="484" t="s">
        <v>516</v>
      </c>
      <c r="B24" s="485">
        <f>ImportBiologie!C7</f>
        <v>15</v>
      </c>
      <c r="C24" s="464" t="s">
        <v>283</v>
      </c>
      <c r="D24" s="701" t="s">
        <v>1054</v>
      </c>
      <c r="E24" s="456" t="s">
        <v>398</v>
      </c>
      <c r="F24" s="486" t="s">
        <v>413</v>
      </c>
      <c r="G24" s="458" t="s">
        <v>409</v>
      </c>
      <c r="H24" s="459" t="s">
        <v>502</v>
      </c>
    </row>
    <row r="25" spans="1:8" ht="63">
      <c r="A25" s="484" t="s">
        <v>517</v>
      </c>
      <c r="B25" s="465" t="str">
        <f>ImportBiologie!H27</f>
        <v>L</v>
      </c>
      <c r="C25" s="479" t="s">
        <v>410</v>
      </c>
      <c r="D25" s="701" t="s">
        <v>1054</v>
      </c>
      <c r="E25" s="465" t="s">
        <v>412</v>
      </c>
      <c r="F25" s="457" t="s">
        <v>414</v>
      </c>
      <c r="G25" s="458" t="s">
        <v>411</v>
      </c>
      <c r="H25" s="459" t="s">
        <v>502</v>
      </c>
    </row>
    <row r="26" spans="1:8" ht="63">
      <c r="A26" s="484" t="s">
        <v>518</v>
      </c>
      <c r="B26" s="473">
        <f>ImportBiologie!H26</f>
        <v>0</v>
      </c>
      <c r="C26" s="452" t="s">
        <v>415</v>
      </c>
      <c r="D26" s="701" t="s">
        <v>1054</v>
      </c>
      <c r="E26" s="456" t="s">
        <v>416</v>
      </c>
      <c r="F26" s="457" t="s">
        <v>417</v>
      </c>
      <c r="G26" s="458" t="s">
        <v>418</v>
      </c>
      <c r="H26" s="459" t="s">
        <v>502</v>
      </c>
    </row>
    <row r="27" spans="1:8" ht="147">
      <c r="A27" s="484" t="s">
        <v>519</v>
      </c>
      <c r="B27" s="473">
        <f>ImportBiologie!C10</f>
        <v>0</v>
      </c>
      <c r="C27" s="464" t="s">
        <v>284</v>
      </c>
      <c r="D27" s="701" t="s">
        <v>2067</v>
      </c>
      <c r="E27" s="456" t="s">
        <v>419</v>
      </c>
      <c r="F27" s="457" t="s">
        <v>421</v>
      </c>
      <c r="G27" s="458" t="s">
        <v>420</v>
      </c>
      <c r="H27" s="459" t="s">
        <v>502</v>
      </c>
    </row>
    <row r="28" spans="1:8" ht="147">
      <c r="A28" s="472" t="s">
        <v>333</v>
      </c>
      <c r="B28" s="487">
        <f>ImportBiologie!C9</f>
        <v>0</v>
      </c>
      <c r="C28" s="452" t="s">
        <v>425</v>
      </c>
      <c r="D28" s="701" t="s">
        <v>2067</v>
      </c>
      <c r="E28" s="456" t="s">
        <v>422</v>
      </c>
      <c r="F28" s="457" t="s">
        <v>424</v>
      </c>
      <c r="G28" s="458" t="s">
        <v>423</v>
      </c>
      <c r="H28" s="459" t="s">
        <v>502</v>
      </c>
    </row>
    <row r="29" spans="1:8" ht="105">
      <c r="A29" s="488" t="s">
        <v>1</v>
      </c>
      <c r="B29" s="451">
        <f>ImportBiologie!C11</f>
        <v>0</v>
      </c>
      <c r="C29" s="479" t="s">
        <v>343</v>
      </c>
      <c r="D29" s="815" t="s">
        <v>1075</v>
      </c>
      <c r="E29" s="456" t="s">
        <v>426</v>
      </c>
      <c r="F29" s="486" t="s">
        <v>428</v>
      </c>
      <c r="G29" s="458" t="s">
        <v>427</v>
      </c>
      <c r="H29" s="459" t="s">
        <v>502</v>
      </c>
    </row>
    <row r="30" spans="1:8" ht="105">
      <c r="A30" s="484" t="s">
        <v>520</v>
      </c>
      <c r="B30" s="473">
        <f>ImportBiologie!C12</f>
        <v>0</v>
      </c>
      <c r="C30" s="464" t="s">
        <v>430</v>
      </c>
      <c r="D30" s="701" t="s">
        <v>1049</v>
      </c>
      <c r="E30" s="489" t="s">
        <v>429</v>
      </c>
      <c r="F30" s="457" t="s">
        <v>438</v>
      </c>
      <c r="G30" s="458" t="s">
        <v>439</v>
      </c>
      <c r="H30" s="459" t="s">
        <v>502</v>
      </c>
    </row>
    <row r="31" spans="1:8" ht="63">
      <c r="A31" s="472" t="s">
        <v>296</v>
      </c>
      <c r="B31" s="487">
        <f>ImportBiologie!C13</f>
        <v>0</v>
      </c>
      <c r="C31" s="464" t="s">
        <v>433</v>
      </c>
      <c r="D31" s="701" t="s">
        <v>1049</v>
      </c>
      <c r="E31" s="456" t="s">
        <v>432</v>
      </c>
      <c r="F31" s="457" t="s">
        <v>434</v>
      </c>
      <c r="G31" s="458" t="s">
        <v>431</v>
      </c>
      <c r="H31" s="459" t="s">
        <v>502</v>
      </c>
    </row>
    <row r="32" spans="1:8" ht="63">
      <c r="A32" s="472" t="s">
        <v>297</v>
      </c>
      <c r="B32" s="487">
        <f>ImportBiologie!C14</f>
        <v>0</v>
      </c>
      <c r="C32" s="464" t="s">
        <v>435</v>
      </c>
      <c r="D32" s="701" t="s">
        <v>1049</v>
      </c>
      <c r="E32" s="456" t="s">
        <v>436</v>
      </c>
      <c r="F32" s="457" t="s">
        <v>437</v>
      </c>
      <c r="G32" s="458"/>
      <c r="H32" s="459" t="s">
        <v>502</v>
      </c>
    </row>
    <row r="33" spans="1:8" ht="63">
      <c r="A33" s="484" t="s">
        <v>1582</v>
      </c>
      <c r="B33" s="473">
        <f>ImportBiologie!C15</f>
        <v>0</v>
      </c>
      <c r="C33" s="464" t="s">
        <v>441</v>
      </c>
      <c r="D33" s="701" t="s">
        <v>1049</v>
      </c>
      <c r="E33" s="456" t="s">
        <v>440</v>
      </c>
      <c r="F33" s="457" t="s">
        <v>443</v>
      </c>
      <c r="G33" s="458" t="s">
        <v>442</v>
      </c>
      <c r="H33" s="459" t="s">
        <v>502</v>
      </c>
    </row>
    <row r="34" spans="1:8" ht="63">
      <c r="A34" s="484" t="s">
        <v>1583</v>
      </c>
      <c r="B34" s="473">
        <f>ImportBiologie!C16</f>
        <v>0</v>
      </c>
      <c r="C34" s="464" t="s">
        <v>444</v>
      </c>
      <c r="D34" s="701" t="s">
        <v>1049</v>
      </c>
      <c r="E34" s="456" t="s">
        <v>446</v>
      </c>
      <c r="F34" s="457"/>
      <c r="G34" s="458" t="s">
        <v>450</v>
      </c>
      <c r="H34" s="459" t="s">
        <v>502</v>
      </c>
    </row>
    <row r="35" spans="1:8" ht="63">
      <c r="A35" s="472" t="s">
        <v>1584</v>
      </c>
      <c r="B35" s="487">
        <f>ImportBiologie!C17</f>
        <v>0</v>
      </c>
      <c r="C35" s="464" t="s">
        <v>445</v>
      </c>
      <c r="D35" s="701" t="s">
        <v>1049</v>
      </c>
      <c r="E35" s="456" t="s">
        <v>447</v>
      </c>
      <c r="F35" s="457"/>
      <c r="G35" s="458" t="s">
        <v>451</v>
      </c>
      <c r="H35" s="459" t="s">
        <v>502</v>
      </c>
    </row>
    <row r="36" spans="1:8" ht="84">
      <c r="A36" s="484" t="s">
        <v>1585</v>
      </c>
      <c r="B36" s="473">
        <f>ImportBiologie!C18</f>
        <v>0</v>
      </c>
      <c r="C36" s="464" t="s">
        <v>452</v>
      </c>
      <c r="D36" s="701" t="s">
        <v>1049</v>
      </c>
      <c r="E36" s="456" t="s">
        <v>448</v>
      </c>
      <c r="F36" s="457" t="s">
        <v>453</v>
      </c>
      <c r="G36" s="458" t="s">
        <v>454</v>
      </c>
      <c r="H36" s="459" t="s">
        <v>502</v>
      </c>
    </row>
    <row r="37" spans="1:8" ht="63">
      <c r="A37" s="484" t="s">
        <v>1586</v>
      </c>
      <c r="B37" s="473">
        <f>ImportBiologie!C19</f>
        <v>0</v>
      </c>
      <c r="C37" s="464" t="s">
        <v>455</v>
      </c>
      <c r="D37" s="701" t="s">
        <v>1049</v>
      </c>
      <c r="E37" s="456" t="s">
        <v>449</v>
      </c>
      <c r="F37" s="457" t="s">
        <v>457</v>
      </c>
      <c r="G37" s="458" t="s">
        <v>456</v>
      </c>
      <c r="H37" s="459" t="s">
        <v>502</v>
      </c>
    </row>
    <row r="38" spans="1:8" ht="126">
      <c r="A38" s="484" t="s">
        <v>8</v>
      </c>
      <c r="B38" s="473">
        <f>ImportBiologie!C21</f>
        <v>0</v>
      </c>
      <c r="C38" s="464" t="s">
        <v>521</v>
      </c>
      <c r="D38" s="701" t="s">
        <v>1049</v>
      </c>
      <c r="E38" s="456" t="s">
        <v>459</v>
      </c>
      <c r="F38" s="457" t="s">
        <v>460</v>
      </c>
      <c r="G38" s="458" t="s">
        <v>461</v>
      </c>
      <c r="H38" s="459" t="s">
        <v>502</v>
      </c>
    </row>
    <row r="39" spans="1:8" ht="126">
      <c r="A39" s="490" t="s">
        <v>17</v>
      </c>
      <c r="B39" s="465">
        <f>ImportBiologie!C23</f>
        <v>0</v>
      </c>
      <c r="C39" s="464" t="s">
        <v>285</v>
      </c>
      <c r="D39" s="701" t="s">
        <v>1058</v>
      </c>
      <c r="E39" s="489" t="s">
        <v>464</v>
      </c>
      <c r="F39" s="457" t="s">
        <v>466</v>
      </c>
      <c r="G39" s="458" t="s">
        <v>465</v>
      </c>
      <c r="H39" s="459" t="s">
        <v>502</v>
      </c>
    </row>
    <row r="40" spans="1:8" ht="126">
      <c r="A40" s="490" t="s">
        <v>18</v>
      </c>
      <c r="B40" s="465">
        <f>ImportBiologie!C24</f>
        <v>0</v>
      </c>
      <c r="C40" s="464" t="s">
        <v>286</v>
      </c>
      <c r="D40" s="701" t="s">
        <v>1058</v>
      </c>
      <c r="E40" s="489" t="s">
        <v>464</v>
      </c>
      <c r="F40" s="457" t="s">
        <v>463</v>
      </c>
      <c r="G40" s="458" t="s">
        <v>462</v>
      </c>
      <c r="H40" s="459" t="s">
        <v>502</v>
      </c>
    </row>
    <row r="41" spans="1:8" ht="63">
      <c r="A41" s="490" t="s">
        <v>522</v>
      </c>
      <c r="B41" s="465">
        <f>ImportBiologie!C25</f>
        <v>0</v>
      </c>
      <c r="C41" s="491" t="s">
        <v>287</v>
      </c>
      <c r="D41" s="701" t="s">
        <v>1058</v>
      </c>
      <c r="E41" s="456" t="s">
        <v>467</v>
      </c>
      <c r="F41" s="457" t="s">
        <v>468</v>
      </c>
      <c r="G41" s="458" t="s">
        <v>469</v>
      </c>
      <c r="H41" s="459" t="s">
        <v>502</v>
      </c>
    </row>
    <row r="42" spans="1:8" ht="63">
      <c r="A42" s="490" t="s">
        <v>593</v>
      </c>
      <c r="B42" s="465" t="e">
        <f>B39/B40</f>
        <v>#DIV/0!</v>
      </c>
      <c r="C42" s="462" t="s">
        <v>328</v>
      </c>
      <c r="D42" s="701" t="s">
        <v>1058</v>
      </c>
      <c r="E42" s="456" t="s">
        <v>472</v>
      </c>
      <c r="F42" s="457" t="s">
        <v>470</v>
      </c>
      <c r="G42" s="458" t="s">
        <v>471</v>
      </c>
      <c r="H42" s="459" t="s">
        <v>502</v>
      </c>
    </row>
    <row r="43" spans="1:8" ht="63">
      <c r="A43" s="490" t="s">
        <v>239</v>
      </c>
      <c r="B43" s="465" t="e">
        <f>ImportBiologie!H30</f>
        <v>#DIV/0!</v>
      </c>
      <c r="C43" s="452" t="s">
        <v>329</v>
      </c>
      <c r="D43" s="701" t="s">
        <v>1058</v>
      </c>
      <c r="E43" s="456" t="s">
        <v>473</v>
      </c>
      <c r="F43" s="457" t="s">
        <v>474</v>
      </c>
      <c r="G43" s="458" t="s">
        <v>475</v>
      </c>
      <c r="H43" s="459" t="s">
        <v>502</v>
      </c>
    </row>
    <row r="44" spans="1:8" ht="63">
      <c r="A44" s="492" t="s">
        <v>523</v>
      </c>
      <c r="B44" s="473">
        <f>ImportBiologie!C31</f>
        <v>0</v>
      </c>
      <c r="C44" s="452" t="s">
        <v>1587</v>
      </c>
      <c r="D44" s="701" t="s">
        <v>2065</v>
      </c>
      <c r="E44" s="456" t="s">
        <v>476</v>
      </c>
      <c r="F44" s="457"/>
      <c r="G44" s="458" t="s">
        <v>477</v>
      </c>
      <c r="H44" s="459" t="s">
        <v>502</v>
      </c>
    </row>
    <row r="45" spans="1:8" ht="147">
      <c r="A45" s="480" t="s">
        <v>524</v>
      </c>
      <c r="B45" s="485">
        <f>ImportBiologie!C33</f>
        <v>0</v>
      </c>
      <c r="C45" s="464" t="s">
        <v>344</v>
      </c>
      <c r="D45" s="701" t="s">
        <v>2069</v>
      </c>
      <c r="E45" s="456" t="s">
        <v>478</v>
      </c>
      <c r="F45" s="457" t="s">
        <v>479</v>
      </c>
      <c r="G45" s="458" t="s">
        <v>480</v>
      </c>
      <c r="H45" s="459" t="s">
        <v>502</v>
      </c>
    </row>
    <row r="46" spans="1:8" ht="84">
      <c r="A46" s="492" t="s">
        <v>525</v>
      </c>
      <c r="B46" s="465">
        <f>ImportBiologie!C36</f>
        <v>0</v>
      </c>
      <c r="C46" s="464" t="s">
        <v>288</v>
      </c>
      <c r="D46" s="701" t="s">
        <v>2069</v>
      </c>
      <c r="E46" s="456" t="s">
        <v>481</v>
      </c>
      <c r="F46" s="493" t="s">
        <v>569</v>
      </c>
      <c r="G46" s="458" t="s">
        <v>482</v>
      </c>
      <c r="H46" s="459" t="s">
        <v>502</v>
      </c>
    </row>
    <row r="47" spans="1:8" ht="42">
      <c r="A47" s="492" t="s">
        <v>526</v>
      </c>
      <c r="B47" s="451">
        <f>ImportBiologie!C37</f>
        <v>0</v>
      </c>
      <c r="C47" s="464" t="s">
        <v>289</v>
      </c>
      <c r="D47" s="701" t="s">
        <v>2069</v>
      </c>
      <c r="E47" s="456" t="s">
        <v>483</v>
      </c>
      <c r="F47" s="457" t="s">
        <v>484</v>
      </c>
      <c r="G47" s="458" t="s">
        <v>396</v>
      </c>
      <c r="H47" s="459" t="s">
        <v>502</v>
      </c>
    </row>
    <row r="48" spans="1:8" ht="42">
      <c r="A48" s="483" t="s">
        <v>527</v>
      </c>
      <c r="B48" s="494">
        <f>ImportBiologie!H35</f>
        <v>1</v>
      </c>
      <c r="C48" s="495" t="s">
        <v>312</v>
      </c>
      <c r="D48" s="701" t="s">
        <v>2069</v>
      </c>
      <c r="E48" s="456" t="s">
        <v>400</v>
      </c>
      <c r="F48" s="457" t="s">
        <v>485</v>
      </c>
      <c r="G48" s="458" t="s">
        <v>471</v>
      </c>
      <c r="H48" s="459" t="s">
        <v>502</v>
      </c>
    </row>
    <row r="49" spans="1:8" ht="63">
      <c r="A49" s="488" t="s">
        <v>528</v>
      </c>
      <c r="B49" s="465" t="e">
        <f>ImportBiologie!J29</f>
        <v>#DIV/0!</v>
      </c>
      <c r="C49" s="464" t="s">
        <v>332</v>
      </c>
      <c r="D49" s="815" t="s">
        <v>1075</v>
      </c>
      <c r="E49" s="456" t="s">
        <v>492</v>
      </c>
      <c r="F49" s="457" t="s">
        <v>493</v>
      </c>
      <c r="G49" s="458" t="s">
        <v>494</v>
      </c>
      <c r="H49" s="459" t="s">
        <v>502</v>
      </c>
    </row>
    <row r="50" spans="1:8" ht="63">
      <c r="A50" s="488" t="s">
        <v>529</v>
      </c>
      <c r="B50" s="465">
        <f>ImportBiologie!H32</f>
        <v>0</v>
      </c>
      <c r="C50" s="464" t="s">
        <v>501</v>
      </c>
      <c r="D50" s="815" t="s">
        <v>1075</v>
      </c>
      <c r="E50" s="456" t="s">
        <v>426</v>
      </c>
      <c r="F50" s="486" t="s">
        <v>428</v>
      </c>
      <c r="G50" s="458" t="s">
        <v>427</v>
      </c>
      <c r="H50" s="459" t="s">
        <v>502</v>
      </c>
    </row>
    <row r="51" spans="1:8" ht="63">
      <c r="A51" s="492" t="s">
        <v>530</v>
      </c>
      <c r="B51" s="465" t="e">
        <f>ImportBiologie!C60</f>
        <v>#DIV/0!</v>
      </c>
      <c r="C51" s="464" t="s">
        <v>290</v>
      </c>
      <c r="D51" s="701" t="s">
        <v>1049</v>
      </c>
      <c r="E51" s="456" t="s">
        <v>495</v>
      </c>
      <c r="F51" s="457" t="s">
        <v>496</v>
      </c>
      <c r="G51" s="458"/>
      <c r="H51" s="459" t="s">
        <v>502</v>
      </c>
    </row>
    <row r="52" spans="1:8" ht="63">
      <c r="A52" s="483" t="s">
        <v>531</v>
      </c>
      <c r="B52" s="485">
        <f>ImportBiologie!C30</f>
        <v>0</v>
      </c>
      <c r="C52" s="452" t="s">
        <v>498</v>
      </c>
      <c r="D52" s="701" t="s">
        <v>2071</v>
      </c>
      <c r="E52" s="456" t="s">
        <v>499</v>
      </c>
      <c r="F52" s="457" t="s">
        <v>500</v>
      </c>
      <c r="G52" s="458" t="s">
        <v>458</v>
      </c>
      <c r="H52" s="459" t="s">
        <v>502</v>
      </c>
    </row>
    <row r="53" spans="1:8" s="499" customFormat="1">
      <c r="A53" s="496"/>
      <c r="B53" s="497"/>
      <c r="C53" s="498"/>
      <c r="D53" s="701"/>
      <c r="E53" s="456"/>
      <c r="F53" s="457"/>
      <c r="G53" s="458"/>
      <c r="H53" s="500"/>
    </row>
    <row r="54" spans="1:8" s="499" customFormat="1" ht="84">
      <c r="A54" s="496" t="s">
        <v>351</v>
      </c>
      <c r="B54" s="497">
        <f>ImportBiologie!C38</f>
        <v>0</v>
      </c>
      <c r="C54" s="498" t="s">
        <v>353</v>
      </c>
      <c r="D54" s="701" t="s">
        <v>2069</v>
      </c>
      <c r="E54" s="456" t="s">
        <v>347</v>
      </c>
      <c r="G54" s="458" t="s">
        <v>346</v>
      </c>
      <c r="H54" s="500" t="s">
        <v>502</v>
      </c>
    </row>
    <row r="55" spans="1:8" s="499" customFormat="1" ht="63">
      <c r="A55" s="496" t="s">
        <v>298</v>
      </c>
      <c r="B55" s="497">
        <f>ImportBiologie!C39</f>
        <v>0</v>
      </c>
      <c r="C55" s="498" t="s">
        <v>352</v>
      </c>
      <c r="D55" s="701" t="s">
        <v>1049</v>
      </c>
      <c r="E55" s="456" t="s">
        <v>347</v>
      </c>
      <c r="G55" s="458" t="s">
        <v>346</v>
      </c>
      <c r="H55" s="500" t="s">
        <v>502</v>
      </c>
    </row>
    <row r="56" spans="1:8" s="499" customFormat="1" ht="105">
      <c r="A56" s="496" t="s">
        <v>354</v>
      </c>
      <c r="B56" s="497">
        <f>ImportBiologie!C40</f>
        <v>0</v>
      </c>
      <c r="C56" s="498" t="s">
        <v>355</v>
      </c>
      <c r="D56" s="701" t="s">
        <v>2069</v>
      </c>
      <c r="E56" s="456" t="s">
        <v>347</v>
      </c>
      <c r="G56" s="458" t="s">
        <v>346</v>
      </c>
      <c r="H56" s="500" t="s">
        <v>502</v>
      </c>
    </row>
    <row r="57" spans="1:8" s="499" customFormat="1" ht="63">
      <c r="A57" s="496" t="s">
        <v>299</v>
      </c>
      <c r="B57" s="497">
        <f>ImportBiologie!C45</f>
        <v>0</v>
      </c>
      <c r="C57" s="498" t="s">
        <v>345</v>
      </c>
      <c r="D57" s="701" t="s">
        <v>2069</v>
      </c>
      <c r="E57" s="456" t="s">
        <v>486</v>
      </c>
      <c r="G57" s="458" t="s">
        <v>487</v>
      </c>
      <c r="H57" s="500" t="s">
        <v>502</v>
      </c>
    </row>
    <row r="58" spans="1:8" s="499" customFormat="1" ht="105">
      <c r="A58" s="496" t="s">
        <v>305</v>
      </c>
      <c r="B58" s="497">
        <f>ImportBiologie!C46</f>
        <v>0</v>
      </c>
      <c r="C58" s="498" t="s">
        <v>491</v>
      </c>
      <c r="D58" s="701" t="s">
        <v>2069</v>
      </c>
      <c r="E58" s="456" t="s">
        <v>490</v>
      </c>
      <c r="F58" s="457" t="s">
        <v>489</v>
      </c>
      <c r="G58" s="458"/>
      <c r="H58" s="500" t="s">
        <v>502</v>
      </c>
    </row>
    <row r="59" spans="1:8" s="499" customFormat="1" ht="63">
      <c r="A59" s="496" t="s">
        <v>356</v>
      </c>
      <c r="B59" s="497">
        <f>ImportBiologie!C51</f>
        <v>0</v>
      </c>
      <c r="C59" s="498" t="s">
        <v>561</v>
      </c>
      <c r="D59" s="701" t="s">
        <v>2069</v>
      </c>
      <c r="E59" s="456" t="s">
        <v>563</v>
      </c>
      <c r="G59" s="458" t="s">
        <v>565</v>
      </c>
      <c r="H59" s="500" t="s">
        <v>502</v>
      </c>
    </row>
    <row r="60" spans="1:8" s="499" customFormat="1" ht="63">
      <c r="A60" s="496" t="s">
        <v>357</v>
      </c>
      <c r="B60" s="497">
        <f>ImportBiologie!C52</f>
        <v>0</v>
      </c>
      <c r="C60" s="498" t="s">
        <v>562</v>
      </c>
      <c r="D60" s="701" t="s">
        <v>2069</v>
      </c>
      <c r="E60" s="456" t="s">
        <v>564</v>
      </c>
      <c r="G60" s="458" t="s">
        <v>565</v>
      </c>
      <c r="H60" s="500" t="s">
        <v>502</v>
      </c>
    </row>
    <row r="61" spans="1:8" s="499" customFormat="1" ht="63">
      <c r="A61" s="499" t="s">
        <v>358</v>
      </c>
      <c r="B61" s="497">
        <f>ImportBiologie!C50</f>
        <v>0</v>
      </c>
      <c r="C61" s="501" t="s">
        <v>359</v>
      </c>
      <c r="D61" s="701" t="s">
        <v>2069</v>
      </c>
      <c r="E61" s="456" t="s">
        <v>564</v>
      </c>
      <c r="G61" s="458" t="s">
        <v>565</v>
      </c>
      <c r="H61" s="500" t="s">
        <v>502</v>
      </c>
    </row>
    <row r="62" spans="1:8" s="499" customFormat="1" ht="168">
      <c r="A62" s="499" t="s">
        <v>532</v>
      </c>
      <c r="B62" s="497">
        <f>ImportBiologie!C42</f>
        <v>0</v>
      </c>
      <c r="C62" s="498" t="s">
        <v>597</v>
      </c>
      <c r="D62" s="701" t="s">
        <v>2069</v>
      </c>
      <c r="E62" s="456" t="s">
        <v>552</v>
      </c>
      <c r="G62" s="458" t="s">
        <v>551</v>
      </c>
    </row>
    <row r="63" spans="1:8" s="499" customFormat="1" ht="63">
      <c r="A63" s="499" t="s">
        <v>543</v>
      </c>
      <c r="B63" s="497">
        <f>ImportBiologie!C44</f>
        <v>0</v>
      </c>
      <c r="C63" s="502" t="s">
        <v>546</v>
      </c>
      <c r="D63" s="701" t="s">
        <v>2069</v>
      </c>
      <c r="E63" s="456"/>
      <c r="G63" s="458" t="s">
        <v>553</v>
      </c>
    </row>
    <row r="64" spans="1:8" s="499" customFormat="1" ht="105">
      <c r="A64" s="496" t="s">
        <v>541</v>
      </c>
      <c r="B64" s="497">
        <f>ImportBiologie!C76</f>
        <v>0</v>
      </c>
      <c r="C64" s="502" t="s">
        <v>591</v>
      </c>
      <c r="D64" s="816" t="s">
        <v>2071</v>
      </c>
      <c r="E64" s="456"/>
      <c r="G64" s="458"/>
    </row>
    <row r="65" spans="1:7" s="499" customFormat="1" ht="105">
      <c r="A65" s="496" t="s">
        <v>542</v>
      </c>
      <c r="B65" s="503">
        <f>ImportBiologie!C75</f>
        <v>0</v>
      </c>
      <c r="C65" s="502" t="s">
        <v>592</v>
      </c>
      <c r="D65" s="815" t="s">
        <v>2071</v>
      </c>
      <c r="E65" s="456"/>
      <c r="G65" s="458"/>
    </row>
    <row r="66" spans="1:7" s="499" customFormat="1" ht="105">
      <c r="A66" s="496" t="s">
        <v>599</v>
      </c>
      <c r="B66" s="497">
        <f>ImportBiologie!C69</f>
        <v>0</v>
      </c>
      <c r="C66" s="502" t="s">
        <v>538</v>
      </c>
      <c r="D66" s="701" t="s">
        <v>2068</v>
      </c>
      <c r="E66" s="456"/>
      <c r="G66" s="458" t="s">
        <v>557</v>
      </c>
    </row>
    <row r="67" spans="1:7" s="499" customFormat="1" ht="105">
      <c r="A67" s="496" t="s">
        <v>567</v>
      </c>
      <c r="B67" s="497">
        <f>ImportBiologie!C70</f>
        <v>0</v>
      </c>
      <c r="C67" s="502" t="s">
        <v>539</v>
      </c>
      <c r="D67" s="701" t="s">
        <v>2068</v>
      </c>
      <c r="E67" s="456"/>
      <c r="G67" s="458"/>
    </row>
    <row r="68" spans="1:7" s="499" customFormat="1" ht="105">
      <c r="A68" s="496" t="s">
        <v>568</v>
      </c>
      <c r="B68" s="497">
        <f>ImportBiologie!E70</f>
        <v>58</v>
      </c>
      <c r="C68" s="502" t="s">
        <v>540</v>
      </c>
      <c r="D68" s="701" t="s">
        <v>2068</v>
      </c>
      <c r="E68" s="456"/>
      <c r="G68" s="458"/>
    </row>
    <row r="69" spans="1:7" s="499" customFormat="1" ht="84">
      <c r="A69" s="499" t="s">
        <v>566</v>
      </c>
      <c r="B69" s="497">
        <f>ImportBiologie!C29</f>
        <v>0</v>
      </c>
      <c r="C69" s="502" t="s">
        <v>558</v>
      </c>
      <c r="D69" s="815" t="s">
        <v>2065</v>
      </c>
      <c r="E69" s="456"/>
      <c r="G69" s="458" t="s">
        <v>556</v>
      </c>
    </row>
    <row r="70" spans="1:7" s="499" customFormat="1" ht="63">
      <c r="A70" s="499" t="s">
        <v>209</v>
      </c>
      <c r="B70" s="497" t="e">
        <f>ImportBiologie!C62</f>
        <v>#DIV/0!</v>
      </c>
      <c r="C70" s="502" t="s">
        <v>536</v>
      </c>
      <c r="D70" s="815" t="s">
        <v>2065</v>
      </c>
      <c r="E70" s="456"/>
      <c r="G70" s="458"/>
    </row>
    <row r="71" spans="1:7" s="499" customFormat="1" ht="63">
      <c r="A71" s="499" t="s">
        <v>534</v>
      </c>
      <c r="B71" s="497" t="e">
        <f>ImportBiologie!C63</f>
        <v>#DIV/0!</v>
      </c>
      <c r="C71" s="502" t="s">
        <v>537</v>
      </c>
      <c r="D71" s="701" t="s">
        <v>2065</v>
      </c>
      <c r="E71" s="456"/>
      <c r="G71" s="458" t="s">
        <v>555</v>
      </c>
    </row>
    <row r="72" spans="1:7" s="499" customFormat="1" ht="147">
      <c r="A72" s="499" t="s">
        <v>545</v>
      </c>
      <c r="B72" s="497">
        <f>ImportBiologie!C87</f>
        <v>6</v>
      </c>
      <c r="C72" s="498" t="s">
        <v>550</v>
      </c>
      <c r="D72" s="701" t="s">
        <v>2067</v>
      </c>
      <c r="E72" s="456"/>
      <c r="G72" s="458" t="s">
        <v>554</v>
      </c>
    </row>
    <row r="73" spans="1:7" s="499" customFormat="1" ht="84">
      <c r="A73" s="499" t="s">
        <v>608</v>
      </c>
      <c r="B73" s="497" t="str">
        <f>ImportBiologie!N52</f>
        <v>Elevé</v>
      </c>
      <c r="C73" s="452" t="s">
        <v>650</v>
      </c>
      <c r="D73" s="701" t="s">
        <v>2073</v>
      </c>
      <c r="E73" s="456" t="s">
        <v>647</v>
      </c>
      <c r="F73" s="457" t="s">
        <v>648</v>
      </c>
      <c r="G73" s="458" t="s">
        <v>649</v>
      </c>
    </row>
    <row r="74" spans="1:7" s="499" customFormat="1" ht="63">
      <c r="A74" s="504" t="s">
        <v>618</v>
      </c>
      <c r="B74" s="497">
        <f>AUTOQUESTIONNAIRE!F228</f>
        <v>99</v>
      </c>
      <c r="C74" s="505" t="s">
        <v>620</v>
      </c>
      <c r="D74" s="701" t="s">
        <v>2073</v>
      </c>
      <c r="E74" s="456" t="s">
        <v>633</v>
      </c>
      <c r="G74" s="458" t="s">
        <v>634</v>
      </c>
    </row>
    <row r="75" spans="1:7" s="499" customFormat="1" ht="63">
      <c r="A75" s="504" t="s">
        <v>619</v>
      </c>
      <c r="B75" s="497">
        <f>AUTOQUESTIONNAIRE!F229</f>
        <v>0</v>
      </c>
      <c r="C75" s="505" t="s">
        <v>620</v>
      </c>
      <c r="D75" s="701" t="s">
        <v>2073</v>
      </c>
      <c r="E75" s="456" t="s">
        <v>633</v>
      </c>
      <c r="G75" s="458" t="s">
        <v>634</v>
      </c>
    </row>
    <row r="76" spans="1:7" s="499" customFormat="1" ht="63">
      <c r="A76" s="460" t="s">
        <v>1776</v>
      </c>
      <c r="B76" s="497">
        <f>((AUTOQUESTIONNAIRE!F220-70)+2*(AUTOQUESTIONNAIRE!F221-AUTOQUESTIONNAIRE!F217))/10</f>
        <v>1</v>
      </c>
      <c r="C76" s="498" t="s">
        <v>624</v>
      </c>
      <c r="D76" s="701" t="s">
        <v>2073</v>
      </c>
      <c r="E76" s="456" t="s">
        <v>625</v>
      </c>
      <c r="G76" s="458" t="s">
        <v>626</v>
      </c>
    </row>
    <row r="77" spans="1:7" s="499" customFormat="1" ht="63">
      <c r="A77" s="1008" t="s">
        <v>628</v>
      </c>
      <c r="B77" s="497">
        <f>ImportQuestion!F236-ImportQuestion!F80</f>
        <v>-110</v>
      </c>
      <c r="C77" s="464" t="s">
        <v>627</v>
      </c>
      <c r="D77" s="701" t="s">
        <v>2073</v>
      </c>
      <c r="E77" s="456"/>
      <c r="G77" s="458"/>
    </row>
    <row r="78" spans="1:7" s="499" customFormat="1" ht="63">
      <c r="A78" s="1008" t="s">
        <v>630</v>
      </c>
      <c r="B78" s="497">
        <f>((ImportQuestion!F236-ImportQuestion!F237)-(ImportQuestion!F80-ImportQuestion!F81))</f>
        <v>-45</v>
      </c>
      <c r="C78" s="464" t="s">
        <v>629</v>
      </c>
      <c r="D78" s="701" t="s">
        <v>2073</v>
      </c>
      <c r="E78" s="456" t="s">
        <v>631</v>
      </c>
      <c r="G78" s="458" t="s">
        <v>632</v>
      </c>
    </row>
    <row r="79" spans="1:7" s="499" customFormat="1" ht="63">
      <c r="A79" s="1008" t="s">
        <v>623</v>
      </c>
      <c r="B79" s="497">
        <f>ImportQuestion!F80-ImportQuestion!F235</f>
        <v>2</v>
      </c>
      <c r="C79" s="462" t="s">
        <v>635</v>
      </c>
      <c r="D79" s="701" t="s">
        <v>2073</v>
      </c>
      <c r="E79" s="456" t="s">
        <v>637</v>
      </c>
      <c r="F79" s="457" t="s">
        <v>636</v>
      </c>
      <c r="G79" s="458" t="s">
        <v>638</v>
      </c>
    </row>
    <row r="80" spans="1:7" s="499" customFormat="1" ht="63">
      <c r="A80" s="1009" t="s">
        <v>640</v>
      </c>
      <c r="B80" s="497">
        <f>ImportQuestion!F246</f>
        <v>2</v>
      </c>
      <c r="C80" s="506" t="s">
        <v>639</v>
      </c>
      <c r="D80" s="701" t="s">
        <v>2073</v>
      </c>
      <c r="E80" s="456" t="s">
        <v>644</v>
      </c>
      <c r="G80" s="458" t="s">
        <v>645</v>
      </c>
    </row>
    <row r="81" spans="1:7" s="499" customFormat="1" ht="63">
      <c r="A81" s="1009" t="s">
        <v>641</v>
      </c>
      <c r="B81" s="497">
        <f>ImportQuestion!F247</f>
        <v>2</v>
      </c>
      <c r="C81" s="506" t="s">
        <v>646</v>
      </c>
      <c r="D81" s="701" t="s">
        <v>2073</v>
      </c>
      <c r="E81" s="456" t="s">
        <v>644</v>
      </c>
      <c r="G81" s="458" t="s">
        <v>645</v>
      </c>
    </row>
    <row r="82" spans="1:7" s="499" customFormat="1" ht="63">
      <c r="A82" s="1008" t="s">
        <v>747</v>
      </c>
      <c r="B82" s="497">
        <f>ImportQuestion!F248</f>
        <v>0</v>
      </c>
      <c r="C82" s="507" t="s">
        <v>751</v>
      </c>
      <c r="D82" s="701" t="s">
        <v>2070</v>
      </c>
      <c r="E82" s="456" t="s">
        <v>748</v>
      </c>
      <c r="G82" s="458" t="s">
        <v>749</v>
      </c>
    </row>
    <row r="83" spans="1:7" s="499" customFormat="1" ht="63">
      <c r="A83" s="1007" t="s">
        <v>788</v>
      </c>
      <c r="B83" s="508">
        <f>ImportQuestion!J252</f>
        <v>0</v>
      </c>
      <c r="C83" s="479" t="s">
        <v>787</v>
      </c>
      <c r="D83" s="701" t="s">
        <v>2072</v>
      </c>
      <c r="E83" s="456" t="s">
        <v>791</v>
      </c>
      <c r="F83" s="457" t="s">
        <v>792</v>
      </c>
      <c r="G83" s="458" t="s">
        <v>790</v>
      </c>
    </row>
    <row r="84" spans="1:7" s="499" customFormat="1" ht="63">
      <c r="A84" s="1008" t="s">
        <v>789</v>
      </c>
      <c r="B84" s="508">
        <f>ImportQuestion!J254</f>
        <v>0.6</v>
      </c>
      <c r="C84" s="509" t="s">
        <v>786</v>
      </c>
      <c r="D84" s="701" t="s">
        <v>2072</v>
      </c>
      <c r="E84" s="456" t="s">
        <v>791</v>
      </c>
      <c r="F84" s="457" t="s">
        <v>792</v>
      </c>
      <c r="G84" s="458" t="s">
        <v>790</v>
      </c>
    </row>
    <row r="85" spans="1:7" s="499" customFormat="1" ht="63">
      <c r="A85" s="450" t="s">
        <v>1306</v>
      </c>
      <c r="B85" s="499">
        <f>AUTOQUESTIONNAIRE!F217</f>
        <v>70</v>
      </c>
      <c r="C85" s="509" t="s">
        <v>1310</v>
      </c>
      <c r="D85" s="701" t="s">
        <v>2073</v>
      </c>
      <c r="E85" s="456" t="s">
        <v>1311</v>
      </c>
      <c r="F85" s="457" t="s">
        <v>1312</v>
      </c>
      <c r="G85" s="458" t="s">
        <v>1313</v>
      </c>
    </row>
    <row r="86" spans="1:7" s="499" customFormat="1" ht="63">
      <c r="A86" s="460" t="s">
        <v>1304</v>
      </c>
      <c r="B86" s="510">
        <f>207.5-(0.78*AUTOQUESTIONNAIRE!F4)</f>
        <v>156.80000000000001</v>
      </c>
      <c r="C86" s="511" t="s">
        <v>1309</v>
      </c>
      <c r="D86" s="815" t="s">
        <v>2073</v>
      </c>
    </row>
    <row r="87" spans="1:7" s="499" customFormat="1" ht="63">
      <c r="A87" s="460" t="s">
        <v>1305</v>
      </c>
      <c r="B87" s="510">
        <f>208.3-(0.74*AUTOQUESTIONNAIRE!F4)</f>
        <v>160.20000000000002</v>
      </c>
      <c r="C87" s="511" t="s">
        <v>1308</v>
      </c>
      <c r="D87" s="816" t="s">
        <v>2073</v>
      </c>
    </row>
    <row r="88" spans="1:7" s="499" customFormat="1" ht="63">
      <c r="A88" s="1008" t="s">
        <v>1376</v>
      </c>
      <c r="B88" s="510">
        <f>0.7*(B86-B85)+B85</f>
        <v>130.76</v>
      </c>
      <c r="C88" s="464" t="s">
        <v>1307</v>
      </c>
      <c r="D88" s="815" t="s">
        <v>2073</v>
      </c>
    </row>
    <row r="89" spans="1:7" s="499" customFormat="1" ht="63">
      <c r="A89" s="1008" t="s">
        <v>1377</v>
      </c>
      <c r="B89" s="510">
        <f>0.7*(B87-B85)+B85</f>
        <v>133.14000000000001</v>
      </c>
      <c r="C89" s="498" t="s">
        <v>1307</v>
      </c>
      <c r="D89" s="816" t="s">
        <v>2073</v>
      </c>
    </row>
    <row r="90" spans="1:7" s="499" customFormat="1" ht="147">
      <c r="A90" s="510" t="s">
        <v>1339</v>
      </c>
      <c r="B90" s="512">
        <f>ImportBiologie!C88</f>
        <v>0</v>
      </c>
      <c r="C90" s="511" t="s">
        <v>1409</v>
      </c>
      <c r="D90" s="701" t="s">
        <v>2067</v>
      </c>
      <c r="E90" s="458" t="s">
        <v>398</v>
      </c>
      <c r="F90" s="489" t="s">
        <v>1439</v>
      </c>
      <c r="G90" s="458" t="s">
        <v>1438</v>
      </c>
    </row>
    <row r="91" spans="1:7" s="499" customFormat="1" ht="147">
      <c r="A91" s="510" t="s">
        <v>1404</v>
      </c>
      <c r="B91" s="512">
        <f>ImportBiologie!E89</f>
        <v>0</v>
      </c>
      <c r="C91" s="513" t="s">
        <v>1405</v>
      </c>
      <c r="D91" s="701" t="s">
        <v>2067</v>
      </c>
      <c r="G91" s="458" t="s">
        <v>1437</v>
      </c>
    </row>
    <row r="92" spans="1:7" s="499" customFormat="1" ht="63">
      <c r="A92" s="734" t="s">
        <v>1232</v>
      </c>
      <c r="B92" s="514">
        <f>ImportBiologie!C89</f>
        <v>10</v>
      </c>
      <c r="C92" s="513" t="s">
        <v>1435</v>
      </c>
      <c r="D92" s="701" t="s">
        <v>2065</v>
      </c>
      <c r="G92" s="458" t="s">
        <v>1436</v>
      </c>
    </row>
    <row r="93" spans="1:7" s="499" customFormat="1" ht="63">
      <c r="A93" s="734" t="s">
        <v>1400</v>
      </c>
      <c r="B93" s="514">
        <f>ImportBiologie!C90</f>
        <v>0</v>
      </c>
      <c r="C93" s="513" t="s">
        <v>1407</v>
      </c>
      <c r="D93" s="816" t="s">
        <v>2065</v>
      </c>
      <c r="G93" s="458" t="s">
        <v>396</v>
      </c>
    </row>
    <row r="94" spans="1:7" s="499" customFormat="1" ht="63">
      <c r="A94" s="734" t="s">
        <v>1260</v>
      </c>
      <c r="B94" s="515">
        <f>ImportBiologie!C91</f>
        <v>0</v>
      </c>
      <c r="C94" s="513" t="s">
        <v>1406</v>
      </c>
      <c r="D94" s="816" t="s">
        <v>2065</v>
      </c>
      <c r="G94" s="458" t="s">
        <v>1434</v>
      </c>
    </row>
    <row r="95" spans="1:7" s="499" customFormat="1" ht="63">
      <c r="A95" s="510" t="s">
        <v>1402</v>
      </c>
      <c r="B95" s="514">
        <f>ImportBiologie!C92</f>
        <v>0</v>
      </c>
      <c r="C95" s="511" t="s">
        <v>1408</v>
      </c>
      <c r="D95" s="701" t="s">
        <v>2073</v>
      </c>
      <c r="G95" s="458" t="s">
        <v>462</v>
      </c>
    </row>
    <row r="96" spans="1:7" s="499" customFormat="1" ht="63">
      <c r="A96" s="510" t="s">
        <v>1340</v>
      </c>
      <c r="B96" s="512">
        <f>ImportBiologie!C94</f>
        <v>0</v>
      </c>
      <c r="C96" s="513" t="s">
        <v>1411</v>
      </c>
      <c r="D96" s="701" t="s">
        <v>2070</v>
      </c>
      <c r="G96" s="458" t="s">
        <v>1433</v>
      </c>
    </row>
    <row r="97" spans="1:7" s="499" customFormat="1" ht="63">
      <c r="A97" s="510" t="s">
        <v>1296</v>
      </c>
      <c r="B97" s="512">
        <f>ImportBiologie!C95</f>
        <v>0</v>
      </c>
      <c r="C97" s="516" t="s">
        <v>1410</v>
      </c>
      <c r="D97" s="701" t="s">
        <v>1058</v>
      </c>
      <c r="G97" s="458" t="s">
        <v>1432</v>
      </c>
    </row>
    <row r="98" spans="1:7" s="499" customFormat="1" ht="105">
      <c r="A98" s="499" t="s">
        <v>1428</v>
      </c>
      <c r="B98" s="497">
        <f>ImportBiologie!C34</f>
        <v>0</v>
      </c>
      <c r="C98" s="735" t="s">
        <v>1429</v>
      </c>
      <c r="D98" s="701" t="s">
        <v>2068</v>
      </c>
      <c r="E98" s="458" t="s">
        <v>637</v>
      </c>
      <c r="F98" s="456" t="s">
        <v>1430</v>
      </c>
      <c r="G98" s="458" t="s">
        <v>1431</v>
      </c>
    </row>
    <row r="99" spans="1:7" s="499" customFormat="1" ht="105">
      <c r="A99" s="460" t="s">
        <v>1441</v>
      </c>
      <c r="B99" s="497">
        <f>AUTOQUESTIONNAIRE!F216</f>
        <v>0</v>
      </c>
      <c r="C99" s="735" t="s">
        <v>1444</v>
      </c>
      <c r="D99" s="815" t="s">
        <v>2066</v>
      </c>
      <c r="G99" s="458" t="s">
        <v>1445</v>
      </c>
    </row>
    <row r="100" spans="1:7" s="499" customFormat="1" ht="105">
      <c r="A100" s="1008" t="s">
        <v>1442</v>
      </c>
      <c r="B100" s="497"/>
      <c r="C100" s="735" t="s">
        <v>1443</v>
      </c>
      <c r="D100" s="816" t="s">
        <v>2066</v>
      </c>
      <c r="G100" s="458" t="s">
        <v>1446</v>
      </c>
    </row>
    <row r="101" spans="1:7" s="499" customFormat="1" ht="84">
      <c r="A101" s="736" t="s">
        <v>1588</v>
      </c>
      <c r="B101" s="517">
        <f>(ImportBiologie!C96/100)*(ImportBiologie!C15)</f>
        <v>0</v>
      </c>
      <c r="C101" s="518" t="s">
        <v>1576</v>
      </c>
      <c r="D101" s="701" t="s">
        <v>1049</v>
      </c>
      <c r="E101" s="458" t="s">
        <v>1578</v>
      </c>
      <c r="F101" s="456" t="s">
        <v>1579</v>
      </c>
      <c r="G101" s="458" t="s">
        <v>555</v>
      </c>
    </row>
    <row r="102" spans="1:7" s="499" customFormat="1" ht="63">
      <c r="A102" s="736" t="s">
        <v>1589</v>
      </c>
      <c r="B102" s="517">
        <f>ImportBiologie!C97</f>
        <v>0.1</v>
      </c>
      <c r="C102" s="518" t="s">
        <v>1577</v>
      </c>
      <c r="D102" s="701" t="s">
        <v>1049</v>
      </c>
      <c r="E102" s="458" t="s">
        <v>1580</v>
      </c>
      <c r="F102" s="456" t="s">
        <v>1581</v>
      </c>
      <c r="G102" s="458" t="s">
        <v>418</v>
      </c>
    </row>
    <row r="103" spans="1:7" s="499" customFormat="1">
      <c r="B103" s="497"/>
      <c r="C103" s="498"/>
      <c r="D103" s="500"/>
    </row>
    <row r="104" spans="1:7" s="499" customFormat="1" ht="126">
      <c r="A104" s="731" t="s">
        <v>1644</v>
      </c>
      <c r="B104" s="497">
        <f>AUTOQUESTIONNAIRE!F241</f>
        <v>0</v>
      </c>
      <c r="C104" s="452" t="s">
        <v>2126</v>
      </c>
      <c r="D104" s="815" t="s">
        <v>1075</v>
      </c>
      <c r="E104" s="1008" t="s">
        <v>396</v>
      </c>
      <c r="F104" s="1008" t="s">
        <v>386</v>
      </c>
      <c r="G104" s="458" t="s">
        <v>2137</v>
      </c>
    </row>
    <row r="105" spans="1:7" s="499" customFormat="1" ht="105">
      <c r="A105" s="731" t="s">
        <v>1943</v>
      </c>
      <c r="B105" s="497">
        <f>AUTOQUESTIONNAIRE!F214</f>
        <v>0</v>
      </c>
      <c r="C105" s="511" t="s">
        <v>2127</v>
      </c>
      <c r="D105" s="701" t="s">
        <v>2066</v>
      </c>
      <c r="E105" s="1008" t="s">
        <v>2922</v>
      </c>
      <c r="F105" s="1008"/>
      <c r="G105" s="1008" t="s">
        <v>2928</v>
      </c>
    </row>
    <row r="106" spans="1:7" s="499" customFormat="1" ht="63">
      <c r="A106" s="732" t="s">
        <v>2138</v>
      </c>
      <c r="B106" s="497">
        <f>AUTOQUESTIONNAIRE!F242</f>
        <v>0</v>
      </c>
      <c r="C106" s="737" t="s">
        <v>2130</v>
      </c>
      <c r="D106" s="701" t="s">
        <v>2071</v>
      </c>
      <c r="E106" s="1008" t="s">
        <v>2923</v>
      </c>
      <c r="F106" s="1008"/>
      <c r="G106" s="1008" t="s">
        <v>416</v>
      </c>
    </row>
    <row r="107" spans="1:7" s="499" customFormat="1" ht="63">
      <c r="A107" s="732" t="s">
        <v>1115</v>
      </c>
      <c r="B107" s="497">
        <f>AUTOQUESTIONNAIRE!F243</f>
        <v>0</v>
      </c>
      <c r="C107" s="738" t="s">
        <v>2129</v>
      </c>
      <c r="D107" s="701" t="s">
        <v>2071</v>
      </c>
      <c r="E107" s="1008" t="s">
        <v>2924</v>
      </c>
      <c r="F107" s="1008"/>
      <c r="G107" s="1008" t="s">
        <v>2929</v>
      </c>
    </row>
    <row r="108" spans="1:7" ht="63">
      <c r="A108" s="732" t="s">
        <v>1116</v>
      </c>
      <c r="B108" s="497">
        <f>AUTOQUESTIONNAIRE!F244</f>
        <v>0</v>
      </c>
      <c r="C108" s="737" t="s">
        <v>2135</v>
      </c>
      <c r="D108" s="701" t="s">
        <v>2071</v>
      </c>
      <c r="E108" s="1008" t="s">
        <v>2925</v>
      </c>
      <c r="F108" s="1008"/>
      <c r="G108" s="1008" t="s">
        <v>2930</v>
      </c>
    </row>
    <row r="109" spans="1:7" ht="63">
      <c r="A109" s="733" t="s">
        <v>1479</v>
      </c>
      <c r="B109" s="497">
        <f>AUTOQUESTIONNAIRE!F245</f>
        <v>1</v>
      </c>
      <c r="C109" s="737" t="s">
        <v>2131</v>
      </c>
      <c r="D109" s="701" t="s">
        <v>2071</v>
      </c>
      <c r="E109" s="1008" t="s">
        <v>2926</v>
      </c>
      <c r="F109" s="1008"/>
      <c r="G109" s="1008" t="s">
        <v>2155</v>
      </c>
    </row>
    <row r="110" spans="1:7" ht="63">
      <c r="A110" s="537" t="s">
        <v>2214</v>
      </c>
      <c r="B110" s="497">
        <f>AUTOQUESTIONNAIRE!F246</f>
        <v>0</v>
      </c>
      <c r="C110" s="452" t="s">
        <v>2128</v>
      </c>
      <c r="D110" s="701" t="s">
        <v>2071</v>
      </c>
      <c r="E110" s="1008" t="s">
        <v>2927</v>
      </c>
      <c r="F110" s="1008"/>
      <c r="G110" s="458" t="s">
        <v>2155</v>
      </c>
    </row>
    <row r="111" spans="1:7" ht="84">
      <c r="A111" s="450" t="s">
        <v>1948</v>
      </c>
      <c r="B111" s="451">
        <f>ImportBiologie!C8</f>
        <v>0</v>
      </c>
      <c r="C111" s="452" t="s">
        <v>2132</v>
      </c>
      <c r="D111" s="701" t="s">
        <v>2071</v>
      </c>
      <c r="E111" s="458" t="s">
        <v>2139</v>
      </c>
      <c r="F111" s="456" t="s">
        <v>2140</v>
      </c>
      <c r="G111" s="458" t="s">
        <v>2141</v>
      </c>
    </row>
    <row r="112" spans="1:7" ht="63">
      <c r="A112" s="510" t="s">
        <v>2133</v>
      </c>
      <c r="B112" s="451">
        <f>ImportBiologie!C93</f>
        <v>0</v>
      </c>
      <c r="C112" s="452" t="s">
        <v>2133</v>
      </c>
      <c r="D112" s="701" t="s">
        <v>2073</v>
      </c>
      <c r="E112" s="1008" t="s">
        <v>2142</v>
      </c>
      <c r="F112" s="456" t="s">
        <v>2142</v>
      </c>
    </row>
    <row r="113" spans="1:7" ht="63">
      <c r="A113" s="450" t="s">
        <v>2156</v>
      </c>
      <c r="B113" s="451">
        <f>ImportBiologie!C116</f>
        <v>60</v>
      </c>
      <c r="C113" s="737" t="s">
        <v>2136</v>
      </c>
      <c r="D113" s="701" t="s">
        <v>1049</v>
      </c>
      <c r="E113" s="1008" t="s">
        <v>2931</v>
      </c>
      <c r="G113" s="458" t="s">
        <v>2144</v>
      </c>
    </row>
    <row r="114" spans="1:7" ht="63">
      <c r="A114" s="211" t="s">
        <v>2157</v>
      </c>
      <c r="B114" s="451">
        <f>ImportBiologie!C117</f>
        <v>1</v>
      </c>
      <c r="C114" s="452" t="s">
        <v>2134</v>
      </c>
      <c r="D114" s="701" t="s">
        <v>1049</v>
      </c>
      <c r="E114" s="1008" t="s">
        <v>769</v>
      </c>
      <c r="G114" s="458" t="s">
        <v>2143</v>
      </c>
    </row>
    <row r="115" spans="1:7" ht="105">
      <c r="A115" s="450" t="s">
        <v>1964</v>
      </c>
      <c r="B115" s="451">
        <f>ImportBiologie!C57-(ImportBiologie!C57-ImportBiologie!E57)*0.4</f>
        <v>68</v>
      </c>
      <c r="C115" s="452" t="s">
        <v>1966</v>
      </c>
      <c r="D115" s="701" t="s">
        <v>2066</v>
      </c>
    </row>
    <row r="116" spans="1:7" ht="105">
      <c r="A116" s="518" t="s">
        <v>1645</v>
      </c>
      <c r="B116" s="518">
        <f>ImportBiologie!C108</f>
        <v>0</v>
      </c>
      <c r="C116" s="450" t="s">
        <v>2180</v>
      </c>
      <c r="D116" s="701" t="s">
        <v>2066</v>
      </c>
      <c r="E116" s="1008" t="s">
        <v>2932</v>
      </c>
      <c r="F116" s="1008"/>
      <c r="G116" s="1008"/>
    </row>
    <row r="117" spans="1:7" ht="105">
      <c r="A117" s="518" t="s">
        <v>2160</v>
      </c>
      <c r="B117" s="518">
        <f>ImportBiologie!C109</f>
        <v>0</v>
      </c>
      <c r="C117" s="450" t="s">
        <v>2189</v>
      </c>
      <c r="D117" s="701" t="s">
        <v>2068</v>
      </c>
      <c r="E117" s="1008" t="s">
        <v>2933</v>
      </c>
      <c r="F117" s="1008"/>
      <c r="G117" s="1008"/>
    </row>
    <row r="118" spans="1:7" ht="105">
      <c r="A118" s="518" t="s">
        <v>1647</v>
      </c>
      <c r="B118" s="518">
        <f>ImportBiologie!C110</f>
        <v>0</v>
      </c>
      <c r="C118" s="450" t="s">
        <v>2181</v>
      </c>
      <c r="D118" s="701" t="s">
        <v>2068</v>
      </c>
      <c r="E118" s="1010">
        <v>42125</v>
      </c>
      <c r="F118" s="1008"/>
      <c r="G118" s="1008" t="s">
        <v>2934</v>
      </c>
    </row>
    <row r="119" spans="1:7" ht="105">
      <c r="A119" s="518" t="s">
        <v>2161</v>
      </c>
      <c r="B119" s="518">
        <f>ImportBiologie!C111</f>
        <v>0</v>
      </c>
      <c r="C119" s="450" t="s">
        <v>2182</v>
      </c>
      <c r="D119" s="701" t="s">
        <v>2068</v>
      </c>
      <c r="E119" s="1008" t="s">
        <v>2935</v>
      </c>
      <c r="F119" s="1008"/>
      <c r="G119" s="1008"/>
    </row>
    <row r="120" spans="1:7" ht="42">
      <c r="A120" s="518" t="s">
        <v>1653</v>
      </c>
      <c r="B120" s="518">
        <f>ImportBiologie!C112</f>
        <v>0</v>
      </c>
      <c r="C120" s="450" t="s">
        <v>2190</v>
      </c>
      <c r="D120" s="701" t="s">
        <v>2069</v>
      </c>
      <c r="E120" s="1008" t="s">
        <v>2936</v>
      </c>
      <c r="F120" s="1008"/>
      <c r="G120" s="1008"/>
    </row>
    <row r="121" spans="1:7" ht="63">
      <c r="A121" s="518" t="s">
        <v>2162</v>
      </c>
      <c r="B121" s="518">
        <f>ImportBiologie!C114</f>
        <v>0</v>
      </c>
      <c r="C121" s="450" t="s">
        <v>2183</v>
      </c>
      <c r="D121" s="701" t="s">
        <v>1058</v>
      </c>
      <c r="E121" s="1008" t="s">
        <v>2937</v>
      </c>
      <c r="F121" s="1008"/>
      <c r="G121" s="1008"/>
    </row>
    <row r="122" spans="1:7" ht="63">
      <c r="A122" s="518" t="s">
        <v>2163</v>
      </c>
      <c r="B122" s="518">
        <f>ImportBiologie!C115</f>
        <v>0</v>
      </c>
      <c r="C122" s="450" t="s">
        <v>2184</v>
      </c>
      <c r="D122" s="701" t="s">
        <v>1058</v>
      </c>
      <c r="E122" s="1008" t="s">
        <v>2938</v>
      </c>
      <c r="F122" s="1008"/>
      <c r="G122" s="1008"/>
    </row>
    <row r="123" spans="1:7" ht="84">
      <c r="A123" s="518" t="s">
        <v>2164</v>
      </c>
      <c r="B123" s="518">
        <f>ImportBiologie!C118</f>
        <v>0</v>
      </c>
      <c r="C123" s="450" t="s">
        <v>2191</v>
      </c>
      <c r="D123" s="701" t="s">
        <v>2080</v>
      </c>
      <c r="E123" s="1008" t="s">
        <v>2939</v>
      </c>
      <c r="F123" s="1008"/>
      <c r="G123" s="1008"/>
    </row>
    <row r="124" spans="1:7" ht="63">
      <c r="A124" s="518" t="s">
        <v>2165</v>
      </c>
      <c r="B124" s="518">
        <f>ImportBiologie!C119</f>
        <v>0</v>
      </c>
      <c r="C124" s="450" t="s">
        <v>2188</v>
      </c>
      <c r="D124" s="701" t="s">
        <v>1058</v>
      </c>
      <c r="E124" s="1008" t="s">
        <v>2957</v>
      </c>
      <c r="F124" s="1008" t="s">
        <v>2940</v>
      </c>
      <c r="G124" s="1008"/>
    </row>
    <row r="125" spans="1:7" ht="63">
      <c r="A125" s="518" t="s">
        <v>2166</v>
      </c>
      <c r="B125" s="518">
        <f>ImportBiologie!C120</f>
        <v>0</v>
      </c>
      <c r="C125" s="450" t="s">
        <v>2958</v>
      </c>
      <c r="D125" s="701" t="s">
        <v>2065</v>
      </c>
      <c r="E125" s="1008" t="s">
        <v>2941</v>
      </c>
      <c r="F125" s="1008"/>
      <c r="G125" s="1008"/>
    </row>
    <row r="126" spans="1:7" ht="63">
      <c r="A126" s="518" t="s">
        <v>2167</v>
      </c>
      <c r="B126" s="518">
        <f>ImportBiologie!C121</f>
        <v>0</v>
      </c>
      <c r="C126" s="450" t="s">
        <v>2959</v>
      </c>
      <c r="D126" s="701" t="s">
        <v>2065</v>
      </c>
      <c r="E126" s="1010">
        <v>44896</v>
      </c>
      <c r="F126" s="1008"/>
      <c r="G126" s="1008"/>
    </row>
    <row r="127" spans="1:7" ht="105">
      <c r="A127" s="518" t="s">
        <v>2168</v>
      </c>
      <c r="B127" s="518">
        <f>ImportBiologie!C122</f>
        <v>0</v>
      </c>
      <c r="C127" s="450" t="s">
        <v>2185</v>
      </c>
      <c r="D127" s="701" t="s">
        <v>2068</v>
      </c>
      <c r="E127" s="1010">
        <v>41852</v>
      </c>
      <c r="F127" s="1008"/>
      <c r="G127" s="1008"/>
    </row>
    <row r="128" spans="1:7" ht="105">
      <c r="A128" s="518" t="s">
        <v>1666</v>
      </c>
      <c r="B128" s="518">
        <f>ImportBiologie!C123</f>
        <v>0</v>
      </c>
      <c r="C128" s="450" t="s">
        <v>2192</v>
      </c>
      <c r="D128" s="701" t="s">
        <v>2068</v>
      </c>
      <c r="E128" s="1008" t="s">
        <v>2942</v>
      </c>
      <c r="F128" s="1008"/>
      <c r="G128" s="1008"/>
    </row>
    <row r="129" spans="1:7" ht="105">
      <c r="A129" s="518" t="s">
        <v>2169</v>
      </c>
      <c r="B129" s="518">
        <f>ImportBiologie!C124</f>
        <v>0</v>
      </c>
      <c r="C129" s="450" t="s">
        <v>2193</v>
      </c>
      <c r="D129" s="701" t="s">
        <v>2068</v>
      </c>
      <c r="E129" s="1008" t="s">
        <v>2943</v>
      </c>
      <c r="F129" s="1008"/>
      <c r="G129" s="1008"/>
    </row>
    <row r="130" spans="1:7" ht="105">
      <c r="A130" s="518" t="s">
        <v>2170</v>
      </c>
      <c r="B130" s="518">
        <f>ImportBiologie!C125</f>
        <v>0</v>
      </c>
      <c r="C130" s="450" t="s">
        <v>2186</v>
      </c>
      <c r="D130" s="701" t="s">
        <v>2068</v>
      </c>
      <c r="E130" s="1008" t="s">
        <v>554</v>
      </c>
      <c r="F130" s="1008"/>
      <c r="G130" s="1008" t="s">
        <v>625</v>
      </c>
    </row>
    <row r="131" spans="1:7" ht="105">
      <c r="A131" s="518" t="s">
        <v>1670</v>
      </c>
      <c r="B131" s="518">
        <f>ImportBiologie!C126</f>
        <v>0</v>
      </c>
      <c r="C131" s="450" t="s">
        <v>2194</v>
      </c>
      <c r="D131" s="701" t="s">
        <v>2068</v>
      </c>
      <c r="E131" s="1008" t="s">
        <v>2944</v>
      </c>
      <c r="F131" s="1008"/>
      <c r="G131" s="1008" t="s">
        <v>499</v>
      </c>
    </row>
    <row r="132" spans="1:7" ht="105">
      <c r="A132" s="518" t="s">
        <v>1672</v>
      </c>
      <c r="B132" s="518">
        <f>ImportBiologie!C127</f>
        <v>0</v>
      </c>
      <c r="C132" s="450" t="s">
        <v>2195</v>
      </c>
      <c r="D132" s="701" t="s">
        <v>2068</v>
      </c>
      <c r="E132" s="1008" t="s">
        <v>2945</v>
      </c>
      <c r="F132" s="1008"/>
      <c r="G132" s="1008"/>
    </row>
    <row r="133" spans="1:7" ht="42">
      <c r="A133" s="518" t="s">
        <v>2171</v>
      </c>
      <c r="B133" s="518" t="str">
        <f>ImportBiologie!C128</f>
        <v xml:space="preserve">Negative </v>
      </c>
      <c r="C133" s="450" t="s">
        <v>2196</v>
      </c>
      <c r="D133" s="817" t="s">
        <v>2354</v>
      </c>
      <c r="E133" s="1008" t="s">
        <v>2946</v>
      </c>
      <c r="F133" s="1008"/>
      <c r="G133" s="1008" t="s">
        <v>2947</v>
      </c>
    </row>
    <row r="134" spans="1:7" ht="42">
      <c r="A134" s="518" t="s">
        <v>2172</v>
      </c>
      <c r="B134" s="518" t="str">
        <f>ImportBiologie!C129</f>
        <v xml:space="preserve">Negative </v>
      </c>
      <c r="C134" s="450" t="s">
        <v>2187</v>
      </c>
      <c r="D134" s="817" t="s">
        <v>2354</v>
      </c>
      <c r="E134" s="1008" t="s">
        <v>2946</v>
      </c>
      <c r="F134" s="1008"/>
      <c r="G134" s="1008" t="s">
        <v>2947</v>
      </c>
    </row>
    <row r="135" spans="1:7" ht="42">
      <c r="A135" s="518" t="s">
        <v>1675</v>
      </c>
      <c r="B135" s="518" t="str">
        <f>ImportBiologie!C130</f>
        <v xml:space="preserve">Negative </v>
      </c>
      <c r="C135" s="450" t="s">
        <v>2197</v>
      </c>
      <c r="D135" s="817" t="s">
        <v>2354</v>
      </c>
      <c r="E135" s="1008" t="s">
        <v>2946</v>
      </c>
      <c r="F135" s="1008"/>
      <c r="G135" s="1008" t="s">
        <v>2947</v>
      </c>
    </row>
    <row r="136" spans="1:7" ht="42">
      <c r="A136" s="518" t="s">
        <v>2173</v>
      </c>
      <c r="B136" s="518" t="str">
        <f>ImportBiologie!C131</f>
        <v xml:space="preserve">Negative </v>
      </c>
      <c r="C136" s="450" t="s">
        <v>2198</v>
      </c>
      <c r="D136" s="817" t="s">
        <v>2354</v>
      </c>
      <c r="E136" s="1008" t="s">
        <v>362</v>
      </c>
      <c r="F136" s="1008"/>
      <c r="G136" s="1008" t="s">
        <v>2948</v>
      </c>
    </row>
    <row r="137" spans="1:7" ht="42">
      <c r="A137" s="518" t="s">
        <v>2174</v>
      </c>
      <c r="B137" s="518" t="str">
        <f>ImportBiologie!C132</f>
        <v xml:space="preserve">Negative </v>
      </c>
      <c r="C137" s="450" t="s">
        <v>2199</v>
      </c>
      <c r="D137" s="817" t="s">
        <v>2355</v>
      </c>
      <c r="E137" s="1008" t="s">
        <v>2946</v>
      </c>
      <c r="F137" s="1008"/>
      <c r="G137" s="1008" t="s">
        <v>2947</v>
      </c>
    </row>
    <row r="138" spans="1:7" ht="105">
      <c r="A138" s="518" t="s">
        <v>2175</v>
      </c>
      <c r="B138" s="518">
        <f>ImportBiologie!C133</f>
        <v>0</v>
      </c>
      <c r="C138" s="450" t="s">
        <v>2200</v>
      </c>
      <c r="D138" s="701" t="s">
        <v>2068</v>
      </c>
      <c r="E138" s="1008" t="s">
        <v>2137</v>
      </c>
      <c r="F138" s="1008"/>
      <c r="G138" s="1008" t="s">
        <v>464</v>
      </c>
    </row>
    <row r="139" spans="1:7" ht="105">
      <c r="A139" s="518" t="s">
        <v>2176</v>
      </c>
      <c r="B139" s="518">
        <f>ImportBiologie!C134</f>
        <v>0</v>
      </c>
      <c r="C139" s="450" t="s">
        <v>2201</v>
      </c>
      <c r="D139" s="701" t="s">
        <v>2068</v>
      </c>
      <c r="E139" s="1008" t="s">
        <v>406</v>
      </c>
      <c r="F139" s="1008"/>
      <c r="G139" s="1008" t="s">
        <v>2949</v>
      </c>
    </row>
    <row r="140" spans="1:7" ht="42">
      <c r="A140" s="518" t="s">
        <v>2177</v>
      </c>
      <c r="B140" s="518" t="str">
        <f>ImportBiologie!C135</f>
        <v xml:space="preserve">Negative </v>
      </c>
      <c r="C140" s="450" t="s">
        <v>2202</v>
      </c>
      <c r="D140" s="817" t="s">
        <v>2355</v>
      </c>
      <c r="E140" s="1008" t="s">
        <v>472</v>
      </c>
      <c r="F140" s="1008"/>
      <c r="G140" s="1008"/>
    </row>
    <row r="141" spans="1:7" ht="42">
      <c r="A141" s="518" t="s">
        <v>2178</v>
      </c>
      <c r="B141" s="821">
        <f>ImportBiologie!C136</f>
        <v>0</v>
      </c>
      <c r="C141" s="450" t="s">
        <v>2209</v>
      </c>
      <c r="D141" s="817" t="s">
        <v>2355</v>
      </c>
      <c r="E141" s="1008" t="s">
        <v>1977</v>
      </c>
      <c r="F141" s="1008"/>
      <c r="G141" s="1008" t="s">
        <v>409</v>
      </c>
    </row>
    <row r="142" spans="1:7" ht="63">
      <c r="A142" s="518" t="s">
        <v>2179</v>
      </c>
      <c r="B142" s="518" t="str">
        <f>ImportBiologie!C137</f>
        <v xml:space="preserve">Negative </v>
      </c>
      <c r="C142" s="450" t="s">
        <v>2210</v>
      </c>
      <c r="D142" s="815" t="s">
        <v>1075</v>
      </c>
      <c r="E142" s="1008" t="s">
        <v>2950</v>
      </c>
      <c r="F142" s="1008"/>
      <c r="G142" s="1008" t="s">
        <v>2951</v>
      </c>
    </row>
    <row r="143" spans="1:7">
      <c r="A143" s="518" t="s">
        <v>1978</v>
      </c>
      <c r="B143" s="822" t="str">
        <f>ImportBiologie!C137</f>
        <v xml:space="preserve">Negative </v>
      </c>
      <c r="C143" s="450" t="s">
        <v>2211</v>
      </c>
      <c r="E143" s="1008" t="s">
        <v>2946</v>
      </c>
      <c r="F143" s="1008"/>
      <c r="G143" s="1008" t="s">
        <v>2947</v>
      </c>
    </row>
    <row r="144" spans="1:7" ht="42">
      <c r="A144" s="537" t="s">
        <v>1726</v>
      </c>
      <c r="B144" s="818">
        <f>AUTOQUESTIONNAIRE!F247</f>
        <v>0</v>
      </c>
      <c r="C144" s="737" t="s">
        <v>2215</v>
      </c>
      <c r="D144" s="701" t="s">
        <v>2069</v>
      </c>
      <c r="E144" s="1008" t="s">
        <v>2952</v>
      </c>
      <c r="F144" s="1008"/>
      <c r="G144" s="1008" t="s">
        <v>2953</v>
      </c>
    </row>
    <row r="145" spans="1:7" ht="42">
      <c r="A145" s="537" t="s">
        <v>1727</v>
      </c>
      <c r="B145" s="451">
        <f>AUTOQUESTIONNAIRE!F248</f>
        <v>0</v>
      </c>
      <c r="C145" s="452" t="s">
        <v>2216</v>
      </c>
      <c r="D145" s="701" t="s">
        <v>2069</v>
      </c>
      <c r="E145" s="1008" t="s">
        <v>409</v>
      </c>
      <c r="F145" s="1008"/>
      <c r="G145" s="1008" t="s">
        <v>1977</v>
      </c>
    </row>
    <row r="146" spans="1:7" ht="63">
      <c r="A146" s="331" t="s">
        <v>2371</v>
      </c>
      <c r="B146" s="846">
        <f>AUTOQUESTIONNAIRE!K187</f>
        <v>1.261716067933869E-2</v>
      </c>
      <c r="C146" s="452" t="s">
        <v>2372</v>
      </c>
      <c r="D146" s="701" t="s">
        <v>2073</v>
      </c>
      <c r="E146" s="1008"/>
      <c r="F146" s="1008"/>
      <c r="G146" s="1008"/>
    </row>
    <row r="147" spans="1:7" ht="63">
      <c r="A147" s="316" t="s">
        <v>2702</v>
      </c>
      <c r="B147" s="451">
        <f>AUTOQUESTIONNAIRE!H249</f>
        <v>0.3</v>
      </c>
      <c r="C147" s="883" t="s">
        <v>2703</v>
      </c>
      <c r="D147" s="817" t="s">
        <v>2355</v>
      </c>
      <c r="E147" s="1008">
        <v>0</v>
      </c>
      <c r="F147" s="1010"/>
      <c r="G147" s="1008" t="s">
        <v>1438</v>
      </c>
    </row>
    <row r="148" spans="1:7" ht="42">
      <c r="A148" s="316" t="s">
        <v>2708</v>
      </c>
      <c r="B148" s="451">
        <f>AUTOQUESTIONNAIRE!G346</f>
        <v>10</v>
      </c>
      <c r="C148" s="886" t="s">
        <v>2711</v>
      </c>
      <c r="D148" s="817" t="s">
        <v>2355</v>
      </c>
      <c r="E148" s="1008" t="s">
        <v>396</v>
      </c>
      <c r="F148" s="1008"/>
      <c r="G148" s="1008" t="s">
        <v>638</v>
      </c>
    </row>
    <row r="149" spans="1:7" ht="126">
      <c r="A149" s="450" t="s">
        <v>2882</v>
      </c>
      <c r="B149" s="993">
        <f>ImportBiologie!C139</f>
        <v>0</v>
      </c>
      <c r="C149" s="452" t="s">
        <v>2960</v>
      </c>
      <c r="D149" s="701" t="s">
        <v>2069</v>
      </c>
      <c r="E149" s="1008" t="s">
        <v>2954</v>
      </c>
      <c r="F149" s="1008" t="s">
        <v>2955</v>
      </c>
      <c r="G149" s="1008" t="s">
        <v>2956</v>
      </c>
    </row>
  </sheetData>
  <autoFilter ref="A1:H115" xr:uid="{FCD48571-2A71-4440-ACFB-DEC2D9C6D01A}"/>
  <conditionalFormatting sqref="B4">
    <cfRule type="cellIs" dxfId="75" priority="163" operator="lessThan">
      <formula>0.185</formula>
    </cfRule>
    <cfRule type="cellIs" dxfId="74" priority="162" operator="greaterThan">
      <formula>0.29</formula>
    </cfRule>
    <cfRule type="cellIs" dxfId="73" priority="160" operator="between">
      <formula>0.25</formula>
      <formula>0.3</formula>
    </cfRule>
    <cfRule type="cellIs" dxfId="72"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71" priority="142" operator="greaterThan">
      <formula>93.1</formula>
    </cfRule>
    <cfRule type="cellIs" dxfId="70" priority="145" operator="equal">
      <formula>0</formula>
    </cfRule>
    <cfRule type="cellIs" dxfId="69" priority="143" operator="between">
      <formula>88</formula>
      <formula>93</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68"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67" priority="124" operator="between">
      <formula>600</formula>
      <formula>3000</formula>
    </cfRule>
    <cfRule type="cellIs" dxfId="66" priority="127" operator="equal">
      <formula>0</formula>
    </cfRule>
  </conditionalFormatting>
  <conditionalFormatting sqref="B14">
    <cfRule type="cellIs" dxfId="65"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64" priority="178" operator="between">
      <formula>0.1</formula>
      <formula>0.3</formula>
    </cfRule>
    <cfRule type="cellIs" dxfId="63" priority="172" operator="equal">
      <formula>0</formula>
    </cfRule>
  </conditionalFormatting>
  <conditionalFormatting sqref="B20">
    <cfRule type="colorScale" priority="45">
      <colorScale>
        <cfvo type="num" val="1"/>
        <cfvo type="num" val="2"/>
        <cfvo type="num" val="2.5"/>
        <color rgb="FF00B050"/>
        <color rgb="FFFFEB84"/>
        <color rgb="FFFF0000"/>
      </colorScale>
    </cfRule>
    <cfRule type="cellIs" dxfId="62"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61" priority="170" operator="lessThan">
      <formula>2</formula>
    </cfRule>
  </conditionalFormatting>
  <conditionalFormatting sqref="B24">
    <cfRule type="cellIs" dxfId="60" priority="38" operator="greaterThan">
      <formula>10</formula>
    </cfRule>
  </conditionalFormatting>
  <conditionalFormatting sqref="B25">
    <cfRule type="cellIs" dxfId="59" priority="41" operator="equal">
      <formula>"H"</formula>
    </cfRule>
    <cfRule type="cellIs" dxfId="58" priority="23" operator="equal">
      <formula>"L"</formula>
    </cfRule>
  </conditionalFormatting>
  <conditionalFormatting sqref="B27">
    <cfRule type="cellIs" dxfId="57"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56" priority="94" operator="between">
      <formula>11.6</formula>
      <formula>16.6</formula>
    </cfRule>
  </conditionalFormatting>
  <conditionalFormatting sqref="B33">
    <cfRule type="cellIs" dxfId="55" priority="97" operator="between">
      <formula>3.4</formula>
      <formula>9.6</formula>
    </cfRule>
  </conditionalFormatting>
  <conditionalFormatting sqref="B34">
    <cfRule type="cellIs" dxfId="54" priority="96" operator="between">
      <formula>1.5</formula>
      <formula>6.5</formula>
    </cfRule>
  </conditionalFormatting>
  <conditionalFormatting sqref="B36">
    <cfRule type="cellIs" dxfId="53" priority="93" operator="between">
      <formula>0.95</formula>
      <formula>3.1</formula>
    </cfRule>
  </conditionalFormatting>
  <conditionalFormatting sqref="B37">
    <cfRule type="cellIs" dxfId="52" priority="92" operator="between">
      <formula>135</formula>
      <formula>371</formula>
    </cfRule>
  </conditionalFormatting>
  <conditionalFormatting sqref="B38">
    <cfRule type="cellIs" dxfId="51" priority="90" operator="between">
      <formula>11</formula>
      <formula>340</formula>
    </cfRule>
  </conditionalFormatting>
  <conditionalFormatting sqref="B39:B40">
    <cfRule type="cellIs" dxfId="50" priority="88" operator="greaterThan">
      <formula>60</formula>
    </cfRule>
  </conditionalFormatting>
  <conditionalFormatting sqref="B42">
    <cfRule type="cellIs" dxfId="49" priority="37" operator="greaterThan">
      <formula>2</formula>
    </cfRule>
  </conditionalFormatting>
  <conditionalFormatting sqref="B43">
    <cfRule type="cellIs" dxfId="48" priority="87" operator="greaterThan">
      <formula>70</formula>
    </cfRule>
  </conditionalFormatting>
  <conditionalFormatting sqref="B44">
    <cfRule type="cellIs" dxfId="47" priority="35" operator="between">
      <formula>0.4</formula>
      <formula>4</formula>
    </cfRule>
  </conditionalFormatting>
  <conditionalFormatting sqref="B45">
    <cfRule type="cellIs" dxfId="46" priority="34" operator="lessThan">
      <formula>500</formula>
    </cfRule>
    <cfRule type="cellIs" dxfId="45" priority="60" operator="greaterThan">
      <formula>700</formula>
    </cfRule>
  </conditionalFormatting>
  <conditionalFormatting sqref="B46">
    <cfRule type="cellIs" dxfId="44" priority="59" operator="greaterThan">
      <formula>80</formula>
    </cfRule>
  </conditionalFormatting>
  <conditionalFormatting sqref="B47">
    <cfRule type="cellIs" dxfId="43" priority="57" operator="between">
      <formula>60</formula>
      <formula>80</formula>
    </cfRule>
    <cfRule type="cellIs" dxfId="42" priority="56" operator="lessThan">
      <formula>60</formula>
    </cfRule>
  </conditionalFormatting>
  <conditionalFormatting sqref="B48">
    <cfRule type="cellIs" dxfId="41" priority="55" operator="between">
      <formula>1</formula>
      <formula>2</formula>
    </cfRule>
    <cfRule type="cellIs" dxfId="40" priority="54" operator="between">
      <formula>0.1</formula>
      <formula>1</formula>
    </cfRule>
  </conditionalFormatting>
  <conditionalFormatting sqref="B49">
    <cfRule type="cellIs" dxfId="39" priority="32" operator="greaterThan">
      <formula>0.16</formula>
    </cfRule>
    <cfRule type="cellIs" dxfId="38" priority="33" operator="between">
      <formula>0.12</formula>
      <formula>0.16</formula>
    </cfRule>
  </conditionalFormatting>
  <conditionalFormatting sqref="B50">
    <cfRule type="cellIs" dxfId="37" priority="31" operator="between">
      <formula>3</formula>
      <formula>6</formula>
    </cfRule>
    <cfRule type="cellIs" dxfId="36" priority="159" operator="greaterThan">
      <formula>6</formula>
    </cfRule>
  </conditionalFormatting>
  <conditionalFormatting sqref="B51">
    <cfRule type="cellIs" dxfId="35" priority="158" operator="greaterThan">
      <formula>2.5</formula>
    </cfRule>
  </conditionalFormatting>
  <conditionalFormatting sqref="B52">
    <cfRule type="cellIs" dxfId="34" priority="22" operator="lessThan">
      <formula>200</formula>
    </cfRule>
    <cfRule type="cellIs" dxfId="33" priority="21" operator="greaterThan">
      <formula>1000</formula>
    </cfRule>
  </conditionalFormatting>
  <conditionalFormatting sqref="B53">
    <cfRule type="cellIs" dxfId="32" priority="17" operator="equal">
      <formula>0</formula>
    </cfRule>
    <cfRule type="cellIs" dxfId="31" priority="16" operator="between">
      <formula>600</formula>
      <formula>3000</formula>
    </cfRule>
  </conditionalFormatting>
  <conditionalFormatting sqref="B54:B56">
    <cfRule type="cellIs" dxfId="30" priority="19" operator="equal">
      <formula>"Positive"</formula>
    </cfRule>
  </conditionalFormatting>
  <conditionalFormatting sqref="B59:B61">
    <cfRule type="cellIs" dxfId="29" priority="18" operator="equal">
      <formula>"Positive"</formula>
    </cfRule>
  </conditionalFormatting>
  <conditionalFormatting sqref="B62">
    <cfRule type="cellIs" dxfId="28" priority="14" operator="greaterThan">
      <formula>250</formula>
    </cfRule>
  </conditionalFormatting>
  <conditionalFormatting sqref="B62:B63">
    <cfRule type="cellIs" dxfId="27" priority="15" operator="equal">
      <formula>0</formula>
    </cfRule>
  </conditionalFormatting>
  <conditionalFormatting sqref="B63">
    <cfRule type="cellIs" dxfId="26" priority="13" operator="greaterThan">
      <formula>750</formula>
    </cfRule>
  </conditionalFormatting>
  <conditionalFormatting sqref="B64">
    <cfRule type="containsErrors" dxfId="25" priority="10">
      <formula>ISERROR(B64)</formula>
    </cfRule>
    <cfRule type="cellIs" dxfId="24" priority="11" operator="equal">
      <formula>0</formula>
    </cfRule>
  </conditionalFormatting>
  <conditionalFormatting sqref="B65">
    <cfRule type="containsBlanks" dxfId="23"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22" priority="8" operator="greaterThan">
      <formula>6</formula>
    </cfRule>
    <cfRule type="cellIs" dxfId="21" priority="7" operator="equal">
      <formula>0</formula>
    </cfRule>
  </conditionalFormatting>
  <conditionalFormatting sqref="B69">
    <cfRule type="cellIs" dxfId="20" priority="6" operator="equal">
      <formula>0</formula>
    </cfRule>
    <cfRule type="cellIs" dxfId="19" priority="5" operator="between">
      <formula>0.01</formula>
      <formula>0.3</formula>
    </cfRule>
    <cfRule type="cellIs" dxfId="18" priority="4" operator="between">
      <formula>0.31</formula>
      <formula>0.7</formula>
    </cfRule>
  </conditionalFormatting>
  <conditionalFormatting sqref="B70:B71">
    <cfRule type="containsErrors" dxfId="17" priority="1">
      <formula>ISERROR(B70)</formula>
    </cfRule>
    <cfRule type="cellIs" dxfId="16"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FF0000"/>
    <pageSetUpPr fitToPage="1"/>
  </sheetPr>
  <dimension ref="C2:V25"/>
  <sheetViews>
    <sheetView showGridLines="0" topLeftCell="B1" zoomScale="70" zoomScaleNormal="70" zoomScaleSheetLayoutView="75" workbookViewId="0">
      <selection activeCell="J3" sqref="J3"/>
    </sheetView>
  </sheetViews>
  <sheetFormatPr baseColWidth="10" defaultColWidth="11.5703125" defaultRowHeight="15"/>
  <cols>
    <col min="5" max="5" width="11.5703125" style="28"/>
    <col min="6" max="6" width="15.42578125" customWidth="1"/>
    <col min="7" max="7" width="31.85546875" bestFit="1" customWidth="1"/>
    <col min="8" max="8" width="10.85546875" style="14"/>
    <col min="9" max="10" width="10.85546875" style="15"/>
    <col min="11" max="11" width="26.28515625" customWidth="1"/>
    <col min="13" max="13" width="10.85546875" style="20"/>
    <col min="22" max="22" width="11.5703125" style="28"/>
  </cols>
  <sheetData>
    <row r="2" spans="4:14">
      <c r="D2" s="17" t="s">
        <v>55</v>
      </c>
      <c r="E2" s="28" t="s">
        <v>795</v>
      </c>
      <c r="F2" s="256" t="s">
        <v>794</v>
      </c>
      <c r="G2" s="17" t="s">
        <v>55</v>
      </c>
      <c r="H2" s="19" t="s">
        <v>34</v>
      </c>
      <c r="I2" s="254" t="s">
        <v>80</v>
      </c>
      <c r="J2" s="254" t="s">
        <v>127</v>
      </c>
      <c r="M2" s="20" t="s">
        <v>88</v>
      </c>
      <c r="N2" t="s">
        <v>89</v>
      </c>
    </row>
    <row r="3" spans="4:14">
      <c r="D3" s="837" t="s">
        <v>54</v>
      </c>
      <c r="E3" s="28" t="e">
        <f>IF(F3&gt;1,1,F3)</f>
        <v>#DIV/0!</v>
      </c>
      <c r="F3" s="28" t="e">
        <f>(J3/I3)</f>
        <v>#DIV/0!</v>
      </c>
      <c r="G3" s="837" t="s">
        <v>54</v>
      </c>
      <c r="H3" s="257">
        <f>calculRISKS!U2</f>
        <v>0</v>
      </c>
      <c r="I3" s="255">
        <f>calculRISKS!$V2</f>
        <v>0</v>
      </c>
      <c r="J3" s="255">
        <f>calculRISKS!W2</f>
        <v>0</v>
      </c>
      <c r="K3" s="29" t="s">
        <v>109</v>
      </c>
      <c r="L3" s="30" t="s">
        <v>88</v>
      </c>
    </row>
    <row r="4" spans="4:14">
      <c r="D4" s="838" t="s">
        <v>35</v>
      </c>
      <c r="E4" s="28" t="e">
        <f t="shared" ref="E4:E23" si="0">IF(F4&gt;1,1,F4)</f>
        <v>#DIV/0!</v>
      </c>
      <c r="F4" s="28" t="e">
        <f t="shared" ref="F4:F23" si="1">(J4/I4)</f>
        <v>#DIV/0!</v>
      </c>
      <c r="G4" s="838" t="s">
        <v>35</v>
      </c>
      <c r="H4" s="257">
        <f>calculRISKS!U3</f>
        <v>0</v>
      </c>
      <c r="I4" s="255">
        <f>calculRISKS!$V3</f>
        <v>0</v>
      </c>
      <c r="J4" s="255">
        <f>calculRISKS!W3</f>
        <v>0</v>
      </c>
      <c r="K4" s="29" t="s">
        <v>111</v>
      </c>
      <c r="L4" s="30" t="s">
        <v>89</v>
      </c>
    </row>
    <row r="5" spans="4:14">
      <c r="D5" s="18" t="s">
        <v>36</v>
      </c>
      <c r="E5" s="28">
        <f t="shared" si="0"/>
        <v>1</v>
      </c>
      <c r="F5" s="28">
        <f t="shared" si="1"/>
        <v>1</v>
      </c>
      <c r="G5" s="18" t="s">
        <v>36</v>
      </c>
      <c r="H5" s="257">
        <f>calculRISKS!U4</f>
        <v>5.8185714285714119E-2</v>
      </c>
      <c r="I5" s="255">
        <f>calculRISKS!$V4</f>
        <v>6.9822857142856937E-2</v>
      </c>
      <c r="J5" s="255">
        <f>calculRISKS!W4</f>
        <v>6.9822857142856937E-2</v>
      </c>
      <c r="K5" s="29" t="s">
        <v>112</v>
      </c>
      <c r="L5" s="30" t="s">
        <v>89</v>
      </c>
    </row>
    <row r="6" spans="4:14">
      <c r="D6" s="18" t="s">
        <v>37</v>
      </c>
      <c r="E6" s="28">
        <f t="shared" si="0"/>
        <v>0.8</v>
      </c>
      <c r="F6" s="28">
        <f t="shared" si="1"/>
        <v>0.8</v>
      </c>
      <c r="G6" s="18" t="s">
        <v>37</v>
      </c>
      <c r="H6" s="257">
        <f>calculRISKS!U5</f>
        <v>8.8500000000001855E-2</v>
      </c>
      <c r="I6" s="255">
        <f>calculRISKS!$V5</f>
        <v>7.9650000000001678E-2</v>
      </c>
      <c r="J6" s="255">
        <f>calculRISKS!W5</f>
        <v>6.3720000000001345E-2</v>
      </c>
      <c r="K6" s="29" t="s">
        <v>110</v>
      </c>
      <c r="L6" s="30" t="s">
        <v>88</v>
      </c>
    </row>
    <row r="7" spans="4:14">
      <c r="D7" s="18" t="s">
        <v>38</v>
      </c>
      <c r="E7" s="28">
        <f t="shared" si="0"/>
        <v>1</v>
      </c>
      <c r="F7" s="28">
        <f t="shared" si="1"/>
        <v>1</v>
      </c>
      <c r="G7" s="18" t="s">
        <v>38</v>
      </c>
      <c r="H7" s="257">
        <f>calculRISKS!U6</f>
        <v>2.2605714285714267E-2</v>
      </c>
      <c r="I7" s="255">
        <f>calculRISKS!$V6</f>
        <v>2.7126857142857119E-2</v>
      </c>
      <c r="J7" s="255">
        <f>calculRISKS!W6</f>
        <v>2.7126857142857119E-2</v>
      </c>
      <c r="K7" s="29" t="s">
        <v>113</v>
      </c>
      <c r="L7" s="30" t="s">
        <v>88</v>
      </c>
    </row>
    <row r="8" spans="4:14">
      <c r="D8" s="18" t="s">
        <v>39</v>
      </c>
      <c r="E8" s="28">
        <f t="shared" si="0"/>
        <v>0.9</v>
      </c>
      <c r="F8" s="28">
        <f t="shared" si="1"/>
        <v>0.9</v>
      </c>
      <c r="G8" s="18" t="s">
        <v>39</v>
      </c>
      <c r="H8" s="257">
        <f>calculRISKS!U7</f>
        <v>1.7839229637549608E-2</v>
      </c>
      <c r="I8" s="255">
        <f>calculRISKS!$V7</f>
        <v>1.9266368008553577E-2</v>
      </c>
      <c r="J8" s="255">
        <f>calculRISKS!W7</f>
        <v>1.733973120769822E-2</v>
      </c>
      <c r="K8" s="29" t="s">
        <v>125</v>
      </c>
      <c r="L8" s="30" t="s">
        <v>89</v>
      </c>
    </row>
    <row r="9" spans="4:14">
      <c r="D9" s="18" t="s">
        <v>250</v>
      </c>
      <c r="E9" s="28" t="e">
        <f t="shared" si="0"/>
        <v>#DIV/0!</v>
      </c>
      <c r="F9" s="28" t="e">
        <f t="shared" si="1"/>
        <v>#DIV/0!</v>
      </c>
      <c r="G9" s="18" t="s">
        <v>250</v>
      </c>
      <c r="H9" s="257">
        <f>calculRISKS!U8</f>
        <v>0.13600000000000009</v>
      </c>
      <c r="I9" s="255" t="e">
        <f>calculRISKS!$V8</f>
        <v>#DIV/0!</v>
      </c>
      <c r="J9" s="255">
        <f>calculRISKS!W8</f>
        <v>0.13056000000000009</v>
      </c>
    </row>
    <row r="10" spans="4:14">
      <c r="D10" s="18" t="s">
        <v>41</v>
      </c>
      <c r="E10" s="28">
        <f t="shared" si="0"/>
        <v>1</v>
      </c>
      <c r="F10" s="28">
        <f t="shared" si="1"/>
        <v>1</v>
      </c>
      <c r="G10" s="18" t="s">
        <v>41</v>
      </c>
      <c r="H10" s="257">
        <f>calculRISKS!U9</f>
        <v>8.0000000000000016E-2</v>
      </c>
      <c r="I10" s="255">
        <f>calculRISKS!$V9</f>
        <v>8.0000000000000016E-2</v>
      </c>
      <c r="J10" s="255">
        <f>calculRISKS!W9</f>
        <v>8.0000000000000016E-2</v>
      </c>
    </row>
    <row r="11" spans="4:14">
      <c r="D11" s="18" t="s">
        <v>42</v>
      </c>
      <c r="E11" s="28">
        <f t="shared" si="0"/>
        <v>1</v>
      </c>
      <c r="F11" s="28">
        <f t="shared" si="1"/>
        <v>1</v>
      </c>
      <c r="G11" s="18" t="s">
        <v>42</v>
      </c>
      <c r="H11" s="257">
        <f>calculRISKS!U10</f>
        <v>0.30000000000000004</v>
      </c>
      <c r="I11" s="255">
        <f>calculRISKS!$V10</f>
        <v>1</v>
      </c>
      <c r="J11" s="255">
        <f>calculRISKS!W10</f>
        <v>1</v>
      </c>
    </row>
    <row r="12" spans="4:14">
      <c r="D12" s="18" t="s">
        <v>43</v>
      </c>
      <c r="E12" s="28">
        <f t="shared" si="0"/>
        <v>0.80000000000000016</v>
      </c>
      <c r="F12" s="28">
        <f t="shared" si="1"/>
        <v>0.80000000000000016</v>
      </c>
      <c r="G12" s="18" t="s">
        <v>43</v>
      </c>
      <c r="H12" s="257">
        <f>calculRISKS!U11</f>
        <v>2.8857142857142887E-2</v>
      </c>
      <c r="I12" s="255">
        <f>calculRISKS!$V11</f>
        <v>2.59714285714286E-2</v>
      </c>
      <c r="J12" s="255">
        <f>calculRISKS!W11</f>
        <v>2.0777142857142883E-2</v>
      </c>
    </row>
    <row r="13" spans="4:14">
      <c r="D13" s="18" t="s">
        <v>44</v>
      </c>
      <c r="E13" s="28">
        <f t="shared" si="0"/>
        <v>0.8</v>
      </c>
      <c r="F13" s="28">
        <f t="shared" si="1"/>
        <v>0.8</v>
      </c>
      <c r="G13" s="18" t="s">
        <v>44</v>
      </c>
      <c r="H13" s="257">
        <f>calculRISKS!U12</f>
        <v>0.18428571428571433</v>
      </c>
      <c r="I13" s="255">
        <f>calculRISKS!$V12</f>
        <v>9.2142857142857165E-2</v>
      </c>
      <c r="J13" s="255">
        <f>calculRISKS!W12</f>
        <v>7.3714285714285732E-2</v>
      </c>
    </row>
    <row r="14" spans="4:14">
      <c r="D14" s="18" t="s">
        <v>45</v>
      </c>
      <c r="E14" s="28">
        <f t="shared" si="0"/>
        <v>1</v>
      </c>
      <c r="F14" s="28">
        <f t="shared" si="1"/>
        <v>1</v>
      </c>
      <c r="G14" s="18" t="s">
        <v>45</v>
      </c>
      <c r="H14" s="257">
        <f>calculRISKS!U13</f>
        <v>0.02</v>
      </c>
      <c r="I14" s="255">
        <f>calculRISKS!$V13</f>
        <v>2.1600000000000001E-2</v>
      </c>
      <c r="J14" s="255">
        <f>calculRISKS!W13</f>
        <v>2.1600000000000001E-2</v>
      </c>
    </row>
    <row r="15" spans="4:14">
      <c r="D15" s="18" t="s">
        <v>46</v>
      </c>
      <c r="E15" s="28">
        <f t="shared" si="0"/>
        <v>1</v>
      </c>
      <c r="F15" s="28">
        <f t="shared" si="1"/>
        <v>1</v>
      </c>
      <c r="G15" s="18" t="s">
        <v>46</v>
      </c>
      <c r="H15" s="257">
        <f>calculRISKS!U14</f>
        <v>0.04</v>
      </c>
      <c r="I15" s="255">
        <f>calculRISKS!$V14</f>
        <v>4.3200000000000002E-2</v>
      </c>
      <c r="J15" s="255">
        <f>calculRISKS!W14</f>
        <v>4.3200000000000002E-2</v>
      </c>
    </row>
    <row r="16" spans="4:14">
      <c r="D16" s="18" t="s">
        <v>47</v>
      </c>
      <c r="E16" s="28">
        <f t="shared" si="0"/>
        <v>1</v>
      </c>
      <c r="F16" s="28">
        <f t="shared" si="1"/>
        <v>1</v>
      </c>
      <c r="G16" s="18" t="s">
        <v>47</v>
      </c>
      <c r="H16" s="257">
        <f>calculRISKS!U15</f>
        <v>8.4744944362156988E-2</v>
      </c>
      <c r="I16" s="255">
        <f>calculRISKS!$V15</f>
        <v>6.4372440546666659E-2</v>
      </c>
      <c r="J16" s="255">
        <f>calculRISKS!W15</f>
        <v>6.4372440546666659E-2</v>
      </c>
    </row>
    <row r="17" spans="3:10">
      <c r="D17" s="18" t="s">
        <v>48</v>
      </c>
      <c r="E17" s="28">
        <f t="shared" si="0"/>
        <v>1</v>
      </c>
      <c r="F17" s="28">
        <f t="shared" si="1"/>
        <v>1.1519999999999999</v>
      </c>
      <c r="G17" s="18" t="s">
        <v>48</v>
      </c>
      <c r="H17" s="257">
        <f>calculRISKS!U16</f>
        <v>0.12590909090909078</v>
      </c>
      <c r="I17" s="255">
        <f>calculRISKS!$V16</f>
        <v>0.19311732163999998</v>
      </c>
      <c r="J17" s="255">
        <f>calculRISKS!W16</f>
        <v>0.22247115452927996</v>
      </c>
    </row>
    <row r="18" spans="3:10">
      <c r="D18" s="18" t="s">
        <v>49</v>
      </c>
      <c r="E18" s="28">
        <f t="shared" si="0"/>
        <v>1</v>
      </c>
      <c r="F18" s="28">
        <f t="shared" si="1"/>
        <v>1</v>
      </c>
      <c r="G18" s="18" t="s">
        <v>49</v>
      </c>
      <c r="H18" s="257">
        <f>calculRISKS!U17</f>
        <v>1.3226190598443793E-2</v>
      </c>
      <c r="I18" s="255">
        <f>calculRISKS!$V17</f>
        <v>2.6452381196887587E-2</v>
      </c>
      <c r="J18" s="255">
        <f>calculRISKS!W17</f>
        <v>2.6452381196887587E-2</v>
      </c>
    </row>
    <row r="19" spans="3:10">
      <c r="D19" s="18" t="s">
        <v>50</v>
      </c>
      <c r="E19" s="28">
        <f t="shared" si="0"/>
        <v>1</v>
      </c>
      <c r="F19" s="28">
        <f t="shared" si="1"/>
        <v>10</v>
      </c>
      <c r="G19" s="18" t="s">
        <v>50</v>
      </c>
      <c r="H19" s="257">
        <f>calculRISKS!U18</f>
        <v>2.1106944624596235E-2</v>
      </c>
      <c r="I19" s="255">
        <f>calculRISKS!$V18</f>
        <v>5.2767361561490589E-2</v>
      </c>
      <c r="J19" s="255">
        <f>calculRISKS!W18</f>
        <v>0.52767361561490589</v>
      </c>
    </row>
    <row r="20" spans="3:10">
      <c r="D20" s="18" t="s">
        <v>51</v>
      </c>
      <c r="E20" s="28">
        <f t="shared" si="0"/>
        <v>1</v>
      </c>
      <c r="F20" s="28">
        <f t="shared" si="1"/>
        <v>1</v>
      </c>
      <c r="G20" s="18" t="s">
        <v>51</v>
      </c>
      <c r="H20" s="257">
        <f>calculRISKS!U19</f>
        <v>0.06</v>
      </c>
      <c r="I20" s="255">
        <f>calculRISKS!$V19</f>
        <v>6.4799999999999996E-2</v>
      </c>
      <c r="J20" s="255">
        <f>calculRISKS!W19</f>
        <v>6.4799999999999996E-2</v>
      </c>
    </row>
    <row r="21" spans="3:10">
      <c r="D21" s="18" t="s">
        <v>52</v>
      </c>
      <c r="E21" s="28">
        <f t="shared" si="0"/>
        <v>1</v>
      </c>
      <c r="F21" s="28">
        <f t="shared" si="1"/>
        <v>1</v>
      </c>
      <c r="G21" s="18" t="s">
        <v>52</v>
      </c>
      <c r="H21" s="257">
        <f>calculRISKS!U20</f>
        <v>3.0041817079767899E-3</v>
      </c>
      <c r="I21" s="255">
        <f>calculRISKS!$V20</f>
        <v>2.7037635371791112E-3</v>
      </c>
      <c r="J21" s="255">
        <f>calculRISKS!W20</f>
        <v>2.7037635371791112E-3</v>
      </c>
    </row>
    <row r="22" spans="3:10">
      <c r="D22" s="18" t="s">
        <v>2053</v>
      </c>
      <c r="E22" s="28">
        <f t="shared" si="0"/>
        <v>1</v>
      </c>
      <c r="F22" s="28">
        <f t="shared" si="1"/>
        <v>1</v>
      </c>
      <c r="G22" s="18" t="s">
        <v>2053</v>
      </c>
      <c r="H22" s="257">
        <f>calculRISKS!U21</f>
        <v>5.5698441558441697E-2</v>
      </c>
      <c r="I22" s="255">
        <f>calculRISKS!$V21</f>
        <v>5.0128597402597529E-2</v>
      </c>
      <c r="J22" s="255">
        <f>calculRISKS!W21</f>
        <v>5.0128597402597529E-2</v>
      </c>
    </row>
    <row r="23" spans="3:10">
      <c r="D23" s="23" t="s">
        <v>604</v>
      </c>
      <c r="E23" s="28">
        <f t="shared" si="0"/>
        <v>1</v>
      </c>
      <c r="F23" s="28">
        <f t="shared" si="1"/>
        <v>1</v>
      </c>
      <c r="G23" s="23" t="s">
        <v>604</v>
      </c>
      <c r="H23" s="257">
        <f>calculRISKS!U22</f>
        <v>8.7816607981331396E-3</v>
      </c>
      <c r="I23" s="255">
        <f>calculRISKS!$V22</f>
        <v>1.5806989436639652E-2</v>
      </c>
      <c r="J23" s="255">
        <f>calculRISKS!W22</f>
        <v>1.5806989436639652E-2</v>
      </c>
    </row>
    <row r="25" spans="3:10">
      <c r="C25" s="20"/>
    </row>
  </sheetData>
  <conditionalFormatting sqref="D2">
    <cfRule type="iconSet" priority="5">
      <iconSet reverse="1">
        <cfvo type="percent" val="0"/>
        <cfvo type="percent" val="33"/>
        <cfvo type="percent" val="67"/>
      </iconSet>
    </cfRule>
  </conditionalFormatting>
  <conditionalFormatting sqref="D13">
    <cfRule type="colorScale" priority="4">
      <colorScale>
        <cfvo type="min"/>
        <cfvo type="percentile" val="50"/>
        <cfvo type="max"/>
        <color rgb="FF5A8AC6"/>
        <color rgb="FFFCFCFF"/>
        <color rgb="FFF8696B"/>
      </colorScale>
    </cfRule>
  </conditionalFormatting>
  <conditionalFormatting sqref="D14:D19 D4:D12">
    <cfRule type="colorScale" priority="6">
      <colorScale>
        <cfvo type="min"/>
        <cfvo type="percentile" val="50"/>
        <cfvo type="max"/>
        <color rgb="FF5A8AC6"/>
        <color rgb="FFFCFCFF"/>
        <color rgb="FFF8696B"/>
      </colorScale>
    </cfRule>
  </conditionalFormatting>
  <conditionalFormatting sqref="D20">
    <cfRule type="colorScale" priority="3">
      <colorScale>
        <cfvo type="min"/>
        <cfvo type="percentile" val="50"/>
        <cfvo type="max"/>
        <color rgb="FF5A8AC6"/>
        <color rgb="FFFCFCFF"/>
        <color rgb="FFF8696B"/>
      </colorScale>
    </cfRule>
  </conditionalFormatting>
  <conditionalFormatting sqref="D21">
    <cfRule type="colorScale" priority="2">
      <colorScale>
        <cfvo type="min"/>
        <cfvo type="percentile" val="50"/>
        <cfvo type="max"/>
        <color rgb="FF5A8AC6"/>
        <color rgb="FFFCFCFF"/>
        <color rgb="FFF8696B"/>
      </colorScale>
    </cfRule>
  </conditionalFormatting>
  <conditionalFormatting sqref="D22">
    <cfRule type="iconSet" priority="1">
      <iconSet reverse="1">
        <cfvo type="percent" val="0"/>
        <cfvo type="percent" val="33"/>
        <cfvo type="percent" val="67"/>
      </iconSet>
    </cfRule>
  </conditionalFormatting>
  <conditionalFormatting sqref="E1:E1048576">
    <cfRule type="colorScale" priority="8">
      <colorScale>
        <cfvo type="min"/>
        <cfvo type="percentile" val="50"/>
        <cfvo type="max"/>
        <color rgb="FF63BE7B"/>
        <color rgb="FFFFEB84"/>
        <color rgb="FFF8696B"/>
      </colorScale>
    </cfRule>
  </conditionalFormatting>
  <conditionalFormatting sqref="F1:F1048576">
    <cfRule type="colorScale" priority="7">
      <colorScale>
        <cfvo type="min"/>
        <cfvo type="percentile" val="50"/>
        <cfvo type="max"/>
        <color rgb="FF5A8AC6"/>
        <color rgb="FFFCFCFF"/>
        <color rgb="FFF8696B"/>
      </colorScale>
    </cfRule>
  </conditionalFormatting>
  <conditionalFormatting sqref="F3:F23">
    <cfRule type="colorScale" priority="14">
      <colorScale>
        <cfvo type="min"/>
        <cfvo type="percentile" val="50"/>
        <cfvo type="max"/>
        <color rgb="FF63BE7B"/>
        <color rgb="FFFFEB84"/>
        <color rgb="FFF8696B"/>
      </colorScale>
    </cfRule>
  </conditionalFormatting>
  <conditionalFormatting sqref="G2">
    <cfRule type="iconSet" priority="75">
      <iconSet reverse="1">
        <cfvo type="percent" val="0"/>
        <cfvo type="percent" val="33"/>
        <cfvo type="percent" val="67"/>
      </iconSet>
    </cfRule>
  </conditionalFormatting>
  <conditionalFormatting sqref="G13">
    <cfRule type="colorScale" priority="74">
      <colorScale>
        <cfvo type="min"/>
        <cfvo type="percentile" val="50"/>
        <cfvo type="max"/>
        <color rgb="FF5A8AC6"/>
        <color rgb="FFFCFCFF"/>
        <color rgb="FFF8696B"/>
      </colorScale>
    </cfRule>
  </conditionalFormatting>
  <conditionalFormatting sqref="G14:G19 G4:G12">
    <cfRule type="colorScale" priority="76">
      <colorScale>
        <cfvo type="min"/>
        <cfvo type="percentile" val="50"/>
        <cfvo type="max"/>
        <color rgb="FF5A8AC6"/>
        <color rgb="FFFCFCFF"/>
        <color rgb="FFF8696B"/>
      </colorScale>
    </cfRule>
  </conditionalFormatting>
  <conditionalFormatting sqref="G20">
    <cfRule type="colorScale" priority="73">
      <colorScale>
        <cfvo type="min"/>
        <cfvo type="percentile" val="50"/>
        <cfvo type="max"/>
        <color rgb="FF5A8AC6"/>
        <color rgb="FFFCFCFF"/>
        <color rgb="FFF8696B"/>
      </colorScale>
    </cfRule>
  </conditionalFormatting>
  <conditionalFormatting sqref="G21">
    <cfRule type="colorScale" priority="72">
      <colorScale>
        <cfvo type="min"/>
        <cfvo type="percentile" val="50"/>
        <cfvo type="max"/>
        <color rgb="FF5A8AC6"/>
        <color rgb="FFFCFCFF"/>
        <color rgb="FFF8696B"/>
      </colorScale>
    </cfRule>
  </conditionalFormatting>
  <conditionalFormatting sqref="G22">
    <cfRule type="iconSet" priority="71">
      <iconSet reverse="1">
        <cfvo type="percent" val="0"/>
        <cfvo type="percent" val="33"/>
        <cfvo type="percent" val="67"/>
      </iconSet>
    </cfRule>
  </conditionalFormatting>
  <conditionalFormatting sqref="H4:H23">
    <cfRule type="colorScale" priority="38">
      <colorScale>
        <cfvo type="min"/>
        <cfvo type="percentile" val="50"/>
        <cfvo type="max"/>
        <color rgb="FF63BE7B"/>
        <color rgb="FFFFEB84"/>
        <color rgb="FFF8696B"/>
      </colorScale>
    </cfRule>
  </conditionalFormatting>
  <conditionalFormatting sqref="H3:J3">
    <cfRule type="colorScale" priority="17">
      <colorScale>
        <cfvo type="min"/>
        <cfvo type="percentile" val="50"/>
        <cfvo type="max"/>
        <color rgb="FF63BE7B"/>
        <color rgb="FFFFEB84"/>
        <color rgb="FFF8696B"/>
      </colorScale>
    </cfRule>
  </conditionalFormatting>
  <conditionalFormatting sqref="H4:J4">
    <cfRule type="colorScale" priority="16">
      <colorScale>
        <cfvo type="min"/>
        <cfvo type="percentile" val="50"/>
        <cfvo type="max"/>
        <color rgb="FF63BE7B"/>
        <color rgb="FFFFEB84"/>
        <color rgb="FFF8696B"/>
      </colorScale>
    </cfRule>
  </conditionalFormatting>
  <conditionalFormatting sqref="H5:J5">
    <cfRule type="colorScale" priority="15">
      <colorScale>
        <cfvo type="min"/>
        <cfvo type="percentile" val="50"/>
        <cfvo type="max"/>
        <color rgb="FF63BE7B"/>
        <color rgb="FFFFEB84"/>
        <color rgb="FFF8696B"/>
      </colorScale>
    </cfRule>
  </conditionalFormatting>
  <conditionalFormatting sqref="H6:J6">
    <cfRule type="colorScale" priority="20">
      <colorScale>
        <cfvo type="min"/>
        <cfvo type="percentile" val="50"/>
        <cfvo type="max"/>
        <color rgb="FF63BE7B"/>
        <color rgb="FFFFEB84"/>
        <color rgb="FFF8696B"/>
      </colorScale>
    </cfRule>
  </conditionalFormatting>
  <conditionalFormatting sqref="H7:J7">
    <cfRule type="colorScale" priority="21">
      <colorScale>
        <cfvo type="min"/>
        <cfvo type="percentile" val="50"/>
        <cfvo type="max"/>
        <color rgb="FF63BE7B"/>
        <color rgb="FFFFEB84"/>
        <color rgb="FFF8696B"/>
      </colorScale>
    </cfRule>
  </conditionalFormatting>
  <conditionalFormatting sqref="H8:J8">
    <cfRule type="colorScale" priority="22">
      <colorScale>
        <cfvo type="min"/>
        <cfvo type="percentile" val="50"/>
        <cfvo type="max"/>
        <color rgb="FF63BE7B"/>
        <color rgb="FFFFEB84"/>
        <color rgb="FFF8696B"/>
      </colorScale>
    </cfRule>
  </conditionalFormatting>
  <conditionalFormatting sqref="H9:J9">
    <cfRule type="colorScale" priority="23">
      <colorScale>
        <cfvo type="min"/>
        <cfvo type="percentile" val="50"/>
        <cfvo type="max"/>
        <color rgb="FF63BE7B"/>
        <color rgb="FFFFEB84"/>
        <color rgb="FFF8696B"/>
      </colorScale>
    </cfRule>
  </conditionalFormatting>
  <conditionalFormatting sqref="H10:J10">
    <cfRule type="colorScale" priority="24">
      <colorScale>
        <cfvo type="min"/>
        <cfvo type="percentile" val="50"/>
        <cfvo type="max"/>
        <color rgb="FF63BE7B"/>
        <color rgb="FFFFEB84"/>
        <color rgb="FFF8696B"/>
      </colorScale>
    </cfRule>
  </conditionalFormatting>
  <conditionalFormatting sqref="H11:J11">
    <cfRule type="colorScale" priority="25">
      <colorScale>
        <cfvo type="min"/>
        <cfvo type="percentile" val="50"/>
        <cfvo type="max"/>
        <color rgb="FF63BE7B"/>
        <color rgb="FFFFEB84"/>
        <color rgb="FFF8696B"/>
      </colorScale>
    </cfRule>
  </conditionalFormatting>
  <conditionalFormatting sqref="H12:J12">
    <cfRule type="colorScale" priority="26">
      <colorScale>
        <cfvo type="min"/>
        <cfvo type="percentile" val="50"/>
        <cfvo type="max"/>
        <color rgb="FF63BE7B"/>
        <color rgb="FFFFEB84"/>
        <color rgb="FFF8696B"/>
      </colorScale>
    </cfRule>
  </conditionalFormatting>
  <conditionalFormatting sqref="H13:J13">
    <cfRule type="colorScale" priority="27">
      <colorScale>
        <cfvo type="min"/>
        <cfvo type="percentile" val="50"/>
        <cfvo type="max"/>
        <color rgb="FF63BE7B"/>
        <color rgb="FFFFEB84"/>
        <color rgb="FFF8696B"/>
      </colorScale>
    </cfRule>
  </conditionalFormatting>
  <conditionalFormatting sqref="H14:J14">
    <cfRule type="colorScale" priority="28">
      <colorScale>
        <cfvo type="min"/>
        <cfvo type="percentile" val="50"/>
        <cfvo type="max"/>
        <color rgb="FF63BE7B"/>
        <color rgb="FFFFEB84"/>
        <color rgb="FFF8696B"/>
      </colorScale>
    </cfRule>
  </conditionalFormatting>
  <conditionalFormatting sqref="H15:J15">
    <cfRule type="colorScale" priority="29">
      <colorScale>
        <cfvo type="min"/>
        <cfvo type="percentile" val="50"/>
        <cfvo type="max"/>
        <color rgb="FF63BE7B"/>
        <color rgb="FFFFEB84"/>
        <color rgb="FFF8696B"/>
      </colorScale>
    </cfRule>
  </conditionalFormatting>
  <conditionalFormatting sqref="H16:J16">
    <cfRule type="colorScale" priority="30">
      <colorScale>
        <cfvo type="min"/>
        <cfvo type="percentile" val="50"/>
        <cfvo type="max"/>
        <color rgb="FF63BE7B"/>
        <color rgb="FFFFEB84"/>
        <color rgb="FFF8696B"/>
      </colorScale>
    </cfRule>
  </conditionalFormatting>
  <conditionalFormatting sqref="H17:J17">
    <cfRule type="colorScale" priority="31">
      <colorScale>
        <cfvo type="min"/>
        <cfvo type="percentile" val="50"/>
        <cfvo type="max"/>
        <color rgb="FF63BE7B"/>
        <color rgb="FFFFEB84"/>
        <color rgb="FFF8696B"/>
      </colorScale>
    </cfRule>
  </conditionalFormatting>
  <conditionalFormatting sqref="H18:J18">
    <cfRule type="colorScale" priority="32">
      <colorScale>
        <cfvo type="min"/>
        <cfvo type="percentile" val="50"/>
        <cfvo type="max"/>
        <color rgb="FF63BE7B"/>
        <color rgb="FFFFEB84"/>
        <color rgb="FFF8696B"/>
      </colorScale>
    </cfRule>
  </conditionalFormatting>
  <conditionalFormatting sqref="H19:J19">
    <cfRule type="colorScale" priority="33">
      <colorScale>
        <cfvo type="min"/>
        <cfvo type="percentile" val="50"/>
        <cfvo type="max"/>
        <color rgb="FF63BE7B"/>
        <color rgb="FFFFEB84"/>
        <color rgb="FFF8696B"/>
      </colorScale>
    </cfRule>
  </conditionalFormatting>
  <conditionalFormatting sqref="H20:J20">
    <cfRule type="colorScale" priority="34">
      <colorScale>
        <cfvo type="min"/>
        <cfvo type="percentile" val="50"/>
        <cfvo type="max"/>
        <color rgb="FF63BE7B"/>
        <color rgb="FFFFEB84"/>
        <color rgb="FFF8696B"/>
      </colorScale>
    </cfRule>
  </conditionalFormatting>
  <conditionalFormatting sqref="H21:J21">
    <cfRule type="colorScale" priority="35">
      <colorScale>
        <cfvo type="min"/>
        <cfvo type="percentile" val="50"/>
        <cfvo type="max"/>
        <color rgb="FF63BE7B"/>
        <color rgb="FFFFEB84"/>
        <color rgb="FFF8696B"/>
      </colorScale>
    </cfRule>
  </conditionalFormatting>
  <conditionalFormatting sqref="H22:J22">
    <cfRule type="colorScale" priority="36">
      <colorScale>
        <cfvo type="min"/>
        <cfvo type="percentile" val="50"/>
        <cfvo type="max"/>
        <color rgb="FF63BE7B"/>
        <color rgb="FFFFEB84"/>
        <color rgb="FFF8696B"/>
      </colorScale>
    </cfRule>
  </conditionalFormatting>
  <conditionalFormatting sqref="H23:J23">
    <cfRule type="colorScale" priority="37">
      <colorScale>
        <cfvo type="min"/>
        <cfvo type="percentile" val="50"/>
        <cfvo type="max"/>
        <color rgb="FF63BE7B"/>
        <color rgb="FFFFEB84"/>
        <color rgb="FFF8696B"/>
      </colorScale>
    </cfRule>
  </conditionalFormatting>
  <conditionalFormatting sqref="I4:J4">
    <cfRule type="colorScale" priority="59">
      <colorScale>
        <cfvo type="min"/>
        <cfvo type="percentile" val="50"/>
        <cfvo type="max"/>
        <color rgb="FF63BE7B"/>
        <color rgb="FFFFEB84"/>
        <color rgb="FFF8696B"/>
      </colorScale>
    </cfRule>
  </conditionalFormatting>
  <conditionalFormatting sqref="I5:J5">
    <cfRule type="colorScale" priority="58">
      <colorScale>
        <cfvo type="min"/>
        <cfvo type="percentile" val="50"/>
        <cfvo type="max"/>
        <color rgb="FF63BE7B"/>
        <color rgb="FFFFEB84"/>
        <color rgb="FFF8696B"/>
      </colorScale>
    </cfRule>
  </conditionalFormatting>
  <conditionalFormatting sqref="I6:J6">
    <cfRule type="colorScale" priority="57">
      <colorScale>
        <cfvo type="min"/>
        <cfvo type="percentile" val="50"/>
        <cfvo type="max"/>
        <color rgb="FF63BE7B"/>
        <color rgb="FFFFEB84"/>
        <color rgb="FFF8696B"/>
      </colorScale>
    </cfRule>
  </conditionalFormatting>
  <conditionalFormatting sqref="I7:J7">
    <cfRule type="colorScale" priority="56">
      <colorScale>
        <cfvo type="min"/>
        <cfvo type="percentile" val="50"/>
        <cfvo type="max"/>
        <color rgb="FF63BE7B"/>
        <color rgb="FFFFEB84"/>
        <color rgb="FFF8696B"/>
      </colorScale>
    </cfRule>
  </conditionalFormatting>
  <conditionalFormatting sqref="I8:J8">
    <cfRule type="colorScale" priority="55">
      <colorScale>
        <cfvo type="min"/>
        <cfvo type="percentile" val="50"/>
        <cfvo type="max"/>
        <color rgb="FF63BE7B"/>
        <color rgb="FFFFEB84"/>
        <color rgb="FFF8696B"/>
      </colorScale>
    </cfRule>
  </conditionalFormatting>
  <conditionalFormatting sqref="I9:J9">
    <cfRule type="colorScale" priority="54">
      <colorScale>
        <cfvo type="min"/>
        <cfvo type="percentile" val="50"/>
        <cfvo type="max"/>
        <color rgb="FF63BE7B"/>
        <color rgb="FFFFEB84"/>
        <color rgb="FFF8696B"/>
      </colorScale>
    </cfRule>
  </conditionalFormatting>
  <conditionalFormatting sqref="I10:J10">
    <cfRule type="colorScale" priority="53">
      <colorScale>
        <cfvo type="min"/>
        <cfvo type="percentile" val="50"/>
        <cfvo type="max"/>
        <color rgb="FF63BE7B"/>
        <color rgb="FFFFEB84"/>
        <color rgb="FFF8696B"/>
      </colorScale>
    </cfRule>
  </conditionalFormatting>
  <conditionalFormatting sqref="I11:J11">
    <cfRule type="colorScale" priority="52">
      <colorScale>
        <cfvo type="min"/>
        <cfvo type="percentile" val="50"/>
        <cfvo type="max"/>
        <color rgb="FF63BE7B"/>
        <color rgb="FFFFEB84"/>
        <color rgb="FFF8696B"/>
      </colorScale>
    </cfRule>
  </conditionalFormatting>
  <conditionalFormatting sqref="I12:J12">
    <cfRule type="colorScale" priority="50">
      <colorScale>
        <cfvo type="min"/>
        <cfvo type="percentile" val="50"/>
        <cfvo type="max"/>
        <color rgb="FF63BE7B"/>
        <color rgb="FFFFEB84"/>
        <color rgb="FFF8696B"/>
      </colorScale>
    </cfRule>
  </conditionalFormatting>
  <conditionalFormatting sqref="I13:J13">
    <cfRule type="colorScale" priority="49">
      <colorScale>
        <cfvo type="min"/>
        <cfvo type="percentile" val="50"/>
        <cfvo type="max"/>
        <color rgb="FF63BE7B"/>
        <color rgb="FFFFEB84"/>
        <color rgb="FFF8696B"/>
      </colorScale>
    </cfRule>
  </conditionalFormatting>
  <conditionalFormatting sqref="I14:J14">
    <cfRule type="colorScale" priority="48">
      <colorScale>
        <cfvo type="min"/>
        <cfvo type="percentile" val="50"/>
        <cfvo type="max"/>
        <color rgb="FF63BE7B"/>
        <color rgb="FFFFEB84"/>
        <color rgb="FFF8696B"/>
      </colorScale>
    </cfRule>
  </conditionalFormatting>
  <conditionalFormatting sqref="I15:J15">
    <cfRule type="colorScale" priority="47">
      <colorScale>
        <cfvo type="min"/>
        <cfvo type="percentile" val="50"/>
        <cfvo type="max"/>
        <color rgb="FF63BE7B"/>
        <color rgb="FFFFEB84"/>
        <color rgb="FFF8696B"/>
      </colorScale>
    </cfRule>
  </conditionalFormatting>
  <conditionalFormatting sqref="I16:J16">
    <cfRule type="colorScale" priority="46">
      <colorScale>
        <cfvo type="min"/>
        <cfvo type="percentile" val="50"/>
        <cfvo type="max"/>
        <color rgb="FF63BE7B"/>
        <color rgb="FFFFEB84"/>
        <color rgb="FFF8696B"/>
      </colorScale>
    </cfRule>
  </conditionalFormatting>
  <conditionalFormatting sqref="I17:J17">
    <cfRule type="colorScale" priority="45">
      <colorScale>
        <cfvo type="min"/>
        <cfvo type="percentile" val="50"/>
        <cfvo type="max"/>
        <color rgb="FF63BE7B"/>
        <color rgb="FFFFEB84"/>
        <color rgb="FFF8696B"/>
      </colorScale>
    </cfRule>
  </conditionalFormatting>
  <conditionalFormatting sqref="I18:J18">
    <cfRule type="colorScale" priority="44">
      <colorScale>
        <cfvo type="min"/>
        <cfvo type="percentile" val="50"/>
        <cfvo type="max"/>
        <color rgb="FF63BE7B"/>
        <color rgb="FFFFEB84"/>
        <color rgb="FFF8696B"/>
      </colorScale>
    </cfRule>
  </conditionalFormatting>
  <conditionalFormatting sqref="I19:J19">
    <cfRule type="colorScale" priority="43">
      <colorScale>
        <cfvo type="min"/>
        <cfvo type="percentile" val="50"/>
        <cfvo type="max"/>
        <color rgb="FF63BE7B"/>
        <color rgb="FFFFEB84"/>
        <color rgb="FFF8696B"/>
      </colorScale>
    </cfRule>
  </conditionalFormatting>
  <conditionalFormatting sqref="I20:J20">
    <cfRule type="colorScale" priority="42">
      <colorScale>
        <cfvo type="min"/>
        <cfvo type="percentile" val="50"/>
        <cfvo type="max"/>
        <color rgb="FF63BE7B"/>
        <color rgb="FFFFEB84"/>
        <color rgb="FFF8696B"/>
      </colorScale>
    </cfRule>
  </conditionalFormatting>
  <conditionalFormatting sqref="I21:J21">
    <cfRule type="colorScale" priority="41">
      <colorScale>
        <cfvo type="min"/>
        <cfvo type="percentile" val="50"/>
        <cfvo type="max"/>
        <color rgb="FF63BE7B"/>
        <color rgb="FFFFEB84"/>
        <color rgb="FFF8696B"/>
      </colorScale>
    </cfRule>
  </conditionalFormatting>
  <conditionalFormatting sqref="I22:J22">
    <cfRule type="colorScale" priority="40">
      <colorScale>
        <cfvo type="min"/>
        <cfvo type="percentile" val="50"/>
        <cfvo type="max"/>
        <color rgb="FF63BE7B"/>
        <color rgb="FFFFEB84"/>
        <color rgb="FFF8696B"/>
      </colorScale>
    </cfRule>
  </conditionalFormatting>
  <conditionalFormatting sqref="I23:J23">
    <cfRule type="colorScale" priority="39">
      <colorScale>
        <cfvo type="min"/>
        <cfvo type="percentile" val="50"/>
        <cfvo type="max"/>
        <color rgb="FF63BE7B"/>
        <color rgb="FFFFEB84"/>
        <color rgb="FFF8696B"/>
      </colorScale>
    </cfRule>
  </conditionalFormatting>
  <conditionalFormatting sqref="J4">
    <cfRule type="colorScale" priority="18">
      <colorScale>
        <cfvo type="min"/>
        <cfvo type="percentile" val="50"/>
        <cfvo type="max"/>
        <color rgb="FF63BE7B"/>
        <color rgb="FFFFEB84"/>
        <color rgb="FFF8696B"/>
      </colorScale>
    </cfRule>
  </conditionalFormatting>
  <conditionalFormatting sqref="J12">
    <cfRule type="colorScale" priority="51">
      <colorScale>
        <cfvo type="min"/>
        <cfvo type="percentile" val="50"/>
        <cfvo type="max"/>
        <color rgb="FF63BE7B"/>
        <color rgb="FFFFEB84"/>
        <color rgb="FFF8696B"/>
      </colorScale>
    </cfRule>
  </conditionalFormatting>
  <dataValidations count="1">
    <dataValidation type="list" allowBlank="1" showInputMessage="1" showErrorMessage="1" sqref="L3:L8" xr:uid="{86F40FD1-309E-4DA2-BB53-0509D33FE116}">
      <formula1>$M$2:$N$2</formula1>
    </dataValidation>
  </dataValidations>
  <pageMargins left="0.7" right="0.7" top="0.75" bottom="0.75" header="0.3" footer="0.3"/>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tabColor rgb="FFFF0000"/>
    <pageSetUpPr fitToPage="1"/>
  </sheetPr>
  <dimension ref="A1:AG465"/>
  <sheetViews>
    <sheetView topLeftCell="D1" zoomScale="70" zoomScaleNormal="55" workbookViewId="0">
      <pane ySplit="1" topLeftCell="A240" activePane="bottomLeft" state="frozen"/>
      <selection activeCell="B1" sqref="B1"/>
      <selection pane="bottomLeft" activeCell="J254" sqref="J254"/>
    </sheetView>
  </sheetViews>
  <sheetFormatPr baseColWidth="10" defaultColWidth="97.5703125" defaultRowHeight="18"/>
  <cols>
    <col min="1" max="1" width="49.7109375" style="284" customWidth="1"/>
    <col min="2" max="2" width="41.140625" style="72" customWidth="1"/>
    <col min="3" max="3" width="16.5703125" style="70" customWidth="1"/>
    <col min="4" max="4" width="97.5703125" style="116"/>
    <col min="5" max="5" width="29.7109375" style="72" customWidth="1"/>
    <col min="6" max="6" width="27.5703125" style="76" customWidth="1"/>
    <col min="7" max="7" width="5.5703125" style="72" bestFit="1" customWidth="1"/>
    <col min="8" max="8" width="22.5703125" style="72" bestFit="1" customWidth="1"/>
    <col min="9" max="9" width="18.28515625" style="72" bestFit="1" customWidth="1"/>
    <col min="10" max="10" width="25.7109375" style="72" bestFit="1" customWidth="1"/>
    <col min="11" max="11" width="29.85546875" style="72" bestFit="1" customWidth="1"/>
    <col min="12" max="12" width="23.28515625" style="72" bestFit="1" customWidth="1"/>
    <col min="13" max="13" width="20.28515625" style="72" bestFit="1" customWidth="1"/>
    <col min="14" max="14" width="15" style="72" bestFit="1" customWidth="1"/>
    <col min="15" max="15" width="20.140625" style="72" bestFit="1" customWidth="1"/>
    <col min="16" max="16" width="23" style="72" bestFit="1" customWidth="1"/>
    <col min="17" max="17" width="31.28515625" style="72" bestFit="1" customWidth="1"/>
    <col min="18" max="18" width="31.7109375" style="72" bestFit="1" customWidth="1"/>
    <col min="19" max="19" width="28.28515625" style="72" bestFit="1" customWidth="1"/>
    <col min="20" max="20" width="27.5703125" style="72" bestFit="1" customWidth="1"/>
    <col min="21" max="21" width="20.7109375" style="72" bestFit="1" customWidth="1"/>
    <col min="22" max="22" width="31.85546875" style="72" bestFit="1" customWidth="1"/>
    <col min="23" max="23" width="33.85546875" style="72" bestFit="1" customWidth="1"/>
    <col min="24" max="24" width="29.85546875" style="72" bestFit="1" customWidth="1"/>
    <col min="25" max="25" width="23" style="72" bestFit="1" customWidth="1"/>
    <col min="26" max="26" width="15.28515625" style="72" bestFit="1" customWidth="1"/>
    <col min="27" max="27" width="20.42578125" style="72" bestFit="1" customWidth="1"/>
    <col min="28" max="28" width="22.140625" style="72" bestFit="1" customWidth="1"/>
    <col min="29" max="29" width="35.85546875" style="72" bestFit="1" customWidth="1"/>
    <col min="30" max="30" width="20.42578125" style="72" bestFit="1" customWidth="1"/>
    <col min="31" max="31" width="18.28515625" style="72" customWidth="1"/>
    <col min="32" max="16384" width="97.5703125" style="72"/>
  </cols>
  <sheetData>
    <row r="1" spans="1:33">
      <c r="B1" s="97"/>
      <c r="D1" s="114"/>
      <c r="F1" s="98" t="s">
        <v>85</v>
      </c>
      <c r="H1" s="79" t="s">
        <v>86</v>
      </c>
      <c r="I1" s="99">
        <f ca="1">TODAY()</f>
        <v>46189</v>
      </c>
    </row>
    <row r="2" spans="1:33">
      <c r="A2" s="281" t="s">
        <v>203</v>
      </c>
      <c r="B2" s="100"/>
      <c r="D2" s="115" t="s">
        <v>81</v>
      </c>
      <c r="F2" s="73">
        <f ca="1">TODAY()</f>
        <v>46189</v>
      </c>
      <c r="J2" s="101"/>
      <c r="K2" s="101"/>
      <c r="L2" s="101"/>
      <c r="M2" s="101"/>
      <c r="N2" s="101"/>
      <c r="O2" s="101"/>
      <c r="P2" s="101"/>
      <c r="Q2" s="101"/>
      <c r="R2" s="101"/>
      <c r="S2" s="101"/>
      <c r="T2" s="101"/>
      <c r="U2" s="101"/>
      <c r="V2" s="101"/>
      <c r="W2" s="101"/>
      <c r="X2" s="101"/>
      <c r="Y2" s="101"/>
      <c r="Z2" s="101"/>
      <c r="AA2" s="101"/>
      <c r="AB2" s="101"/>
      <c r="AC2" s="101"/>
      <c r="AD2" s="101"/>
      <c r="AE2" s="101"/>
      <c r="AF2" s="101"/>
      <c r="AG2" s="101"/>
    </row>
    <row r="3" spans="1:33">
      <c r="A3" s="282" t="s">
        <v>953</v>
      </c>
      <c r="D3" s="115" t="s">
        <v>655</v>
      </c>
      <c r="F3" s="74" t="str">
        <f>IF(AUTOQUESTIONNAIRE!F3=1,"H","F")</f>
        <v>F</v>
      </c>
      <c r="H3" s="75">
        <f>IF(F3="H",1,0)</f>
        <v>0</v>
      </c>
    </row>
    <row r="4" spans="1:33">
      <c r="A4" s="283" t="s">
        <v>954</v>
      </c>
      <c r="B4" s="85"/>
      <c r="D4" s="116" t="s">
        <v>656</v>
      </c>
      <c r="H4" s="75">
        <f>IF(F3="F",1,0)</f>
        <v>1</v>
      </c>
    </row>
    <row r="5" spans="1:33">
      <c r="A5" s="283" t="s">
        <v>955</v>
      </c>
      <c r="D5" s="116" t="s">
        <v>657</v>
      </c>
      <c r="I5" s="101"/>
      <c r="J5" s="101"/>
      <c r="K5" s="101"/>
      <c r="L5" s="101"/>
      <c r="M5" s="101"/>
      <c r="N5" s="101"/>
      <c r="O5" s="101"/>
      <c r="P5" s="101"/>
      <c r="Q5" s="101"/>
      <c r="R5" s="101"/>
      <c r="S5" s="101"/>
      <c r="T5" s="101"/>
      <c r="U5" s="101"/>
      <c r="V5" s="101"/>
      <c r="W5" s="101"/>
      <c r="X5" s="101"/>
      <c r="Y5" s="101"/>
      <c r="Z5" s="101"/>
      <c r="AA5" s="101"/>
      <c r="AB5" s="101"/>
      <c r="AC5" s="101"/>
      <c r="AD5" s="101"/>
      <c r="AE5" s="101"/>
    </row>
    <row r="6" spans="1:33">
      <c r="A6" s="284" t="s">
        <v>811</v>
      </c>
      <c r="B6" s="72" t="s">
        <v>1033</v>
      </c>
      <c r="D6" s="115" t="s">
        <v>665</v>
      </c>
      <c r="F6" s="111">
        <f>AUTOQUESTIONNAIRE!F4</f>
        <v>65</v>
      </c>
      <c r="I6" s="101"/>
      <c r="J6" s="101"/>
      <c r="K6" s="101"/>
      <c r="L6" s="101"/>
      <c r="M6" s="101"/>
      <c r="N6" s="101"/>
      <c r="O6" s="101"/>
      <c r="P6" s="101"/>
      <c r="Q6" s="101"/>
      <c r="R6" s="101"/>
      <c r="S6" s="101"/>
      <c r="T6" s="101"/>
      <c r="U6" s="101"/>
      <c r="V6" s="101"/>
      <c r="W6" s="101"/>
      <c r="X6" s="101"/>
      <c r="Y6" s="101"/>
      <c r="Z6" s="101"/>
      <c r="AA6" s="101"/>
      <c r="AB6" s="101"/>
      <c r="AC6" s="101"/>
      <c r="AD6" s="101"/>
      <c r="AE6" s="101"/>
    </row>
    <row r="7" spans="1:33">
      <c r="A7" s="285" t="s">
        <v>956</v>
      </c>
      <c r="B7" s="85"/>
      <c r="D7" s="115" t="s">
        <v>744</v>
      </c>
      <c r="E7" s="72" t="s">
        <v>1034</v>
      </c>
      <c r="F7" s="74" t="str">
        <f>IF(AUTOQUESTIONNAIRE!F5=0,"E",IF(AUTOQUESTIONNAIRE!F5=1,"AS","AF"))</f>
        <v>E</v>
      </c>
    </row>
    <row r="8" spans="1:33">
      <c r="A8" s="286" t="s">
        <v>800</v>
      </c>
      <c r="D8" s="116" t="s">
        <v>660</v>
      </c>
      <c r="I8" s="101"/>
      <c r="J8" s="101"/>
      <c r="K8" s="101"/>
      <c r="L8" s="101"/>
      <c r="M8" s="101"/>
      <c r="N8" s="101"/>
      <c r="O8" s="101"/>
      <c r="P8" s="101"/>
      <c r="Q8" s="101"/>
      <c r="R8" s="101"/>
      <c r="S8" s="101"/>
      <c r="T8" s="101"/>
      <c r="U8" s="101"/>
      <c r="V8" s="101"/>
      <c r="W8" s="101"/>
      <c r="X8" s="101"/>
      <c r="Y8" s="101"/>
      <c r="Z8" s="101"/>
      <c r="AA8" s="101"/>
      <c r="AB8" s="101"/>
      <c r="AC8" s="101"/>
      <c r="AD8" s="101"/>
      <c r="AE8" s="101"/>
    </row>
    <row r="9" spans="1:33">
      <c r="A9" s="283" t="s">
        <v>957</v>
      </c>
      <c r="D9" s="116" t="s">
        <v>661</v>
      </c>
      <c r="I9" s="101"/>
      <c r="J9" s="101"/>
      <c r="K9" s="101"/>
      <c r="L9" s="101"/>
      <c r="M9" s="101"/>
      <c r="N9" s="101"/>
      <c r="O9" s="101"/>
      <c r="P9" s="101"/>
      <c r="Q9" s="101"/>
      <c r="R9" s="101"/>
      <c r="S9" s="101"/>
      <c r="T9" s="101"/>
      <c r="U9" s="101"/>
      <c r="V9" s="101"/>
      <c r="W9" s="101"/>
      <c r="X9" s="101"/>
      <c r="Y9" s="101"/>
      <c r="Z9" s="101"/>
      <c r="AA9" s="101"/>
      <c r="AB9" s="101"/>
      <c r="AC9" s="101"/>
      <c r="AD9" s="101"/>
      <c r="AE9" s="101"/>
    </row>
    <row r="10" spans="1:33">
      <c r="A10" s="283" t="s">
        <v>958</v>
      </c>
      <c r="D10" s="116" t="s">
        <v>662</v>
      </c>
    </row>
    <row r="11" spans="1:33">
      <c r="A11" s="287" t="s">
        <v>803</v>
      </c>
      <c r="B11" s="85"/>
      <c r="D11" s="117" t="s">
        <v>666</v>
      </c>
      <c r="F11" s="120" t="str">
        <f>IF(AUTOQUESTIONNAIRE!F22=0,"N","Y")</f>
        <v>N</v>
      </c>
      <c r="H11" s="72" t="s">
        <v>89</v>
      </c>
      <c r="I11" s="72" t="s">
        <v>88</v>
      </c>
      <c r="J11" s="77"/>
      <c r="K11" s="78"/>
      <c r="L11" s="78"/>
      <c r="M11" s="78"/>
      <c r="N11" s="78"/>
      <c r="O11" s="78"/>
      <c r="P11" s="78"/>
      <c r="Q11" s="78"/>
      <c r="R11" s="78"/>
      <c r="S11" s="78"/>
      <c r="T11" s="78"/>
      <c r="U11" s="78"/>
      <c r="V11" s="78"/>
      <c r="W11" s="78"/>
      <c r="X11" s="78"/>
      <c r="Y11" s="78"/>
      <c r="Z11" s="78"/>
      <c r="AA11" s="78"/>
      <c r="AB11" s="78"/>
      <c r="AC11" s="78"/>
      <c r="AD11" s="78"/>
    </row>
    <row r="12" spans="1:33">
      <c r="A12" s="283" t="s">
        <v>957</v>
      </c>
      <c r="D12" s="118" t="s">
        <v>658</v>
      </c>
    </row>
    <row r="13" spans="1:33">
      <c r="A13" s="283" t="s">
        <v>958</v>
      </c>
      <c r="D13" s="118" t="s">
        <v>659</v>
      </c>
    </row>
    <row r="14" spans="1:33" ht="60">
      <c r="A14" s="288" t="s">
        <v>804</v>
      </c>
      <c r="D14" s="118" t="s">
        <v>667</v>
      </c>
      <c r="F14" s="590" t="str">
        <f>IF(AUTOQUESTIONNAIRE!F23=0,"N","Y")</f>
        <v>N</v>
      </c>
      <c r="H14" s="80" t="str">
        <f>IF($F$11="Y",F14,"N")</f>
        <v>N</v>
      </c>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row>
    <row r="15" spans="1:33">
      <c r="A15" s="283" t="s">
        <v>957</v>
      </c>
      <c r="D15" s="118" t="s">
        <v>658</v>
      </c>
      <c r="I15" s="101"/>
      <c r="J15" s="77" t="s">
        <v>54</v>
      </c>
      <c r="K15" s="78" t="s">
        <v>35</v>
      </c>
      <c r="L15" s="78" t="s">
        <v>36</v>
      </c>
      <c r="M15" s="78" t="s">
        <v>37</v>
      </c>
      <c r="N15" s="78" t="s">
        <v>38</v>
      </c>
      <c r="O15" s="78" t="s">
        <v>39</v>
      </c>
      <c r="P15" s="78" t="s">
        <v>40</v>
      </c>
      <c r="Q15" s="78" t="s">
        <v>41</v>
      </c>
      <c r="R15" s="78" t="s">
        <v>42</v>
      </c>
      <c r="S15" s="78" t="s">
        <v>43</v>
      </c>
      <c r="T15" s="78" t="s">
        <v>44</v>
      </c>
      <c r="U15" s="78" t="s">
        <v>45</v>
      </c>
      <c r="V15" s="78" t="s">
        <v>46</v>
      </c>
      <c r="W15" s="78" t="s">
        <v>47</v>
      </c>
      <c r="X15" s="78" t="s">
        <v>48</v>
      </c>
      <c r="Y15" s="78" t="s">
        <v>49</v>
      </c>
      <c r="Z15" s="78" t="s">
        <v>50</v>
      </c>
      <c r="AA15" s="78" t="s">
        <v>51</v>
      </c>
      <c r="AB15" s="78" t="s">
        <v>52</v>
      </c>
      <c r="AC15" s="78" t="s">
        <v>53</v>
      </c>
      <c r="AD15" s="101"/>
      <c r="AE15" s="101"/>
      <c r="AF15" s="101"/>
      <c r="AG15" s="101"/>
    </row>
    <row r="16" spans="1:33">
      <c r="A16" s="283" t="s">
        <v>958</v>
      </c>
      <c r="D16" s="118" t="s">
        <v>659</v>
      </c>
    </row>
    <row r="17" spans="1:31" ht="30">
      <c r="A17" s="288" t="s">
        <v>805</v>
      </c>
      <c r="D17" s="118" t="s">
        <v>668</v>
      </c>
      <c r="F17" s="590" t="str">
        <f>IF(AUTOQUESTIONNAIRE!F24=0,"N","Y")</f>
        <v>N</v>
      </c>
      <c r="H17" s="80" t="str">
        <f>IF($F$11="Y",F17,"N")</f>
        <v>N</v>
      </c>
      <c r="I17" s="72" t="s">
        <v>97</v>
      </c>
      <c r="J17" s="81" t="s">
        <v>54</v>
      </c>
      <c r="K17" s="82" t="s">
        <v>35</v>
      </c>
      <c r="L17" s="82" t="s">
        <v>36</v>
      </c>
      <c r="M17" s="82" t="s">
        <v>37</v>
      </c>
      <c r="N17" s="82" t="s">
        <v>38</v>
      </c>
      <c r="O17" s="82" t="s">
        <v>39</v>
      </c>
      <c r="P17" s="82" t="s">
        <v>40</v>
      </c>
      <c r="Q17" s="82" t="s">
        <v>41</v>
      </c>
      <c r="R17" s="82" t="s">
        <v>42</v>
      </c>
      <c r="S17" s="82" t="s">
        <v>43</v>
      </c>
      <c r="T17" s="82" t="s">
        <v>44</v>
      </c>
      <c r="U17" s="82" t="s">
        <v>45</v>
      </c>
      <c r="V17" s="82" t="s">
        <v>46</v>
      </c>
      <c r="W17" s="82" t="s">
        <v>47</v>
      </c>
      <c r="X17" s="82" t="s">
        <v>48</v>
      </c>
      <c r="Y17" s="82" t="s">
        <v>49</v>
      </c>
      <c r="Z17" s="82" t="s">
        <v>50</v>
      </c>
      <c r="AA17" s="82" t="s">
        <v>51</v>
      </c>
      <c r="AB17" s="82" t="s">
        <v>52</v>
      </c>
      <c r="AC17" s="82" t="s">
        <v>96</v>
      </c>
      <c r="AD17" s="83" t="s">
        <v>95</v>
      </c>
      <c r="AE17" s="92" t="s">
        <v>601</v>
      </c>
    </row>
    <row r="18" spans="1:31">
      <c r="A18" s="283" t="s">
        <v>957</v>
      </c>
      <c r="D18" s="118" t="s">
        <v>658</v>
      </c>
      <c r="I18" s="84" t="s">
        <v>0</v>
      </c>
      <c r="J18" s="85">
        <f>IF($H$77&gt;0.25,1.2,1)</f>
        <v>1</v>
      </c>
      <c r="K18" s="85">
        <f t="shared" ref="K18:AC18" si="0">IF($H$77&gt;0.25,1.2,1)</f>
        <v>1</v>
      </c>
      <c r="L18" s="85">
        <f t="shared" si="0"/>
        <v>1</v>
      </c>
      <c r="M18" s="85">
        <f t="shared" si="0"/>
        <v>1</v>
      </c>
      <c r="N18" s="85">
        <f>IF($H$77&gt;0.25,0.8,1)</f>
        <v>1</v>
      </c>
      <c r="O18" s="85">
        <f t="shared" si="0"/>
        <v>1</v>
      </c>
      <c r="P18" s="85">
        <f t="shared" si="0"/>
        <v>1</v>
      </c>
      <c r="Q18" s="72">
        <v>1</v>
      </c>
      <c r="R18" s="85">
        <f t="shared" si="0"/>
        <v>1</v>
      </c>
      <c r="S18" s="85">
        <f t="shared" si="0"/>
        <v>1</v>
      </c>
      <c r="T18" s="85">
        <f t="shared" si="0"/>
        <v>1</v>
      </c>
      <c r="U18" s="72">
        <v>1</v>
      </c>
      <c r="V18" s="85">
        <f t="shared" si="0"/>
        <v>1</v>
      </c>
      <c r="W18" s="85">
        <f t="shared" si="0"/>
        <v>1</v>
      </c>
      <c r="X18" s="85">
        <f t="shared" si="0"/>
        <v>1</v>
      </c>
      <c r="Y18" s="72">
        <v>1</v>
      </c>
      <c r="Z18" s="72">
        <v>1</v>
      </c>
      <c r="AA18" s="72">
        <v>1</v>
      </c>
      <c r="AB18" s="72">
        <v>1</v>
      </c>
      <c r="AC18" s="85">
        <f t="shared" si="0"/>
        <v>1</v>
      </c>
      <c r="AD18" s="72">
        <v>1</v>
      </c>
      <c r="AE18" s="72">
        <v>1</v>
      </c>
    </row>
    <row r="19" spans="1:31">
      <c r="A19" s="283" t="s">
        <v>958</v>
      </c>
      <c r="D19" s="118" t="s">
        <v>659</v>
      </c>
      <c r="I19" s="84" t="s">
        <v>73</v>
      </c>
      <c r="J19" s="72">
        <v>1</v>
      </c>
      <c r="K19" s="72">
        <v>1</v>
      </c>
      <c r="L19" s="85">
        <f t="shared" ref="L19:AD19" si="1">IF($F$82="Y",1.2,1)</f>
        <v>1.2</v>
      </c>
      <c r="M19" s="72">
        <v>1</v>
      </c>
      <c r="N19" s="85">
        <f t="shared" si="1"/>
        <v>1.2</v>
      </c>
      <c r="O19" s="72">
        <v>1</v>
      </c>
      <c r="P19" s="72">
        <v>1</v>
      </c>
      <c r="Q19" s="72">
        <v>1</v>
      </c>
      <c r="R19" s="72">
        <v>1</v>
      </c>
      <c r="S19" s="72">
        <v>1</v>
      </c>
      <c r="T19" s="72">
        <v>1</v>
      </c>
      <c r="U19" s="85">
        <f t="shared" si="1"/>
        <v>1.2</v>
      </c>
      <c r="V19" s="85">
        <f t="shared" si="1"/>
        <v>1.2</v>
      </c>
      <c r="W19" s="85">
        <f t="shared" si="1"/>
        <v>1.2</v>
      </c>
      <c r="X19" s="85">
        <f t="shared" si="1"/>
        <v>1.2</v>
      </c>
      <c r="Y19" s="85">
        <f>IF(F82="Y",20,0.1)</f>
        <v>20</v>
      </c>
      <c r="Z19" s="85">
        <f>IF($F$82="Y",5,0.1)</f>
        <v>5</v>
      </c>
      <c r="AA19" s="85">
        <f t="shared" si="1"/>
        <v>1.2</v>
      </c>
      <c r="AB19" s="72">
        <v>1</v>
      </c>
      <c r="AC19" s="72">
        <v>1</v>
      </c>
      <c r="AD19" s="85">
        <f t="shared" si="1"/>
        <v>1.2</v>
      </c>
      <c r="AE19" s="85">
        <f>IF($F$82="Y",20,1)</f>
        <v>20</v>
      </c>
    </row>
    <row r="20" spans="1:31">
      <c r="A20" s="286" t="s">
        <v>806</v>
      </c>
      <c r="D20" s="118" t="s">
        <v>669</v>
      </c>
      <c r="F20" s="590" t="str">
        <f>IF(AUTOQUESTIONNAIRE!F25=0,"N","Y")</f>
        <v>N</v>
      </c>
      <c r="H20" s="80" t="str">
        <f>IF($F$11="Y",F20,"N")</f>
        <v>N</v>
      </c>
      <c r="I20" s="84" t="s">
        <v>74</v>
      </c>
      <c r="J20" s="72">
        <v>1</v>
      </c>
      <c r="K20" s="72">
        <v>1</v>
      </c>
      <c r="L20" s="72">
        <v>1</v>
      </c>
      <c r="M20" s="72">
        <v>1</v>
      </c>
      <c r="N20" s="72">
        <v>1</v>
      </c>
      <c r="O20" s="85">
        <f t="shared" ref="O20:AD20" si="2">IF($F$86="Y",1.2,1)</f>
        <v>1.2</v>
      </c>
      <c r="P20" s="85">
        <f t="shared" si="2"/>
        <v>1.2</v>
      </c>
      <c r="Q20" s="72">
        <v>1</v>
      </c>
      <c r="R20" s="72">
        <v>1</v>
      </c>
      <c r="S20" s="72">
        <v>1</v>
      </c>
      <c r="T20" s="72">
        <v>1</v>
      </c>
      <c r="U20" s="72">
        <v>1</v>
      </c>
      <c r="V20" s="72">
        <v>1</v>
      </c>
      <c r="W20" s="72">
        <v>1</v>
      </c>
      <c r="X20" s="72">
        <v>1</v>
      </c>
      <c r="Y20" s="72">
        <v>1</v>
      </c>
      <c r="Z20" s="85">
        <f>IF($F$86="Y",5,1)</f>
        <v>5</v>
      </c>
      <c r="AA20" s="72">
        <v>1</v>
      </c>
      <c r="AB20" s="72">
        <v>1</v>
      </c>
      <c r="AC20" s="72">
        <v>1</v>
      </c>
      <c r="AD20" s="85">
        <f t="shared" si="2"/>
        <v>1.2</v>
      </c>
      <c r="AE20" s="72">
        <v>1</v>
      </c>
    </row>
    <row r="21" spans="1:31">
      <c r="A21" s="284" t="s">
        <v>807</v>
      </c>
      <c r="D21" s="118" t="s">
        <v>658</v>
      </c>
      <c r="I21" s="84" t="s">
        <v>75</v>
      </c>
      <c r="J21" s="85">
        <f>IF($F$89="Y",0.8,1)</f>
        <v>1</v>
      </c>
      <c r="K21" s="85">
        <f>IF($F$89="Y",0.8,1)</f>
        <v>1</v>
      </c>
      <c r="L21" s="72">
        <v>1</v>
      </c>
      <c r="M21" s="72">
        <v>1</v>
      </c>
      <c r="N21" s="85">
        <f>IF($F$89="Y",0.8,1)</f>
        <v>1</v>
      </c>
      <c r="O21" s="85">
        <f>IF($F$89="Y",0.8,1)</f>
        <v>1</v>
      </c>
      <c r="P21" s="85">
        <f>IF($F$89="Y",0.8,1)</f>
        <v>1</v>
      </c>
      <c r="Q21" s="72">
        <v>1</v>
      </c>
      <c r="R21" s="72">
        <v>1</v>
      </c>
      <c r="S21" s="85">
        <f t="shared" ref="S21:X21" si="3">IF($F$89="Y",0.8,1)</f>
        <v>1</v>
      </c>
      <c r="T21" s="85">
        <f t="shared" si="3"/>
        <v>1</v>
      </c>
      <c r="U21" s="85">
        <f t="shared" si="3"/>
        <v>1</v>
      </c>
      <c r="V21" s="85">
        <f t="shared" si="3"/>
        <v>1</v>
      </c>
      <c r="W21" s="85">
        <f t="shared" si="3"/>
        <v>1</v>
      </c>
      <c r="X21" s="85">
        <f t="shared" si="3"/>
        <v>1</v>
      </c>
      <c r="Y21" s="72">
        <v>1</v>
      </c>
      <c r="Z21" s="72">
        <v>1</v>
      </c>
      <c r="AA21" s="72">
        <v>1</v>
      </c>
      <c r="AB21" s="72">
        <v>1</v>
      </c>
      <c r="AC21" s="85">
        <f>IF($F$89="Y",0.8,1)</f>
        <v>1</v>
      </c>
      <c r="AD21" s="72">
        <v>1</v>
      </c>
      <c r="AE21" s="72">
        <v>1</v>
      </c>
    </row>
    <row r="22" spans="1:31">
      <c r="A22" s="284" t="s">
        <v>808</v>
      </c>
      <c r="B22" s="102"/>
      <c r="D22" s="118" t="s">
        <v>659</v>
      </c>
      <c r="I22" s="84" t="s">
        <v>76</v>
      </c>
      <c r="J22" s="85">
        <f>IF($F$92="Y",0.8,1)</f>
        <v>1</v>
      </c>
      <c r="K22" s="85">
        <f>IF($F$92="Y",0.8,1)</f>
        <v>1</v>
      </c>
      <c r="L22" s="72">
        <v>1</v>
      </c>
      <c r="M22" s="72">
        <v>1</v>
      </c>
      <c r="N22" s="72">
        <v>1</v>
      </c>
      <c r="O22" s="85">
        <f>IF($F$92="Y",0.8,1)</f>
        <v>1</v>
      </c>
      <c r="P22" s="85">
        <f>IF($F$92="Y",0.8,1)</f>
        <v>1</v>
      </c>
      <c r="Q22" s="72">
        <v>1</v>
      </c>
      <c r="R22" s="72">
        <v>1</v>
      </c>
      <c r="S22" s="85">
        <f>IF($F$92="Y",0.8,1)</f>
        <v>1</v>
      </c>
      <c r="T22" s="85">
        <f>IF($F$92="Y",0.8,1)</f>
        <v>1</v>
      </c>
      <c r="U22" s="72">
        <v>1</v>
      </c>
      <c r="V22" s="72">
        <v>1</v>
      </c>
      <c r="W22" s="85">
        <f>IF($F$92="Y",0.8,1)</f>
        <v>1</v>
      </c>
      <c r="X22" s="85">
        <f>IF($F$92="Y",0.8,1)</f>
        <v>1</v>
      </c>
      <c r="Y22" s="72">
        <v>1</v>
      </c>
      <c r="Z22" s="72">
        <v>1</v>
      </c>
      <c r="AA22" s="72">
        <v>1</v>
      </c>
      <c r="AB22" s="72">
        <v>1</v>
      </c>
      <c r="AC22" s="85">
        <f>IF($F$92="Y",0.8,1)</f>
        <v>1</v>
      </c>
      <c r="AD22" s="72">
        <v>1</v>
      </c>
      <c r="AE22" s="72">
        <v>1</v>
      </c>
    </row>
    <row r="23" spans="1:31">
      <c r="A23" s="284" t="s">
        <v>809</v>
      </c>
      <c r="B23" s="102"/>
      <c r="D23" s="118" t="s">
        <v>670</v>
      </c>
      <c r="F23" s="121" t="str">
        <f>IF(AUTOQUESTIONNAIRE!F26=0,"N","Y")</f>
        <v>N</v>
      </c>
      <c r="H23" s="80" t="str">
        <f>IF($F$11="Y",F23,"N")</f>
        <v>N</v>
      </c>
      <c r="I23" s="84" t="s">
        <v>78</v>
      </c>
      <c r="J23" s="72">
        <v>1</v>
      </c>
      <c r="K23" s="72">
        <v>1</v>
      </c>
      <c r="L23" s="72">
        <v>1</v>
      </c>
      <c r="M23" s="72">
        <v>1</v>
      </c>
      <c r="N23" s="72">
        <v>1</v>
      </c>
      <c r="O23" s="72">
        <v>1</v>
      </c>
      <c r="P23" s="72">
        <v>1</v>
      </c>
      <c r="Q23" s="72">
        <v>1</v>
      </c>
      <c r="R23" s="72">
        <v>1</v>
      </c>
      <c r="S23" s="72">
        <v>1</v>
      </c>
      <c r="T23" s="72">
        <v>1</v>
      </c>
      <c r="U23" s="72">
        <v>1</v>
      </c>
      <c r="V23" s="72">
        <v>1</v>
      </c>
      <c r="W23" s="72">
        <v>1</v>
      </c>
      <c r="X23" s="72">
        <v>1</v>
      </c>
      <c r="Y23" s="72">
        <v>1</v>
      </c>
      <c r="Z23" s="72">
        <v>1</v>
      </c>
      <c r="AA23" s="72">
        <v>1</v>
      </c>
      <c r="AB23" s="243">
        <f>G117*G118*G119*G120</f>
        <v>1</v>
      </c>
      <c r="AC23" s="72">
        <v>1</v>
      </c>
      <c r="AD23" s="72">
        <v>1</v>
      </c>
      <c r="AE23" s="72">
        <v>1</v>
      </c>
    </row>
    <row r="24" spans="1:31">
      <c r="A24" s="284" t="s">
        <v>810</v>
      </c>
      <c r="B24" s="102"/>
      <c r="D24" s="118" t="s">
        <v>658</v>
      </c>
      <c r="I24" s="86" t="s">
        <v>105</v>
      </c>
      <c r="J24" s="72">
        <v>1</v>
      </c>
      <c r="K24" s="72">
        <v>1</v>
      </c>
      <c r="L24" s="72">
        <v>1</v>
      </c>
      <c r="M24" s="72">
        <v>1</v>
      </c>
      <c r="N24" s="85">
        <f>IF(F113="Y",1.2,1)</f>
        <v>1</v>
      </c>
      <c r="O24" s="72">
        <v>1</v>
      </c>
      <c r="P24" s="72">
        <v>1</v>
      </c>
      <c r="Q24" s="72">
        <v>1</v>
      </c>
      <c r="R24" s="72">
        <v>1</v>
      </c>
      <c r="S24" s="72">
        <v>1</v>
      </c>
      <c r="T24" s="72">
        <v>1</v>
      </c>
      <c r="U24" s="85">
        <f>IF(F53="Y",1.2,1)*(IF(F101="Y",0.8,1))</f>
        <v>1</v>
      </c>
      <c r="V24" s="72">
        <v>1</v>
      </c>
      <c r="W24" s="85">
        <f>X24</f>
        <v>1.2</v>
      </c>
      <c r="X24" s="85">
        <f>MAX(IF(F122="Y",1.2,1),IF(H140&gt;4,1.2,1),IF(F107="Y",1.2,1))</f>
        <v>1.2</v>
      </c>
      <c r="Y24" s="72">
        <v>1</v>
      </c>
      <c r="Z24" s="72">
        <v>1</v>
      </c>
      <c r="AA24" s="72">
        <v>1</v>
      </c>
      <c r="AB24" s="72">
        <v>1</v>
      </c>
      <c r="AC24" s="72">
        <v>1</v>
      </c>
      <c r="AD24" s="72">
        <v>1</v>
      </c>
      <c r="AE24" s="72">
        <v>1</v>
      </c>
    </row>
    <row r="25" spans="1:31">
      <c r="A25" s="284" t="s">
        <v>811</v>
      </c>
      <c r="B25" s="102"/>
      <c r="D25" s="118" t="s">
        <v>659</v>
      </c>
      <c r="I25" s="86" t="s">
        <v>126</v>
      </c>
      <c r="J25" s="72">
        <f>J18*J19*J20*(MAX(J21,J22)*J23*J24)</f>
        <v>1</v>
      </c>
      <c r="K25" s="72">
        <f t="shared" ref="K25:AD25" si="4">K18*K19*K20*(MAX(K21,K22)*K23*K24)</f>
        <v>1</v>
      </c>
      <c r="L25" s="72">
        <f t="shared" si="4"/>
        <v>1.2</v>
      </c>
      <c r="M25" s="72">
        <f t="shared" si="4"/>
        <v>1</v>
      </c>
      <c r="N25" s="72">
        <f t="shared" si="4"/>
        <v>1.2</v>
      </c>
      <c r="O25" s="72">
        <f>O18*O19*O20*(MAX(O21,O22)*O23*O24)</f>
        <v>1.2</v>
      </c>
      <c r="P25" s="72">
        <f t="shared" si="4"/>
        <v>1.2</v>
      </c>
      <c r="Q25" s="72">
        <f t="shared" si="4"/>
        <v>1</v>
      </c>
      <c r="R25" s="72">
        <f t="shared" si="4"/>
        <v>1</v>
      </c>
      <c r="S25" s="72">
        <f t="shared" si="4"/>
        <v>1</v>
      </c>
      <c r="T25" s="72">
        <f t="shared" si="4"/>
        <v>1</v>
      </c>
      <c r="U25" s="72">
        <f t="shared" si="4"/>
        <v>1.2</v>
      </c>
      <c r="V25" s="72">
        <f t="shared" si="4"/>
        <v>1.2</v>
      </c>
      <c r="W25" s="72">
        <f t="shared" si="4"/>
        <v>1.44</v>
      </c>
      <c r="X25" s="72">
        <f t="shared" si="4"/>
        <v>1.44</v>
      </c>
      <c r="Y25" s="72">
        <f t="shared" si="4"/>
        <v>20</v>
      </c>
      <c r="Z25" s="72">
        <f t="shared" si="4"/>
        <v>25</v>
      </c>
      <c r="AA25" s="72">
        <f t="shared" si="4"/>
        <v>1.2</v>
      </c>
      <c r="AB25" s="72">
        <f t="shared" si="4"/>
        <v>1</v>
      </c>
      <c r="AC25" s="72">
        <f t="shared" si="4"/>
        <v>1</v>
      </c>
      <c r="AD25" s="72">
        <f t="shared" si="4"/>
        <v>1.44</v>
      </c>
      <c r="AE25" s="147">
        <f>AE19</f>
        <v>20</v>
      </c>
    </row>
    <row r="26" spans="1:31">
      <c r="A26" s="286" t="s">
        <v>812</v>
      </c>
      <c r="B26" s="102"/>
      <c r="D26" s="118" t="s">
        <v>671</v>
      </c>
      <c r="F26" s="121" t="str">
        <f>IF(AUTOQUESTIONNAIRE!F27=0,"N","Y")</f>
        <v>N</v>
      </c>
      <c r="H26" s="80" t="str">
        <f>IF($F$11="Y",F26,"N")</f>
        <v>N</v>
      </c>
      <c r="I26" s="72" t="s">
        <v>98</v>
      </c>
      <c r="J26" s="81" t="s">
        <v>54</v>
      </c>
      <c r="K26" s="82" t="s">
        <v>35</v>
      </c>
      <c r="L26" s="82" t="s">
        <v>36</v>
      </c>
      <c r="M26" s="82" t="s">
        <v>37</v>
      </c>
      <c r="N26" s="82" t="s">
        <v>38</v>
      </c>
      <c r="O26" s="82" t="s">
        <v>39</v>
      </c>
      <c r="P26" s="82" t="s">
        <v>40</v>
      </c>
      <c r="Q26" s="82" t="s">
        <v>41</v>
      </c>
      <c r="R26" s="82" t="s">
        <v>42</v>
      </c>
      <c r="S26" s="82" t="s">
        <v>43</v>
      </c>
      <c r="T26" s="82" t="s">
        <v>44</v>
      </c>
      <c r="U26" s="82" t="s">
        <v>45</v>
      </c>
      <c r="V26" s="82" t="s">
        <v>46</v>
      </c>
      <c r="W26" s="82" t="s">
        <v>47</v>
      </c>
      <c r="X26" s="82" t="s">
        <v>48</v>
      </c>
      <c r="Y26" s="82" t="s">
        <v>49</v>
      </c>
      <c r="Z26" s="82" t="s">
        <v>50</v>
      </c>
      <c r="AA26" s="82" t="s">
        <v>51</v>
      </c>
      <c r="AB26" s="82" t="s">
        <v>52</v>
      </c>
      <c r="AC26" s="82" t="s">
        <v>96</v>
      </c>
      <c r="AD26" s="83" t="s">
        <v>95</v>
      </c>
      <c r="AE26" s="92" t="s">
        <v>601</v>
      </c>
    </row>
    <row r="27" spans="1:31">
      <c r="A27" s="284" t="s">
        <v>813</v>
      </c>
      <c r="B27" s="102"/>
      <c r="D27" s="118" t="s">
        <v>658</v>
      </c>
    </row>
    <row r="28" spans="1:31">
      <c r="A28" s="284" t="s">
        <v>959</v>
      </c>
      <c r="B28" s="102"/>
      <c r="D28" s="118" t="s">
        <v>659</v>
      </c>
    </row>
    <row r="29" spans="1:31">
      <c r="A29" s="284" t="s">
        <v>815</v>
      </c>
      <c r="B29" s="102"/>
      <c r="D29" s="118" t="s">
        <v>672</v>
      </c>
      <c r="F29" s="121" t="str">
        <f>IF(AUTOQUESTIONNAIRE!F31=0,"N","Y")</f>
        <v>N</v>
      </c>
      <c r="H29" s="80" t="str">
        <f>IF($F$11="Y",F29,"N")</f>
        <v>N</v>
      </c>
    </row>
    <row r="30" spans="1:31">
      <c r="A30" s="284" t="s">
        <v>816</v>
      </c>
      <c r="B30" s="102"/>
      <c r="D30" s="118" t="s">
        <v>658</v>
      </c>
    </row>
    <row r="31" spans="1:31">
      <c r="A31" s="286" t="s">
        <v>817</v>
      </c>
      <c r="B31" s="102"/>
      <c r="D31" s="118" t="s">
        <v>659</v>
      </c>
    </row>
    <row r="32" spans="1:31" ht="36">
      <c r="A32" s="283" t="s">
        <v>957</v>
      </c>
      <c r="B32" s="102"/>
      <c r="D32" s="119" t="s">
        <v>673</v>
      </c>
      <c r="F32" s="120" t="str">
        <f>IF(AUTOQUESTIONNAIRE!F34=0,"N","Y")</f>
        <v>N</v>
      </c>
    </row>
    <row r="33" spans="1:8">
      <c r="A33" s="283" t="s">
        <v>958</v>
      </c>
      <c r="B33" s="102"/>
      <c r="D33" s="118" t="s">
        <v>658</v>
      </c>
    </row>
    <row r="34" spans="1:8">
      <c r="A34" s="284" t="s">
        <v>818</v>
      </c>
      <c r="D34" s="118" t="s">
        <v>659</v>
      </c>
    </row>
    <row r="35" spans="1:8" ht="36">
      <c r="A35" s="289" t="s">
        <v>819</v>
      </c>
      <c r="D35" s="118" t="s">
        <v>674</v>
      </c>
      <c r="F35" s="121" t="str">
        <f>IF(AUTOQUESTIONNAIRE!F33=0,"N","Y")</f>
        <v>N</v>
      </c>
      <c r="H35" s="80" t="str">
        <f>IF($F$32="Y",F35,"N")</f>
        <v>N</v>
      </c>
    </row>
    <row r="36" spans="1:8">
      <c r="A36" s="283" t="s">
        <v>957</v>
      </c>
      <c r="B36" s="103"/>
      <c r="D36" s="118" t="s">
        <v>658</v>
      </c>
    </row>
    <row r="37" spans="1:8">
      <c r="A37" s="283" t="s">
        <v>958</v>
      </c>
      <c r="B37" s="103"/>
      <c r="D37" s="118" t="s">
        <v>659</v>
      </c>
    </row>
    <row r="38" spans="1:8" ht="45">
      <c r="A38" s="290" t="s">
        <v>820</v>
      </c>
      <c r="B38" s="103"/>
      <c r="D38" s="118" t="s">
        <v>675</v>
      </c>
      <c r="F38" s="121" t="str">
        <f>IF(AUTOQUESTIONNAIRE!F34=0,"N","Y")</f>
        <v>N</v>
      </c>
      <c r="H38" s="80" t="str">
        <f>IF($F$32="Y",F38,"N")</f>
        <v>N</v>
      </c>
    </row>
    <row r="39" spans="1:8">
      <c r="A39" s="283" t="s">
        <v>957</v>
      </c>
      <c r="B39" s="103"/>
      <c r="D39" s="118" t="s">
        <v>658</v>
      </c>
    </row>
    <row r="40" spans="1:8">
      <c r="A40" s="283" t="s">
        <v>958</v>
      </c>
      <c r="B40" s="103"/>
      <c r="D40" s="118" t="s">
        <v>659</v>
      </c>
    </row>
    <row r="41" spans="1:8" ht="36">
      <c r="A41" s="291" t="s">
        <v>960</v>
      </c>
      <c r="B41" s="103"/>
      <c r="D41" s="118" t="s">
        <v>676</v>
      </c>
      <c r="F41" s="121" t="str">
        <f>IF(AUTOQUESTIONNAIRE!F36=0,"N","Y")</f>
        <v>N</v>
      </c>
      <c r="H41" s="80" t="str">
        <f>IF($F$32="Y",F41,"N")</f>
        <v>N</v>
      </c>
    </row>
    <row r="42" spans="1:8">
      <c r="A42" s="284" t="s">
        <v>961</v>
      </c>
      <c r="B42" s="103"/>
      <c r="D42" s="118" t="s">
        <v>658</v>
      </c>
    </row>
    <row r="43" spans="1:8" ht="30">
      <c r="A43" s="292" t="s">
        <v>962</v>
      </c>
      <c r="D43" s="118" t="s">
        <v>659</v>
      </c>
    </row>
    <row r="44" spans="1:8">
      <c r="A44" s="283" t="s">
        <v>957</v>
      </c>
      <c r="D44" s="118" t="s">
        <v>677</v>
      </c>
      <c r="F44" s="121" t="str">
        <f>IF(AUTOQUESTIONNAIRE!F38=0,"N","Y")</f>
        <v>N</v>
      </c>
      <c r="H44" s="80" t="str">
        <f>IF($F$32="Y",F44,"N")</f>
        <v>N</v>
      </c>
    </row>
    <row r="45" spans="1:8">
      <c r="A45" s="283" t="s">
        <v>958</v>
      </c>
      <c r="D45" s="118" t="s">
        <v>658</v>
      </c>
    </row>
    <row r="46" spans="1:8">
      <c r="A46" s="292" t="s">
        <v>963</v>
      </c>
      <c r="D46" s="118" t="s">
        <v>659</v>
      </c>
    </row>
    <row r="47" spans="1:8">
      <c r="A47" s="283" t="s">
        <v>957</v>
      </c>
      <c r="D47" s="118" t="s">
        <v>678</v>
      </c>
      <c r="F47" s="121" t="str">
        <f>IF(AUTOQUESTIONNAIRE!F39=0,"N","Y")</f>
        <v>N</v>
      </c>
      <c r="H47" s="80" t="str">
        <f>IF($F$32="Y",F47,"N")</f>
        <v>N</v>
      </c>
    </row>
    <row r="48" spans="1:8">
      <c r="A48" s="283" t="s">
        <v>958</v>
      </c>
      <c r="D48" s="118" t="s">
        <v>658</v>
      </c>
    </row>
    <row r="49" spans="1:8" ht="30">
      <c r="A49" s="292" t="s">
        <v>964</v>
      </c>
      <c r="D49" s="118" t="s">
        <v>659</v>
      </c>
    </row>
    <row r="50" spans="1:8">
      <c r="A50" s="283" t="s">
        <v>957</v>
      </c>
      <c r="D50" s="118" t="s">
        <v>679</v>
      </c>
      <c r="F50" s="121" t="str">
        <f>IF(AUTOQUESTIONNAIRE!F43=0,"N","Y")</f>
        <v>Y</v>
      </c>
      <c r="H50" s="80" t="str">
        <f>IF($F$32="Y",F50,"N")</f>
        <v>N</v>
      </c>
    </row>
    <row r="51" spans="1:8">
      <c r="A51" s="283" t="s">
        <v>958</v>
      </c>
      <c r="D51" s="118" t="s">
        <v>658</v>
      </c>
    </row>
    <row r="52" spans="1:8">
      <c r="A52" s="293" t="s">
        <v>965</v>
      </c>
      <c r="D52" s="118" t="s">
        <v>659</v>
      </c>
    </row>
    <row r="53" spans="1:8">
      <c r="A53" s="283" t="s">
        <v>957</v>
      </c>
      <c r="D53" s="115" t="s">
        <v>680</v>
      </c>
      <c r="F53" s="121" t="str">
        <f>IF(AUTOQUESTIONNAIRE!F47=0,"N","Y")</f>
        <v>N</v>
      </c>
      <c r="H53" s="80" t="str">
        <f>IF($F$32="Y",F53,"N")</f>
        <v>N</v>
      </c>
    </row>
    <row r="54" spans="1:8">
      <c r="A54" s="283" t="s">
        <v>958</v>
      </c>
      <c r="D54" s="118" t="s">
        <v>658</v>
      </c>
    </row>
    <row r="55" spans="1:8">
      <c r="A55" s="292" t="s">
        <v>966</v>
      </c>
      <c r="D55" s="118" t="s">
        <v>659</v>
      </c>
    </row>
    <row r="56" spans="1:8" ht="72">
      <c r="A56" s="283" t="s">
        <v>957</v>
      </c>
      <c r="B56" s="85"/>
      <c r="D56" s="135" t="s">
        <v>681</v>
      </c>
      <c r="F56" s="136" t="s">
        <v>89</v>
      </c>
    </row>
    <row r="57" spans="1:8">
      <c r="A57" s="283" t="s">
        <v>958</v>
      </c>
      <c r="D57" s="118" t="s">
        <v>658</v>
      </c>
    </row>
    <row r="58" spans="1:8" ht="30">
      <c r="A58" s="292" t="s">
        <v>967</v>
      </c>
      <c r="D58" s="118" t="s">
        <v>659</v>
      </c>
    </row>
    <row r="59" spans="1:8" ht="36">
      <c r="A59" s="283" t="s">
        <v>957</v>
      </c>
      <c r="D59" s="118" t="s">
        <v>682</v>
      </c>
      <c r="F59" s="121" t="str">
        <f>IF(AUTOQUESTIONNAIRE!F52=0,"N","Y")</f>
        <v>N</v>
      </c>
      <c r="H59" s="137" t="str">
        <f>F59</f>
        <v>N</v>
      </c>
    </row>
    <row r="60" spans="1:8">
      <c r="A60" s="283" t="s">
        <v>958</v>
      </c>
      <c r="D60" s="118" t="s">
        <v>658</v>
      </c>
      <c r="H60" s="89"/>
    </row>
    <row r="61" spans="1:8">
      <c r="A61" s="292" t="s">
        <v>821</v>
      </c>
      <c r="D61" s="118" t="s">
        <v>659</v>
      </c>
      <c r="H61" s="89"/>
    </row>
    <row r="62" spans="1:8" ht="36">
      <c r="A62" s="283" t="s">
        <v>957</v>
      </c>
      <c r="D62" s="118" t="s">
        <v>683</v>
      </c>
      <c r="F62" s="121" t="str">
        <f>IF(AUTOQUESTIONNAIRE!F53=0,"N","Y")</f>
        <v>N</v>
      </c>
      <c r="H62" s="137" t="str">
        <f>F62</f>
        <v>N</v>
      </c>
    </row>
    <row r="63" spans="1:8">
      <c r="A63" s="283" t="s">
        <v>958</v>
      </c>
      <c r="D63" s="118" t="s">
        <v>658</v>
      </c>
      <c r="H63" s="89"/>
    </row>
    <row r="64" spans="1:8" ht="30">
      <c r="A64" s="292" t="s">
        <v>822</v>
      </c>
      <c r="D64" s="118" t="s">
        <v>659</v>
      </c>
      <c r="H64" s="89"/>
    </row>
    <row r="65" spans="1:9" ht="36">
      <c r="A65" s="283" t="s">
        <v>957</v>
      </c>
      <c r="D65" s="118" t="s">
        <v>684</v>
      </c>
      <c r="F65" s="121" t="str">
        <f>IF(AUTOQUESTIONNAIRE!F54=0,"N","Y")</f>
        <v>N</v>
      </c>
      <c r="H65" s="138" t="str">
        <f>F65</f>
        <v>N</v>
      </c>
    </row>
    <row r="66" spans="1:9">
      <c r="A66" s="283" t="s">
        <v>958</v>
      </c>
      <c r="D66" s="118" t="s">
        <v>658</v>
      </c>
      <c r="H66" s="89"/>
    </row>
    <row r="67" spans="1:9">
      <c r="A67" s="294" t="s">
        <v>823</v>
      </c>
      <c r="D67" s="118" t="s">
        <v>659</v>
      </c>
      <c r="H67" s="89"/>
    </row>
    <row r="68" spans="1:9" ht="54">
      <c r="A68" s="283" t="s">
        <v>957</v>
      </c>
      <c r="B68" s="85"/>
      <c r="D68" s="207" t="s">
        <v>685</v>
      </c>
      <c r="F68" s="121" t="str">
        <f>IF(AUTOQUESTIONNAIRE!F55=0,"N","Y")</f>
        <v>N</v>
      </c>
      <c r="H68" s="138" t="str">
        <f>F68</f>
        <v>N</v>
      </c>
    </row>
    <row r="69" spans="1:9">
      <c r="A69" s="283" t="s">
        <v>958</v>
      </c>
      <c r="D69" s="118" t="s">
        <v>658</v>
      </c>
      <c r="H69" s="89"/>
      <c r="I69" s="87"/>
    </row>
    <row r="70" spans="1:9" ht="30">
      <c r="A70" s="294" t="s">
        <v>824</v>
      </c>
      <c r="D70" s="118" t="s">
        <v>659</v>
      </c>
      <c r="H70" s="89"/>
    </row>
    <row r="71" spans="1:9" ht="36">
      <c r="A71" s="283" t="s">
        <v>957</v>
      </c>
      <c r="B71" s="103"/>
      <c r="D71" s="207" t="s">
        <v>686</v>
      </c>
      <c r="F71" s="121" t="str">
        <f>IF(AUTOQUESTIONNAIRE!F56=0,"N","Y")</f>
        <v>N</v>
      </c>
      <c r="H71" s="138" t="str">
        <f>F71</f>
        <v>N</v>
      </c>
    </row>
    <row r="72" spans="1:9">
      <c r="A72" s="283" t="s">
        <v>958</v>
      </c>
      <c r="B72" s="103"/>
      <c r="D72" s="118" t="s">
        <v>658</v>
      </c>
      <c r="H72" s="89"/>
    </row>
    <row r="73" spans="1:9">
      <c r="A73" s="292" t="s">
        <v>825</v>
      </c>
      <c r="B73" s="103"/>
      <c r="D73" s="118" t="s">
        <v>659</v>
      </c>
      <c r="H73" s="89"/>
    </row>
    <row r="74" spans="1:9" ht="54">
      <c r="A74" s="283" t="s">
        <v>957</v>
      </c>
      <c r="B74" s="103"/>
      <c r="D74" s="118" t="s">
        <v>687</v>
      </c>
      <c r="F74" s="121" t="str">
        <f>IF(AUTOQUESTIONNAIRE!F58=0,"N","Y")</f>
        <v>N</v>
      </c>
      <c r="H74" s="138" t="str">
        <f>F74</f>
        <v>N</v>
      </c>
    </row>
    <row r="75" spans="1:9">
      <c r="A75" s="283" t="s">
        <v>958</v>
      </c>
      <c r="B75" s="103"/>
      <c r="D75" s="118" t="s">
        <v>658</v>
      </c>
    </row>
    <row r="76" spans="1:9">
      <c r="A76" s="295" t="s">
        <v>826</v>
      </c>
      <c r="B76" s="103"/>
      <c r="D76" s="118" t="s">
        <v>659</v>
      </c>
    </row>
    <row r="77" spans="1:9">
      <c r="A77" s="283" t="s">
        <v>957</v>
      </c>
      <c r="B77" s="103"/>
      <c r="D77" s="115" t="s">
        <v>688</v>
      </c>
      <c r="F77" s="88">
        <f>AUTOQUESTIONNAIRE!F6</f>
        <v>180</v>
      </c>
      <c r="G77" s="89" t="s">
        <v>0</v>
      </c>
      <c r="H77" s="90">
        <f>(F78*100)/(F77*F77)</f>
        <v>0.20061728395061729</v>
      </c>
    </row>
    <row r="78" spans="1:9">
      <c r="A78" s="283" t="s">
        <v>958</v>
      </c>
      <c r="D78" s="115" t="s">
        <v>689</v>
      </c>
      <c r="F78" s="88">
        <f>AUTOQUESTIONNAIRE!F7</f>
        <v>65</v>
      </c>
    </row>
    <row r="79" spans="1:9" ht="30">
      <c r="A79" s="292" t="s">
        <v>827</v>
      </c>
      <c r="B79" s="103"/>
      <c r="D79" s="115" t="s">
        <v>690</v>
      </c>
      <c r="F79" s="88">
        <f>AUTOQUESTIONNAIRE!F215</f>
        <v>0</v>
      </c>
    </row>
    <row r="80" spans="1:9" ht="36">
      <c r="A80" s="296" t="s">
        <v>828</v>
      </c>
      <c r="D80" s="115" t="s">
        <v>691</v>
      </c>
      <c r="F80" s="91">
        <f>AUTOQUESTIONNAIRE!F218</f>
        <v>110</v>
      </c>
    </row>
    <row r="81" spans="1:6" ht="36">
      <c r="A81" s="296" t="s">
        <v>829</v>
      </c>
      <c r="D81" s="115" t="s">
        <v>692</v>
      </c>
      <c r="F81" s="91">
        <f>AUTOQUESTIONNAIRE!F219</f>
        <v>65</v>
      </c>
    </row>
    <row r="82" spans="1:6" ht="45">
      <c r="A82" s="292" t="s">
        <v>1036</v>
      </c>
      <c r="D82" s="115" t="s">
        <v>693</v>
      </c>
      <c r="F82" s="121" t="str">
        <f>IF(AUTOQUESTIONNAIRE!F68=0,"N","Y")</f>
        <v>Y</v>
      </c>
    </row>
    <row r="83" spans="1:6" ht="54">
      <c r="A83" s="283" t="s">
        <v>957</v>
      </c>
      <c r="B83" s="315" t="s">
        <v>1037</v>
      </c>
      <c r="D83" s="116" t="s">
        <v>663</v>
      </c>
    </row>
    <row r="84" spans="1:6">
      <c r="A84" s="283" t="s">
        <v>958</v>
      </c>
      <c r="B84" s="103"/>
      <c r="D84" s="116" t="s">
        <v>664</v>
      </c>
    </row>
    <row r="85" spans="1:6">
      <c r="A85" s="296" t="s">
        <v>818</v>
      </c>
    </row>
    <row r="86" spans="1:6" ht="45">
      <c r="A86" s="292" t="s">
        <v>968</v>
      </c>
      <c r="B86" s="315" t="s">
        <v>1038</v>
      </c>
      <c r="D86" s="115" t="s">
        <v>694</v>
      </c>
      <c r="F86" s="121" t="str">
        <f>IF(AUTOQUESTIONNAIRE!F71=0,"N","Y")</f>
        <v>Y</v>
      </c>
    </row>
    <row r="87" spans="1:6">
      <c r="A87" s="283" t="s">
        <v>957</v>
      </c>
      <c r="D87" s="116" t="s">
        <v>658</v>
      </c>
    </row>
    <row r="88" spans="1:6">
      <c r="A88" s="283" t="s">
        <v>958</v>
      </c>
      <c r="D88" s="116" t="s">
        <v>659</v>
      </c>
    </row>
    <row r="89" spans="1:6" ht="54">
      <c r="A89" s="296" t="s">
        <v>818</v>
      </c>
      <c r="D89" s="115" t="s">
        <v>695</v>
      </c>
      <c r="F89" s="121" t="str">
        <f>IF(AUTOQUESTIONNAIRE!F72=0,"N","Y")</f>
        <v>N</v>
      </c>
    </row>
    <row r="90" spans="1:6">
      <c r="A90" s="292" t="s">
        <v>839</v>
      </c>
      <c r="D90" s="116" t="s">
        <v>658</v>
      </c>
    </row>
    <row r="91" spans="1:6">
      <c r="A91" s="283" t="s">
        <v>957</v>
      </c>
      <c r="B91" s="79" t="s">
        <v>1035</v>
      </c>
      <c r="D91" s="116" t="s">
        <v>659</v>
      </c>
    </row>
    <row r="92" spans="1:6" ht="54">
      <c r="A92" s="283" t="s">
        <v>958</v>
      </c>
      <c r="D92" s="115" t="s">
        <v>696</v>
      </c>
      <c r="F92" s="121" t="str">
        <f>IF(AUTOQUESTIONNAIRE!F73=0,"N","Y")</f>
        <v>N</v>
      </c>
    </row>
    <row r="93" spans="1:6">
      <c r="A93" s="282" t="s">
        <v>969</v>
      </c>
      <c r="D93" s="116" t="s">
        <v>658</v>
      </c>
    </row>
    <row r="94" spans="1:6">
      <c r="A94" s="282" t="s">
        <v>970</v>
      </c>
      <c r="D94" s="116" t="s">
        <v>659</v>
      </c>
    </row>
    <row r="95" spans="1:6">
      <c r="A95" s="285" t="s">
        <v>835</v>
      </c>
      <c r="D95" s="115" t="s">
        <v>697</v>
      </c>
      <c r="F95" s="121" t="str">
        <f>IF(AUTOQUESTIONNAIRE!F94=0,"N","Y")</f>
        <v>N</v>
      </c>
    </row>
    <row r="96" spans="1:6">
      <c r="A96" s="284" t="s">
        <v>836</v>
      </c>
      <c r="D96" s="116" t="s">
        <v>658</v>
      </c>
    </row>
    <row r="97" spans="1:6">
      <c r="A97" s="284" t="s">
        <v>837</v>
      </c>
      <c r="D97" s="116" t="s">
        <v>659</v>
      </c>
    </row>
    <row r="98" spans="1:6" ht="36">
      <c r="A98" s="296" t="s">
        <v>644</v>
      </c>
      <c r="D98" s="115" t="s">
        <v>698</v>
      </c>
      <c r="F98" s="121" t="str">
        <f>IF(AUTOQUESTIONNAIRE!F95=0,"N","Y")</f>
        <v>Y</v>
      </c>
    </row>
    <row r="99" spans="1:6" ht="45">
      <c r="A99" s="297" t="s">
        <v>971</v>
      </c>
      <c r="D99" s="116" t="s">
        <v>658</v>
      </c>
    </row>
    <row r="100" spans="1:6">
      <c r="A100" s="283" t="s">
        <v>957</v>
      </c>
      <c r="D100" s="116" t="s">
        <v>659</v>
      </c>
    </row>
    <row r="101" spans="1:6" ht="36">
      <c r="A101" s="283" t="s">
        <v>958</v>
      </c>
      <c r="D101" s="115" t="s">
        <v>701</v>
      </c>
      <c r="F101" s="121" t="str">
        <f>IF(AUTOQUESTIONNAIRE!F96=0,"N","Y")</f>
        <v>N</v>
      </c>
    </row>
    <row r="102" spans="1:6" ht="30">
      <c r="A102" s="289" t="s">
        <v>972</v>
      </c>
      <c r="D102" s="116" t="s">
        <v>658</v>
      </c>
    </row>
    <row r="103" spans="1:6">
      <c r="A103" s="283" t="s">
        <v>957</v>
      </c>
      <c r="D103" s="116" t="s">
        <v>659</v>
      </c>
    </row>
    <row r="104" spans="1:6">
      <c r="A104" s="283" t="s">
        <v>958</v>
      </c>
      <c r="D104" s="115" t="s">
        <v>699</v>
      </c>
      <c r="F104" s="121" t="str">
        <f>IF(AUTOQUESTIONNAIRE!F97=0,"N","Y")</f>
        <v>N</v>
      </c>
    </row>
    <row r="105" spans="1:6">
      <c r="A105" s="297" t="s">
        <v>973</v>
      </c>
      <c r="D105" s="116" t="s">
        <v>658</v>
      </c>
    </row>
    <row r="106" spans="1:6">
      <c r="A106" s="283" t="s">
        <v>957</v>
      </c>
      <c r="D106" s="116" t="s">
        <v>659</v>
      </c>
    </row>
    <row r="107" spans="1:6">
      <c r="A107" s="283" t="s">
        <v>958</v>
      </c>
      <c r="D107" s="115" t="s">
        <v>700</v>
      </c>
      <c r="F107" s="121" t="str">
        <f>IF(AUTOQUESTIONNAIRE!F98=0,"N","Y")</f>
        <v>N</v>
      </c>
    </row>
    <row r="108" spans="1:6">
      <c r="A108" s="285" t="s">
        <v>974</v>
      </c>
      <c r="D108" s="116" t="s">
        <v>658</v>
      </c>
    </row>
    <row r="109" spans="1:6">
      <c r="A109" s="283" t="s">
        <v>957</v>
      </c>
      <c r="D109" s="116" t="s">
        <v>659</v>
      </c>
    </row>
    <row r="110" spans="1:6" ht="36">
      <c r="A110" s="283" t="s">
        <v>958</v>
      </c>
      <c r="D110" s="115" t="s">
        <v>708</v>
      </c>
      <c r="F110" s="121" t="str">
        <f>IF(AUTOQUESTIONNAIRE!F101=0,"N","Y")</f>
        <v>N</v>
      </c>
    </row>
    <row r="111" spans="1:6">
      <c r="A111" s="285" t="s">
        <v>975</v>
      </c>
      <c r="D111" s="116" t="s">
        <v>658</v>
      </c>
    </row>
    <row r="112" spans="1:6">
      <c r="A112" s="283" t="s">
        <v>957</v>
      </c>
      <c r="D112" s="116" t="s">
        <v>659</v>
      </c>
    </row>
    <row r="113" spans="1:8" ht="36">
      <c r="A113" s="283" t="s">
        <v>958</v>
      </c>
      <c r="D113" s="115" t="s">
        <v>709</v>
      </c>
      <c r="F113" s="121" t="str">
        <f>IF(AUTOQUESTIONNAIRE!F105=0,"N","Y")</f>
        <v>N</v>
      </c>
    </row>
    <row r="114" spans="1:8" ht="60">
      <c r="A114" s="297" t="s">
        <v>976</v>
      </c>
      <c r="D114" s="116" t="s">
        <v>658</v>
      </c>
    </row>
    <row r="115" spans="1:8">
      <c r="A115" s="283" t="s">
        <v>957</v>
      </c>
      <c r="D115" s="116" t="s">
        <v>659</v>
      </c>
    </row>
    <row r="116" spans="1:8">
      <c r="A116" s="283" t="s">
        <v>958</v>
      </c>
      <c r="D116" s="115" t="s">
        <v>710</v>
      </c>
      <c r="F116" s="88"/>
    </row>
    <row r="117" spans="1:8" ht="54">
      <c r="A117" s="285" t="s">
        <v>977</v>
      </c>
      <c r="D117" s="116" t="s">
        <v>711</v>
      </c>
      <c r="F117" s="121" t="str">
        <f>IF(AUTOQUESTIONNAIRE!F79=0,"N","Y")</f>
        <v>N</v>
      </c>
      <c r="G117" s="92">
        <f>IF(F117="Y",1.2,1)</f>
        <v>1</v>
      </c>
    </row>
    <row r="118" spans="1:8" ht="36">
      <c r="A118" s="284" t="s">
        <v>978</v>
      </c>
      <c r="D118" s="116" t="s">
        <v>712</v>
      </c>
      <c r="F118" s="121" t="str">
        <f>IF(AUTOQUESTIONNAIRE!F80=0,"N","Y")</f>
        <v>N</v>
      </c>
      <c r="G118" s="112">
        <f>IF(F118="Y",1.2,1)</f>
        <v>1</v>
      </c>
    </row>
    <row r="119" spans="1:8" ht="36">
      <c r="A119" s="298" t="s">
        <v>979</v>
      </c>
      <c r="D119" s="116" t="s">
        <v>713</v>
      </c>
      <c r="F119" s="121" t="str">
        <f>IF(AUTOQUESTIONNAIRE!F81=0,"N","Y")</f>
        <v>N</v>
      </c>
      <c r="G119" s="92">
        <f>IF(F119="Y",1.2,1)</f>
        <v>1</v>
      </c>
    </row>
    <row r="120" spans="1:8" ht="36">
      <c r="A120" s="299" t="s">
        <v>980</v>
      </c>
      <c r="D120" s="116" t="s">
        <v>714</v>
      </c>
      <c r="F120" s="121" t="str">
        <f>IF(AUTOQUESTIONNAIRE!F82=0,"N","Y")</f>
        <v>N</v>
      </c>
      <c r="G120" s="92">
        <f>IF(F120="Y",1.2,1)</f>
        <v>1</v>
      </c>
    </row>
    <row r="121" spans="1:8">
      <c r="A121" s="283" t="s">
        <v>957</v>
      </c>
      <c r="F121" s="93"/>
    </row>
    <row r="122" spans="1:8" ht="36">
      <c r="A122" s="283" t="s">
        <v>958</v>
      </c>
      <c r="D122" s="115" t="s">
        <v>715</v>
      </c>
      <c r="F122" s="121" t="str">
        <f>IF(AUTOQUESTIONNAIRE!F150=0,"N","Y")</f>
        <v>N</v>
      </c>
      <c r="G122" s="92">
        <f>IF(F122="Y",2,0)</f>
        <v>0</v>
      </c>
    </row>
    <row r="123" spans="1:8">
      <c r="D123" s="116" t="s">
        <v>658</v>
      </c>
    </row>
    <row r="124" spans="1:8" ht="30">
      <c r="A124" s="300" t="s">
        <v>951</v>
      </c>
      <c r="D124" s="116" t="s">
        <v>659</v>
      </c>
    </row>
    <row r="125" spans="1:8" ht="36">
      <c r="A125" s="283" t="s">
        <v>957</v>
      </c>
      <c r="D125" s="117" t="s">
        <v>742</v>
      </c>
      <c r="F125" s="88">
        <f>AUTOQUESTIONNAIRE!F134</f>
        <v>3</v>
      </c>
      <c r="H125" s="94">
        <f>F125+F130+F135</f>
        <v>3</v>
      </c>
    </row>
    <row r="126" spans="1:8">
      <c r="A126" s="283" t="s">
        <v>958</v>
      </c>
      <c r="D126" s="118" t="s">
        <v>315</v>
      </c>
      <c r="E126" s="72">
        <v>0</v>
      </c>
    </row>
    <row r="127" spans="1:8">
      <c r="A127" s="301" t="s">
        <v>952</v>
      </c>
      <c r="D127" s="118" t="s">
        <v>316</v>
      </c>
      <c r="E127" s="72">
        <v>1</v>
      </c>
    </row>
    <row r="128" spans="1:8">
      <c r="A128" s="283" t="s">
        <v>957</v>
      </c>
      <c r="D128" s="118" t="s">
        <v>317</v>
      </c>
      <c r="E128" s="72">
        <v>2</v>
      </c>
    </row>
    <row r="129" spans="1:8">
      <c r="A129" s="283" t="s">
        <v>958</v>
      </c>
      <c r="D129" s="118" t="s">
        <v>318</v>
      </c>
      <c r="E129" s="72">
        <v>3</v>
      </c>
    </row>
    <row r="130" spans="1:8" ht="36">
      <c r="A130" s="289" t="s">
        <v>981</v>
      </c>
      <c r="D130" s="118" t="s">
        <v>716</v>
      </c>
      <c r="F130" s="88">
        <f>AUTOQUESTIONNAIRE!F166</f>
        <v>0</v>
      </c>
    </row>
    <row r="131" spans="1:8">
      <c r="A131" s="283" t="s">
        <v>957</v>
      </c>
      <c r="D131" s="118" t="s">
        <v>319</v>
      </c>
      <c r="E131" s="72">
        <v>0</v>
      </c>
    </row>
    <row r="132" spans="1:8">
      <c r="A132" s="283" t="s">
        <v>958</v>
      </c>
      <c r="D132" s="118" t="s">
        <v>320</v>
      </c>
      <c r="E132" s="72">
        <v>1</v>
      </c>
    </row>
    <row r="133" spans="1:8">
      <c r="A133" s="301" t="s">
        <v>982</v>
      </c>
      <c r="D133" s="118" t="s">
        <v>321</v>
      </c>
      <c r="E133" s="72">
        <v>2</v>
      </c>
    </row>
    <row r="134" spans="1:8">
      <c r="A134" s="283" t="s">
        <v>957</v>
      </c>
      <c r="D134" s="118" t="s">
        <v>322</v>
      </c>
      <c r="E134" s="72">
        <v>3</v>
      </c>
    </row>
    <row r="135" spans="1:8" ht="36">
      <c r="A135" s="283" t="s">
        <v>958</v>
      </c>
      <c r="D135" s="118" t="s">
        <v>717</v>
      </c>
      <c r="F135" s="88">
        <f>AUTOQUESTIONNAIRE!F167</f>
        <v>0</v>
      </c>
    </row>
    <row r="136" spans="1:8" ht="30">
      <c r="A136" s="290" t="s">
        <v>983</v>
      </c>
      <c r="D136" s="118" t="s">
        <v>323</v>
      </c>
      <c r="E136" s="72">
        <v>0</v>
      </c>
    </row>
    <row r="137" spans="1:8">
      <c r="A137" s="283" t="s">
        <v>957</v>
      </c>
      <c r="D137" s="118" t="s">
        <v>324</v>
      </c>
      <c r="E137" s="72">
        <v>1</v>
      </c>
    </row>
    <row r="138" spans="1:8">
      <c r="A138" s="283" t="s">
        <v>958</v>
      </c>
      <c r="D138" s="118" t="s">
        <v>325</v>
      </c>
      <c r="E138" s="72">
        <v>2</v>
      </c>
    </row>
    <row r="139" spans="1:8" ht="30">
      <c r="A139" s="290" t="s">
        <v>984</v>
      </c>
      <c r="D139" s="118" t="s">
        <v>326</v>
      </c>
      <c r="E139" s="72">
        <v>3</v>
      </c>
    </row>
    <row r="140" spans="1:8" ht="36">
      <c r="A140" s="283" t="s">
        <v>957</v>
      </c>
      <c r="C140" s="87"/>
      <c r="D140" s="115" t="s">
        <v>718</v>
      </c>
      <c r="F140" s="93"/>
      <c r="H140" s="94">
        <f>SUM(G141:G146)</f>
        <v>6</v>
      </c>
    </row>
    <row r="141" spans="1:8">
      <c r="A141" s="283" t="s">
        <v>958</v>
      </c>
      <c r="D141" s="116" t="s">
        <v>719</v>
      </c>
      <c r="E141" s="72">
        <v>0</v>
      </c>
      <c r="F141" s="121" t="str">
        <f>IF(AUTOQUESTIONNAIRE!F137=0,"N","Y")</f>
        <v>Y</v>
      </c>
      <c r="G141" s="92">
        <f>IF(F141="Y",1,0)</f>
        <v>1</v>
      </c>
    </row>
    <row r="142" spans="1:8">
      <c r="A142" s="283" t="s">
        <v>818</v>
      </c>
      <c r="D142" s="116" t="s">
        <v>720</v>
      </c>
      <c r="E142" s="72">
        <v>1</v>
      </c>
      <c r="F142" s="121" t="str">
        <f>IF(AUTOQUESTIONNAIRE!F138=0,"N","Y")</f>
        <v>Y</v>
      </c>
      <c r="G142" s="92">
        <f t="shared" ref="G142:G146" si="5">IF(F142="Y",1,0)</f>
        <v>1</v>
      </c>
    </row>
    <row r="143" spans="1:8">
      <c r="A143" s="293" t="s">
        <v>985</v>
      </c>
      <c r="D143" s="116" t="s">
        <v>721</v>
      </c>
      <c r="E143" s="72">
        <v>2</v>
      </c>
      <c r="F143" s="121" t="str">
        <f>IF(AUTOQUESTIONNAIRE!F139=0,"N","Y")</f>
        <v>Y</v>
      </c>
      <c r="G143" s="92">
        <f t="shared" si="5"/>
        <v>1</v>
      </c>
    </row>
    <row r="144" spans="1:8">
      <c r="A144" s="302" t="s">
        <v>986</v>
      </c>
      <c r="D144" s="116" t="s">
        <v>722</v>
      </c>
      <c r="E144" s="72">
        <v>3</v>
      </c>
      <c r="F144" s="121" t="str">
        <f>IF(AUTOQUESTIONNAIRE!F140=0,"N","Y")</f>
        <v>Y</v>
      </c>
      <c r="G144" s="92">
        <f t="shared" si="5"/>
        <v>1</v>
      </c>
    </row>
    <row r="145" spans="1:23" ht="36.6" customHeight="1">
      <c r="A145" s="302" t="s">
        <v>987</v>
      </c>
      <c r="D145" s="116" t="s">
        <v>723</v>
      </c>
      <c r="E145" s="72">
        <v>4</v>
      </c>
      <c r="F145" s="121" t="str">
        <f>IF(AUTOQUESTIONNAIRE!F141=0,"N","Y")</f>
        <v>Y</v>
      </c>
      <c r="G145" s="92">
        <f t="shared" si="5"/>
        <v>1</v>
      </c>
    </row>
    <row r="146" spans="1:23" ht="46.15" customHeight="1">
      <c r="A146" s="302" t="s">
        <v>988</v>
      </c>
      <c r="D146" s="116" t="s">
        <v>724</v>
      </c>
      <c r="E146" s="72">
        <v>5</v>
      </c>
      <c r="F146" s="121" t="str">
        <f>IF(AUTOQUESTIONNAIRE!F142=0,"N","Y")</f>
        <v>Y</v>
      </c>
      <c r="G146" s="92">
        <f t="shared" si="5"/>
        <v>1</v>
      </c>
    </row>
    <row r="147" spans="1:23">
      <c r="A147" s="302" t="s">
        <v>989</v>
      </c>
      <c r="B147" s="85"/>
      <c r="D147" s="116" t="s">
        <v>241</v>
      </c>
      <c r="H147" s="75">
        <f>G142+G144+G145</f>
        <v>3</v>
      </c>
    </row>
    <row r="148" spans="1:23">
      <c r="A148" s="302" t="s">
        <v>990</v>
      </c>
      <c r="B148" s="85"/>
      <c r="D148" s="117" t="s">
        <v>725</v>
      </c>
      <c r="E148" s="590"/>
      <c r="F148" s="121" t="str">
        <f>IF(AUTOQUESTIONNAIRE!F108=0,"N","Y")</f>
        <v>N</v>
      </c>
    </row>
    <row r="149" spans="1:23">
      <c r="A149" s="302" t="s">
        <v>991</v>
      </c>
      <c r="D149" s="118" t="s">
        <v>658</v>
      </c>
      <c r="E149" s="590"/>
      <c r="J149" s="79" t="s">
        <v>87</v>
      </c>
      <c r="K149" s="95" t="s">
        <v>54</v>
      </c>
      <c r="L149" s="96" t="s">
        <v>37</v>
      </c>
      <c r="M149" s="96" t="s">
        <v>39</v>
      </c>
      <c r="N149" s="96" t="s">
        <v>42</v>
      </c>
      <c r="O149" s="96" t="s">
        <v>43</v>
      </c>
      <c r="P149" s="96" t="s">
        <v>45</v>
      </c>
      <c r="Q149" s="96" t="s">
        <v>46</v>
      </c>
      <c r="R149" s="96" t="s">
        <v>47</v>
      </c>
      <c r="S149" s="96" t="s">
        <v>48</v>
      </c>
      <c r="T149" s="96" t="s">
        <v>51</v>
      </c>
      <c r="U149" s="96" t="s">
        <v>52</v>
      </c>
      <c r="V149" s="96" t="s">
        <v>53</v>
      </c>
      <c r="W149" s="92" t="s">
        <v>600</v>
      </c>
    </row>
    <row r="150" spans="1:23">
      <c r="A150" s="302" t="s">
        <v>992</v>
      </c>
      <c r="D150" s="118" t="s">
        <v>659</v>
      </c>
      <c r="E150" s="590"/>
      <c r="K150" s="79">
        <f>MAX(H151,H163,H172,H176)*H232</f>
        <v>0.9</v>
      </c>
      <c r="L150" s="79">
        <f>H194*H232</f>
        <v>0.9</v>
      </c>
      <c r="M150" s="79">
        <f>MAX(H154,H166,H184)*H232</f>
        <v>0.9</v>
      </c>
      <c r="N150" s="79">
        <f>H203*H232</f>
        <v>0.9</v>
      </c>
      <c r="O150" s="79">
        <f>H200*H232</f>
        <v>0.9</v>
      </c>
      <c r="P150" s="79">
        <f>H197*H232</f>
        <v>0.9</v>
      </c>
      <c r="Q150" s="79">
        <f>H191*H232</f>
        <v>0.9</v>
      </c>
      <c r="R150" s="79">
        <f>H191*H232</f>
        <v>0.9</v>
      </c>
      <c r="S150" s="79">
        <f>H191*H232</f>
        <v>0.9</v>
      </c>
      <c r="T150" s="79">
        <f>H206*H232</f>
        <v>0.9</v>
      </c>
      <c r="U150" s="79">
        <f>MAX(H157,H169,H180)*H232</f>
        <v>0.9</v>
      </c>
      <c r="V150" s="79">
        <f>MAX(H163,H176)*H232</f>
        <v>0.9</v>
      </c>
      <c r="W150" s="92">
        <f>MAX(M150,(IF(F17="Y",2,0.9)))</f>
        <v>0.9</v>
      </c>
    </row>
    <row r="151" spans="1:23" ht="36">
      <c r="A151" s="291" t="s">
        <v>993</v>
      </c>
      <c r="D151" s="118" t="s">
        <v>728</v>
      </c>
      <c r="E151" s="590"/>
      <c r="F151" s="121" t="str">
        <f>IF(AUTOQUESTIONNAIRE!F109=0,"N","Y")</f>
        <v>N</v>
      </c>
      <c r="G151" s="80" t="str">
        <f>IF($F$148="Y",F151,"N")</f>
        <v>N</v>
      </c>
      <c r="H151" s="72">
        <f>IF(G151="Y",1.5,0.9)</f>
        <v>0.9</v>
      </c>
    </row>
    <row r="152" spans="1:23">
      <c r="A152" s="303" t="s">
        <v>939</v>
      </c>
      <c r="D152" s="118" t="s">
        <v>658</v>
      </c>
      <c r="E152" s="590"/>
    </row>
    <row r="153" spans="1:23">
      <c r="A153" s="284" t="s">
        <v>869</v>
      </c>
      <c r="D153" s="118" t="s">
        <v>659</v>
      </c>
      <c r="E153" s="590"/>
    </row>
    <row r="154" spans="1:23">
      <c r="A154" s="284" t="s">
        <v>940</v>
      </c>
      <c r="D154" s="118" t="s">
        <v>766</v>
      </c>
      <c r="E154" s="590"/>
      <c r="F154" s="121" t="str">
        <f>IF(AUTOQUESTIONNAIRE!F110=0,"N","Y")</f>
        <v>N</v>
      </c>
      <c r="G154" s="80" t="str">
        <f>IF($F$148="Y",F154,"N")</f>
        <v>N</v>
      </c>
      <c r="H154" s="72">
        <f>IF(G154="Y",2.5,0.9)</f>
        <v>0.9</v>
      </c>
    </row>
    <row r="155" spans="1:23">
      <c r="A155" s="284" t="s">
        <v>941</v>
      </c>
      <c r="D155" s="118" t="s">
        <v>658</v>
      </c>
      <c r="E155" s="590"/>
    </row>
    <row r="156" spans="1:23">
      <c r="A156" s="284" t="s">
        <v>942</v>
      </c>
      <c r="D156" s="118" t="s">
        <v>659</v>
      </c>
      <c r="E156" s="590"/>
    </row>
    <row r="157" spans="1:23">
      <c r="A157" s="286" t="s">
        <v>834</v>
      </c>
      <c r="D157" s="118" t="s">
        <v>727</v>
      </c>
      <c r="E157" s="590"/>
      <c r="F157" s="121" t="s">
        <v>89</v>
      </c>
      <c r="G157" s="80" t="str">
        <f>IF($F$148="Y",F157,"N")</f>
        <v>N</v>
      </c>
      <c r="H157" s="72">
        <f>IF(G157="Y",1.2,0.9)</f>
        <v>0.9</v>
      </c>
    </row>
    <row r="158" spans="1:23">
      <c r="A158" s="283" t="s">
        <v>957</v>
      </c>
      <c r="D158" s="118" t="s">
        <v>658</v>
      </c>
      <c r="E158" s="590"/>
    </row>
    <row r="159" spans="1:23">
      <c r="A159" s="283" t="s">
        <v>958</v>
      </c>
      <c r="D159" s="118" t="s">
        <v>659</v>
      </c>
      <c r="E159" s="590"/>
    </row>
    <row r="160" spans="1:23">
      <c r="A160" s="286" t="s">
        <v>994</v>
      </c>
      <c r="B160" s="85"/>
      <c r="D160" s="117" t="s">
        <v>726</v>
      </c>
      <c r="E160" s="590"/>
      <c r="F160" s="121" t="s">
        <v>89</v>
      </c>
      <c r="H160" s="72">
        <f>IF(F160="Y",1.2,0.9)</f>
        <v>0.9</v>
      </c>
    </row>
    <row r="161" spans="1:8">
      <c r="A161" s="284" t="s">
        <v>995</v>
      </c>
      <c r="D161" s="118" t="s">
        <v>658</v>
      </c>
      <c r="E161" s="590"/>
    </row>
    <row r="162" spans="1:8">
      <c r="A162" s="284" t="s">
        <v>996</v>
      </c>
      <c r="D162" s="118" t="s">
        <v>659</v>
      </c>
      <c r="E162" s="590"/>
    </row>
    <row r="163" spans="1:8">
      <c r="A163" s="284" t="s">
        <v>997</v>
      </c>
      <c r="D163" s="118" t="s">
        <v>767</v>
      </c>
      <c r="E163" s="590"/>
      <c r="F163" s="121" t="s">
        <v>89</v>
      </c>
      <c r="G163" s="80" t="str">
        <f>IF($F$160="Y",F163,"N")</f>
        <v>N</v>
      </c>
      <c r="H163" s="72">
        <f>IF(G163="Y",2,0.9)</f>
        <v>0.9</v>
      </c>
    </row>
    <row r="164" spans="1:8">
      <c r="A164" s="284" t="s">
        <v>998</v>
      </c>
      <c r="D164" s="118" t="s">
        <v>658</v>
      </c>
      <c r="E164" s="590"/>
    </row>
    <row r="165" spans="1:8">
      <c r="A165" s="304" t="s">
        <v>999</v>
      </c>
      <c r="D165" s="118" t="s">
        <v>659</v>
      </c>
      <c r="E165" s="590"/>
    </row>
    <row r="166" spans="1:8">
      <c r="A166" s="284" t="s">
        <v>935</v>
      </c>
      <c r="D166" s="118" t="s">
        <v>729</v>
      </c>
      <c r="E166" s="590"/>
      <c r="F166" s="121" t="s">
        <v>89</v>
      </c>
      <c r="G166" s="80" t="str">
        <f>IF($F$160="Y",F166,"N")</f>
        <v>N</v>
      </c>
      <c r="H166" s="72">
        <f>IF(G166="Y",2.5,0.9)</f>
        <v>0.9</v>
      </c>
    </row>
    <row r="167" spans="1:8">
      <c r="A167" s="284" t="s">
        <v>936</v>
      </c>
      <c r="D167" s="118" t="s">
        <v>658</v>
      </c>
      <c r="E167" s="590"/>
    </row>
    <row r="168" spans="1:8">
      <c r="A168" s="284" t="s">
        <v>937</v>
      </c>
      <c r="D168" s="118" t="s">
        <v>659</v>
      </c>
      <c r="E168" s="590"/>
    </row>
    <row r="169" spans="1:8">
      <c r="A169" s="284" t="s">
        <v>938</v>
      </c>
      <c r="D169" s="118" t="s">
        <v>730</v>
      </c>
      <c r="E169" s="590"/>
      <c r="F169" s="121" t="s">
        <v>89</v>
      </c>
      <c r="G169" s="80" t="str">
        <f>IF($F$160="Y",F169,"N")</f>
        <v>N</v>
      </c>
      <c r="H169" s="72">
        <f>IF(G169="Y",1.2,0.9)</f>
        <v>0.9</v>
      </c>
    </row>
    <row r="170" spans="1:8">
      <c r="A170" s="304" t="s">
        <v>1000</v>
      </c>
      <c r="D170" s="118" t="s">
        <v>658</v>
      </c>
      <c r="E170" s="590"/>
    </row>
    <row r="171" spans="1:8">
      <c r="A171" s="284" t="s">
        <v>1001</v>
      </c>
      <c r="D171" s="118" t="s">
        <v>659</v>
      </c>
      <c r="E171" s="590"/>
    </row>
    <row r="172" spans="1:8">
      <c r="A172" s="284" t="s">
        <v>1002</v>
      </c>
      <c r="D172" s="118" t="s">
        <v>731</v>
      </c>
      <c r="F172" s="88">
        <v>0</v>
      </c>
      <c r="H172" s="89">
        <f>IF(F172=1,1.2,(IF(F172&gt;1,2.5,0.9)))</f>
        <v>0.9</v>
      </c>
    </row>
    <row r="173" spans="1:8">
      <c r="A173" s="284" t="s">
        <v>1003</v>
      </c>
      <c r="D173" s="118" t="s">
        <v>82</v>
      </c>
    </row>
    <row r="174" spans="1:8">
      <c r="A174" s="284" t="s">
        <v>1004</v>
      </c>
      <c r="D174" s="118" t="s">
        <v>83</v>
      </c>
    </row>
    <row r="175" spans="1:8">
      <c r="A175" s="284" t="s">
        <v>1005</v>
      </c>
      <c r="D175" s="118" t="s">
        <v>90</v>
      </c>
    </row>
    <row r="176" spans="1:8">
      <c r="A176" s="304" t="s">
        <v>1006</v>
      </c>
      <c r="D176" s="118" t="s">
        <v>732</v>
      </c>
      <c r="F176" s="88">
        <v>0</v>
      </c>
      <c r="H176" s="89">
        <f>IF(F176=1,1.2,(IF(F176&gt;1,2.5,0.9)))</f>
        <v>0.9</v>
      </c>
    </row>
    <row r="177" spans="1:8">
      <c r="A177" s="284" t="s">
        <v>1007</v>
      </c>
      <c r="D177" s="118" t="s">
        <v>82</v>
      </c>
    </row>
    <row r="178" spans="1:8">
      <c r="A178" s="284" t="s">
        <v>1008</v>
      </c>
      <c r="D178" s="118" t="s">
        <v>83</v>
      </c>
    </row>
    <row r="179" spans="1:8">
      <c r="A179" s="284" t="s">
        <v>1002</v>
      </c>
      <c r="D179" s="118" t="s">
        <v>90</v>
      </c>
    </row>
    <row r="180" spans="1:8">
      <c r="A180" s="284" t="s">
        <v>1009</v>
      </c>
      <c r="D180" s="118" t="s">
        <v>733</v>
      </c>
      <c r="F180" s="88">
        <v>0</v>
      </c>
      <c r="H180" s="89">
        <f>IF(F180=1,1.2,(IF(F180&gt;1,1.5,0.9)))</f>
        <v>0.9</v>
      </c>
    </row>
    <row r="181" spans="1:8">
      <c r="A181" s="284" t="s">
        <v>1005</v>
      </c>
      <c r="D181" s="118" t="s">
        <v>82</v>
      </c>
    </row>
    <row r="182" spans="1:8">
      <c r="A182" s="285" t="s">
        <v>1010</v>
      </c>
      <c r="D182" s="118" t="s">
        <v>83</v>
      </c>
    </row>
    <row r="183" spans="1:8">
      <c r="A183" s="286" t="s">
        <v>1011</v>
      </c>
      <c r="D183" s="118" t="s">
        <v>90</v>
      </c>
    </row>
    <row r="184" spans="1:8">
      <c r="A184" s="284" t="s">
        <v>1012</v>
      </c>
      <c r="D184" s="118" t="s">
        <v>734</v>
      </c>
      <c r="F184" s="88">
        <v>0</v>
      </c>
      <c r="H184" s="89">
        <f>IF(F184=1,1.2,(IF(F184&gt;1,2.5,0.9)))</f>
        <v>0.9</v>
      </c>
    </row>
    <row r="185" spans="1:8">
      <c r="A185" s="284" t="s">
        <v>1013</v>
      </c>
      <c r="D185" s="118" t="s">
        <v>82</v>
      </c>
    </row>
    <row r="186" spans="1:8">
      <c r="A186" s="284" t="s">
        <v>1014</v>
      </c>
      <c r="D186" s="118" t="s">
        <v>83</v>
      </c>
    </row>
    <row r="187" spans="1:8">
      <c r="A187" s="286" t="s">
        <v>1015</v>
      </c>
      <c r="D187" s="118" t="s">
        <v>90</v>
      </c>
    </row>
    <row r="188" spans="1:8" ht="54">
      <c r="A188" s="284" t="s">
        <v>1016</v>
      </c>
      <c r="D188" s="119" t="s">
        <v>735</v>
      </c>
      <c r="F188" s="71" t="str">
        <f>IF(AUTOQUESTIONNAIRE!F121=0,"N","Y")</f>
        <v>N</v>
      </c>
      <c r="H188" s="72">
        <f>IF(F188="Y",1.2,0.9)</f>
        <v>0.9</v>
      </c>
    </row>
    <row r="189" spans="1:8">
      <c r="A189" s="284" t="s">
        <v>1017</v>
      </c>
      <c r="D189" s="118" t="s">
        <v>658</v>
      </c>
    </row>
    <row r="190" spans="1:8">
      <c r="A190" s="284" t="s">
        <v>1018</v>
      </c>
      <c r="D190" s="118" t="s">
        <v>659</v>
      </c>
    </row>
    <row r="191" spans="1:8" ht="36">
      <c r="A191" s="284" t="s">
        <v>1019</v>
      </c>
      <c r="D191" s="119" t="s">
        <v>736</v>
      </c>
      <c r="F191" s="121" t="str">
        <f>IF(AUTOQUESTIONNAIRE!F122=0,"N","Y")</f>
        <v>N</v>
      </c>
      <c r="G191" s="80" t="str">
        <f>IF($F$188="Y",F191,"N")</f>
        <v>N</v>
      </c>
      <c r="H191" s="72">
        <f>IF(G191="Y",1.2,0.9)</f>
        <v>0.9</v>
      </c>
    </row>
    <row r="192" spans="1:8">
      <c r="A192" s="299" t="s">
        <v>841</v>
      </c>
      <c r="D192" s="118" t="s">
        <v>658</v>
      </c>
    </row>
    <row r="193" spans="1:8">
      <c r="A193" s="284" t="s">
        <v>842</v>
      </c>
      <c r="D193" s="118" t="s">
        <v>659</v>
      </c>
    </row>
    <row r="194" spans="1:8" ht="36">
      <c r="A194" s="284" t="s">
        <v>843</v>
      </c>
      <c r="D194" s="119" t="s">
        <v>737</v>
      </c>
      <c r="F194" s="121" t="str">
        <f>IF(AUTOQUESTIONNAIRE!F124=0,"N","Y")</f>
        <v>N</v>
      </c>
      <c r="G194" s="80" t="str">
        <f>IF($F$188="Y",F194,"N")</f>
        <v>N</v>
      </c>
      <c r="H194" s="72">
        <f>IF(G194="Y",1.2,0.9)</f>
        <v>0.9</v>
      </c>
    </row>
    <row r="195" spans="1:8">
      <c r="A195" s="284" t="s">
        <v>844</v>
      </c>
      <c r="D195" s="118" t="s">
        <v>658</v>
      </c>
    </row>
    <row r="196" spans="1:8">
      <c r="A196" s="286" t="s">
        <v>845</v>
      </c>
      <c r="D196" s="118" t="s">
        <v>659</v>
      </c>
    </row>
    <row r="197" spans="1:8" ht="36">
      <c r="A197" s="284" t="s">
        <v>846</v>
      </c>
      <c r="D197" s="119" t="s">
        <v>738</v>
      </c>
      <c r="F197" s="71" t="str">
        <f>IF(AUTOQUESTIONNAIRE!F125=0,"N","Y")</f>
        <v>N</v>
      </c>
      <c r="G197" s="80" t="str">
        <f>IF($F$188="Y",F197,"N")</f>
        <v>N</v>
      </c>
      <c r="H197" s="72">
        <f>IF(G197="Y",1.2,0.9)</f>
        <v>0.9</v>
      </c>
    </row>
    <row r="198" spans="1:8">
      <c r="A198" s="284" t="s">
        <v>847</v>
      </c>
      <c r="D198" s="118" t="s">
        <v>658</v>
      </c>
    </row>
    <row r="199" spans="1:8">
      <c r="A199" s="284" t="s">
        <v>644</v>
      </c>
      <c r="D199" s="118" t="s">
        <v>659</v>
      </c>
    </row>
    <row r="200" spans="1:8" ht="36">
      <c r="A200" s="286" t="s">
        <v>848</v>
      </c>
      <c r="D200" s="119" t="s">
        <v>739</v>
      </c>
      <c r="F200" s="121" t="str">
        <f>IF(AUTOQUESTIONNAIRE!F126=0,"N","Y")</f>
        <v>N</v>
      </c>
      <c r="G200" s="80" t="str">
        <f>IF($F$188="Y",F200,"N")</f>
        <v>N</v>
      </c>
      <c r="H200" s="72">
        <f>IF(G200="Y",1.2,0.9)</f>
        <v>0.9</v>
      </c>
    </row>
    <row r="201" spans="1:8">
      <c r="A201" s="284" t="s">
        <v>849</v>
      </c>
      <c r="D201" s="118" t="s">
        <v>658</v>
      </c>
    </row>
    <row r="202" spans="1:8">
      <c r="A202" s="284" t="s">
        <v>850</v>
      </c>
      <c r="D202" s="118" t="s">
        <v>659</v>
      </c>
    </row>
    <row r="203" spans="1:8" ht="36">
      <c r="A203" s="284" t="s">
        <v>851</v>
      </c>
      <c r="D203" s="119" t="s">
        <v>740</v>
      </c>
      <c r="F203" s="121" t="str">
        <f>IF(AUTOQUESTIONNAIRE!F127=0,"N","Y")</f>
        <v>N</v>
      </c>
      <c r="G203" s="80" t="str">
        <f>IF($F$188="Y",F203,"N")</f>
        <v>N</v>
      </c>
      <c r="H203" s="72">
        <f>IF(G203="Y",1.2,0.9)</f>
        <v>0.9</v>
      </c>
    </row>
    <row r="204" spans="1:8">
      <c r="A204" s="284" t="s">
        <v>644</v>
      </c>
      <c r="D204" s="118" t="s">
        <v>658</v>
      </c>
    </row>
    <row r="205" spans="1:8">
      <c r="A205" s="291" t="s">
        <v>1020</v>
      </c>
      <c r="D205" s="118" t="s">
        <v>659</v>
      </c>
    </row>
    <row r="206" spans="1:8" ht="36">
      <c r="A206" s="286" t="s">
        <v>934</v>
      </c>
      <c r="D206" s="119" t="s">
        <v>741</v>
      </c>
      <c r="F206" s="121" t="str">
        <f>IF(AUTOQUESTIONNAIRE!F129=0,"N","Y")</f>
        <v>N</v>
      </c>
      <c r="G206" s="80" t="str">
        <f>IF($F$188="Y",F206,"N")</f>
        <v>N</v>
      </c>
      <c r="H206" s="72">
        <f>IF(G206="Y",1.2,0.9)</f>
        <v>0.9</v>
      </c>
    </row>
    <row r="207" spans="1:8">
      <c r="A207" s="283" t="s">
        <v>957</v>
      </c>
      <c r="D207" s="118" t="s">
        <v>658</v>
      </c>
    </row>
    <row r="208" spans="1:8">
      <c r="A208" s="283" t="s">
        <v>958</v>
      </c>
      <c r="D208" s="118" t="s">
        <v>659</v>
      </c>
    </row>
    <row r="209" spans="1:6" ht="36">
      <c r="A209" s="283" t="s">
        <v>818</v>
      </c>
      <c r="D209" s="122" t="s">
        <v>707</v>
      </c>
      <c r="F209" s="88">
        <f>AUTOQUESTIONNAIRE!F143</f>
        <v>0</v>
      </c>
    </row>
    <row r="210" spans="1:6" ht="30">
      <c r="A210" s="282" t="s">
        <v>1021</v>
      </c>
      <c r="D210" s="118" t="s">
        <v>315</v>
      </c>
    </row>
    <row r="211" spans="1:6">
      <c r="A211" s="283" t="s">
        <v>1022</v>
      </c>
      <c r="D211" s="118" t="s">
        <v>316</v>
      </c>
    </row>
    <row r="212" spans="1:6">
      <c r="A212" s="283" t="s">
        <v>1023</v>
      </c>
      <c r="D212" s="118" t="s">
        <v>317</v>
      </c>
    </row>
    <row r="213" spans="1:6">
      <c r="A213" s="283" t="s">
        <v>1024</v>
      </c>
      <c r="D213" s="118" t="s">
        <v>318</v>
      </c>
    </row>
    <row r="214" spans="1:6" ht="36">
      <c r="A214" s="283" t="s">
        <v>1005</v>
      </c>
      <c r="D214" s="122" t="s">
        <v>706</v>
      </c>
      <c r="F214" s="88">
        <f>AUTOQUESTIONNAIRE!F144</f>
        <v>1</v>
      </c>
    </row>
    <row r="215" spans="1:6">
      <c r="A215" s="305" t="s">
        <v>1025</v>
      </c>
      <c r="D215" s="118" t="s">
        <v>315</v>
      </c>
    </row>
    <row r="216" spans="1:6">
      <c r="A216" s="283" t="s">
        <v>1022</v>
      </c>
      <c r="D216" s="118" t="s">
        <v>316</v>
      </c>
    </row>
    <row r="217" spans="1:6">
      <c r="A217" s="283" t="s">
        <v>1023</v>
      </c>
      <c r="D217" s="118" t="s">
        <v>317</v>
      </c>
    </row>
    <row r="218" spans="1:6">
      <c r="A218" s="283" t="s">
        <v>1024</v>
      </c>
      <c r="D218" s="118" t="s">
        <v>318</v>
      </c>
    </row>
    <row r="219" spans="1:6" ht="36">
      <c r="A219" s="283" t="s">
        <v>1005</v>
      </c>
      <c r="D219" s="122" t="s">
        <v>705</v>
      </c>
      <c r="F219" s="88">
        <f>AUTOQUESTIONNAIRE!F145</f>
        <v>0</v>
      </c>
    </row>
    <row r="220" spans="1:6">
      <c r="A220" s="286" t="s">
        <v>1026</v>
      </c>
      <c r="D220" s="118" t="s">
        <v>315</v>
      </c>
    </row>
    <row r="221" spans="1:6">
      <c r="A221" s="283" t="s">
        <v>957</v>
      </c>
      <c r="D221" s="118" t="s">
        <v>316</v>
      </c>
    </row>
    <row r="222" spans="1:6">
      <c r="A222" s="283" t="s">
        <v>958</v>
      </c>
      <c r="D222" s="118" t="s">
        <v>317</v>
      </c>
    </row>
    <row r="223" spans="1:6">
      <c r="A223" s="283" t="s">
        <v>818</v>
      </c>
      <c r="D223" s="118" t="s">
        <v>318</v>
      </c>
    </row>
    <row r="224" spans="1:6" ht="55.9" customHeight="1">
      <c r="A224" s="286" t="s">
        <v>830</v>
      </c>
      <c r="D224" s="122" t="s">
        <v>704</v>
      </c>
      <c r="F224" s="88">
        <f>AUTOQUESTIONNAIRE!F146</f>
        <v>0</v>
      </c>
    </row>
    <row r="225" spans="1:8">
      <c r="A225" s="283" t="s">
        <v>957</v>
      </c>
      <c r="D225" s="118" t="s">
        <v>315</v>
      </c>
    </row>
    <row r="226" spans="1:8">
      <c r="A226" s="283" t="s">
        <v>958</v>
      </c>
      <c r="D226" s="118" t="s">
        <v>316</v>
      </c>
    </row>
    <row r="227" spans="1:8">
      <c r="A227" s="284" t="s">
        <v>831</v>
      </c>
      <c r="D227" s="118" t="s">
        <v>317</v>
      </c>
    </row>
    <row r="228" spans="1:8">
      <c r="A228" s="286" t="s">
        <v>840</v>
      </c>
      <c r="D228" s="118" t="s">
        <v>318</v>
      </c>
    </row>
    <row r="229" spans="1:8" ht="36">
      <c r="A229" s="283" t="s">
        <v>957</v>
      </c>
      <c r="D229" s="116" t="s">
        <v>703</v>
      </c>
      <c r="F229" s="124">
        <f>AUTOQUESTIONNAIRE!F241</f>
        <v>0</v>
      </c>
    </row>
    <row r="230" spans="1:8">
      <c r="A230" s="283" t="s">
        <v>958</v>
      </c>
    </row>
    <row r="231" spans="1:8">
      <c r="A231" s="304" t="s">
        <v>832</v>
      </c>
      <c r="D231" s="118" t="s">
        <v>743</v>
      </c>
      <c r="F231" s="121" t="str">
        <f>IF(AUTOQUESTIONNAIRE!F32=0,"N","Y")</f>
        <v>N</v>
      </c>
      <c r="H231" s="80" t="str">
        <f>IF($F$11="Y",F231,"N")</f>
        <v>N</v>
      </c>
    </row>
    <row r="232" spans="1:8">
      <c r="A232" s="283" t="s">
        <v>957</v>
      </c>
      <c r="D232" s="118" t="s">
        <v>702</v>
      </c>
      <c r="F232" s="76">
        <f>AUTOQUESTIONNAIRE!F114</f>
        <v>0</v>
      </c>
      <c r="H232" s="72">
        <f>IF(F232&lt;2,1,0.9)</f>
        <v>1</v>
      </c>
    </row>
    <row r="233" spans="1:8">
      <c r="A233" s="283" t="s">
        <v>958</v>
      </c>
      <c r="D233" s="118"/>
    </row>
    <row r="234" spans="1:8" s="590" customFormat="1" ht="18.75" thickBot="1">
      <c r="A234" s="591" t="s">
        <v>831</v>
      </c>
      <c r="D234" s="592"/>
      <c r="F234" s="593"/>
    </row>
    <row r="235" spans="1:8" ht="18.75" thickBot="1">
      <c r="A235" s="286" t="s">
        <v>833</v>
      </c>
      <c r="D235" s="205" t="s">
        <v>615</v>
      </c>
      <c r="F235" s="88">
        <f>AUTOQUESTIONNAIRE!F223</f>
        <v>108</v>
      </c>
    </row>
    <row r="236" spans="1:8" ht="18.75" thickBot="1">
      <c r="A236" s="283" t="s">
        <v>957</v>
      </c>
      <c r="D236" s="206" t="s">
        <v>616</v>
      </c>
      <c r="F236" s="88">
        <f>AUTOQUESTIONNAIRE!F224</f>
        <v>0</v>
      </c>
    </row>
    <row r="237" spans="1:8" ht="18.75" thickBot="1">
      <c r="A237" s="283" t="s">
        <v>958</v>
      </c>
      <c r="D237" s="206" t="s">
        <v>651</v>
      </c>
      <c r="F237" s="88">
        <f>AUTOQUESTIONNAIRE!F225</f>
        <v>0</v>
      </c>
    </row>
    <row r="238" spans="1:8" ht="18.75" thickBot="1">
      <c r="A238" s="283" t="s">
        <v>818</v>
      </c>
      <c r="D238" s="206" t="s">
        <v>652</v>
      </c>
      <c r="F238" s="88">
        <f>AUTOQUESTIONNAIRE!F226</f>
        <v>0</v>
      </c>
    </row>
    <row r="239" spans="1:8" ht="30.75" thickBot="1">
      <c r="A239" s="282" t="s">
        <v>1027</v>
      </c>
      <c r="D239" s="206" t="s">
        <v>653</v>
      </c>
      <c r="F239" s="88">
        <f>AUTOQUESTIONNAIRE!F227</f>
        <v>0</v>
      </c>
    </row>
    <row r="240" spans="1:8" ht="18.75" thickBot="1">
      <c r="A240" s="283" t="s">
        <v>1028</v>
      </c>
      <c r="D240" s="206" t="s">
        <v>621</v>
      </c>
      <c r="F240" s="88">
        <f>AUTOQUESTIONNAIRE!F217</f>
        <v>70</v>
      </c>
    </row>
    <row r="241" spans="1:10" ht="18.75" thickBot="1">
      <c r="A241" s="283" t="s">
        <v>1029</v>
      </c>
      <c r="D241" s="206" t="s">
        <v>617</v>
      </c>
      <c r="F241" s="88">
        <f>AUTOQUESTIONNAIRE!F346</f>
        <v>80</v>
      </c>
    </row>
    <row r="242" spans="1:10" ht="18.75" thickBot="1">
      <c r="A242" s="283" t="s">
        <v>1024</v>
      </c>
      <c r="D242" s="206" t="s">
        <v>622</v>
      </c>
      <c r="F242" s="88">
        <f>AUTOQUESTIONNAIRE!F220</f>
        <v>90</v>
      </c>
    </row>
    <row r="243" spans="1:10" ht="18.75" thickBot="1">
      <c r="A243" s="283" t="s">
        <v>1005</v>
      </c>
      <c r="D243" s="206" t="s">
        <v>654</v>
      </c>
      <c r="F243" s="88">
        <f>AUTOQUESTIONNAIRE!F221</f>
        <v>65</v>
      </c>
    </row>
    <row r="244" spans="1:10" ht="45.75" thickBot="1">
      <c r="A244" s="282" t="s">
        <v>1030</v>
      </c>
      <c r="D244" s="206" t="s">
        <v>618</v>
      </c>
      <c r="F244" s="88">
        <f>AUTOQUESTIONNAIRE!F228</f>
        <v>99</v>
      </c>
    </row>
    <row r="245" spans="1:10" ht="30.75" thickBot="1">
      <c r="A245" s="288" t="s">
        <v>856</v>
      </c>
      <c r="D245" s="206" t="s">
        <v>619</v>
      </c>
      <c r="F245" s="88">
        <f>AUTOQUESTIONNAIRE!F229</f>
        <v>0</v>
      </c>
    </row>
    <row r="246" spans="1:10" ht="18.75" thickBot="1">
      <c r="A246" s="283" t="s">
        <v>957</v>
      </c>
      <c r="D246" s="206" t="s">
        <v>642</v>
      </c>
      <c r="F246" s="88">
        <f>AUTOQUESTIONNAIRE!G230</f>
        <v>2</v>
      </c>
    </row>
    <row r="247" spans="1:10" ht="18.75" thickBot="1">
      <c r="A247" s="283" t="s">
        <v>958</v>
      </c>
      <c r="D247" s="206" t="s">
        <v>643</v>
      </c>
      <c r="F247" s="88">
        <f>AUTOQUESTIONNAIRE!G231</f>
        <v>2</v>
      </c>
    </row>
    <row r="248" spans="1:10" ht="60">
      <c r="A248" s="288" t="s">
        <v>857</v>
      </c>
      <c r="D248" s="209" t="s">
        <v>750</v>
      </c>
      <c r="F248" s="208">
        <f>AUTOQUESTIONNAIRE!F232</f>
        <v>0</v>
      </c>
    </row>
    <row r="249" spans="1:10">
      <c r="A249" s="283" t="s">
        <v>957</v>
      </c>
      <c r="D249" s="210" t="s">
        <v>745</v>
      </c>
    </row>
    <row r="250" spans="1:10">
      <c r="A250" s="283" t="s">
        <v>958</v>
      </c>
      <c r="D250" s="210" t="s">
        <v>752</v>
      </c>
      <c r="F250" s="76">
        <f>AUTOQUESTIONNAIRE!F233</f>
        <v>0</v>
      </c>
      <c r="H250" s="72">
        <f>F250/20</f>
        <v>0</v>
      </c>
    </row>
    <row r="251" spans="1:10" ht="45">
      <c r="A251" s="288" t="s">
        <v>858</v>
      </c>
      <c r="D251" s="210" t="s">
        <v>753</v>
      </c>
      <c r="F251" s="76" t="s">
        <v>796</v>
      </c>
      <c r="H251" s="72">
        <f>IF(F251="Normale",1,0)</f>
        <v>0</v>
      </c>
    </row>
    <row r="252" spans="1:10">
      <c r="A252" s="283" t="s">
        <v>957</v>
      </c>
      <c r="D252" s="210" t="s">
        <v>754</v>
      </c>
      <c r="F252" s="76" t="s">
        <v>796</v>
      </c>
      <c r="H252" s="72">
        <f>IF(F252="Normale",1,0)</f>
        <v>0</v>
      </c>
      <c r="I252" s="218" t="s">
        <v>119</v>
      </c>
      <c r="J252" s="218">
        <f>(H250+H251+H252)/3</f>
        <v>0</v>
      </c>
    </row>
    <row r="253" spans="1:10" ht="21">
      <c r="A253" s="283" t="s">
        <v>958</v>
      </c>
      <c r="D253" s="215" t="s">
        <v>758</v>
      </c>
      <c r="E253" s="211"/>
      <c r="F253" s="212" t="s">
        <v>755</v>
      </c>
      <c r="G253" s="211" t="s">
        <v>759</v>
      </c>
      <c r="H253" s="211"/>
      <c r="I253" s="211"/>
    </row>
    <row r="254" spans="1:10" ht="21">
      <c r="A254" s="283" t="s">
        <v>831</v>
      </c>
      <c r="D254" s="216" t="s">
        <v>756</v>
      </c>
      <c r="E254" s="214"/>
      <c r="F254" s="212"/>
      <c r="G254" s="211"/>
      <c r="H254" s="211"/>
      <c r="I254" s="219" t="s">
        <v>119</v>
      </c>
      <c r="J254" s="219">
        <f>IF(F253="Normale perte auditive en décibel &lt;20 dB",1,(IF(F253="Surdité perte auditive en décibel &gt; 40 dB",0.4,0.6)))</f>
        <v>0.6</v>
      </c>
    </row>
    <row r="255" spans="1:10" ht="21">
      <c r="A255" s="285" t="s">
        <v>1031</v>
      </c>
      <c r="D255" s="217" t="s">
        <v>755</v>
      </c>
      <c r="E255" s="213"/>
      <c r="F255" s="212"/>
      <c r="G255" s="211"/>
      <c r="H255" s="211"/>
      <c r="I255" s="211"/>
    </row>
    <row r="256" spans="1:10" ht="21">
      <c r="A256" s="306" t="s">
        <v>859</v>
      </c>
      <c r="D256" s="216" t="s">
        <v>757</v>
      </c>
      <c r="E256" s="213"/>
      <c r="F256" s="212"/>
      <c r="G256" s="211"/>
      <c r="H256" s="211"/>
      <c r="I256" s="211"/>
    </row>
    <row r="257" spans="1:8">
      <c r="A257" s="284" t="s">
        <v>860</v>
      </c>
    </row>
    <row r="258" spans="1:8" ht="18.75">
      <c r="A258" s="284" t="s">
        <v>861</v>
      </c>
      <c r="D258" s="246" t="s">
        <v>778</v>
      </c>
      <c r="F258" s="88" t="s">
        <v>89</v>
      </c>
      <c r="G258" s="79">
        <f>IF(F258="Y",1,0)</f>
        <v>0</v>
      </c>
      <c r="H258" s="72" t="s">
        <v>774</v>
      </c>
    </row>
    <row r="259" spans="1:8" ht="18.75">
      <c r="A259" s="284" t="s">
        <v>862</v>
      </c>
      <c r="D259" s="245" t="s">
        <v>772</v>
      </c>
    </row>
    <row r="260" spans="1:8" ht="18.75">
      <c r="A260" s="284" t="s">
        <v>863</v>
      </c>
      <c r="D260" s="245" t="s">
        <v>773</v>
      </c>
    </row>
    <row r="261" spans="1:8" ht="37.5">
      <c r="A261" s="306" t="s">
        <v>864</v>
      </c>
      <c r="D261" s="247" t="s">
        <v>779</v>
      </c>
      <c r="F261" s="88" t="s">
        <v>89</v>
      </c>
      <c r="G261" s="79">
        <f>IF(F261="Y",0.5,0)</f>
        <v>0</v>
      </c>
    </row>
    <row r="262" spans="1:8" ht="18.75">
      <c r="A262" s="284" t="s">
        <v>865</v>
      </c>
      <c r="D262" s="245" t="s">
        <v>772</v>
      </c>
    </row>
    <row r="263" spans="1:8" ht="18.75">
      <c r="A263" s="284" t="s">
        <v>866</v>
      </c>
      <c r="D263" s="245" t="s">
        <v>773</v>
      </c>
    </row>
    <row r="264" spans="1:8" ht="18.75">
      <c r="A264" s="284" t="s">
        <v>867</v>
      </c>
      <c r="D264" s="248" t="s">
        <v>780</v>
      </c>
      <c r="F264" s="88" t="s">
        <v>89</v>
      </c>
      <c r="G264" s="79">
        <f>IF(F264="Y",0.5,0)</f>
        <v>0</v>
      </c>
    </row>
    <row r="265" spans="1:8" ht="18.75">
      <c r="A265" s="293" t="s">
        <v>944</v>
      </c>
      <c r="D265" s="245" t="s">
        <v>772</v>
      </c>
    </row>
    <row r="266" spans="1:8" ht="18.75">
      <c r="A266" s="284" t="s">
        <v>849</v>
      </c>
      <c r="D266" s="245" t="s">
        <v>773</v>
      </c>
    </row>
    <row r="267" spans="1:8" ht="18.75">
      <c r="A267" s="284" t="s">
        <v>945</v>
      </c>
      <c r="D267" s="249" t="s">
        <v>793</v>
      </c>
      <c r="F267" s="88" t="s">
        <v>89</v>
      </c>
      <c r="G267" s="79">
        <f>IF(F267="Y",1,0)</f>
        <v>0</v>
      </c>
      <c r="H267" s="116"/>
    </row>
    <row r="268" spans="1:8" ht="18.75">
      <c r="A268" s="284" t="s">
        <v>644</v>
      </c>
      <c r="D268" s="245" t="s">
        <v>772</v>
      </c>
    </row>
    <row r="269" spans="1:8" ht="18.75">
      <c r="A269" s="306" t="s">
        <v>946</v>
      </c>
      <c r="D269" s="245" t="s">
        <v>773</v>
      </c>
    </row>
    <row r="270" spans="1:8" ht="18.75">
      <c r="A270" s="307" t="s">
        <v>852</v>
      </c>
      <c r="D270" s="247" t="s">
        <v>781</v>
      </c>
      <c r="F270" s="88" t="s">
        <v>89</v>
      </c>
      <c r="G270" s="79">
        <f>IF(F270="Y",1,0)</f>
        <v>0</v>
      </c>
    </row>
    <row r="271" spans="1:8" ht="18.75">
      <c r="A271" s="284" t="s">
        <v>853</v>
      </c>
      <c r="D271" s="245" t="s">
        <v>772</v>
      </c>
    </row>
    <row r="272" spans="1:8" ht="18.75">
      <c r="A272" s="284" t="s">
        <v>854</v>
      </c>
      <c r="D272" s="245" t="s">
        <v>773</v>
      </c>
    </row>
    <row r="273" spans="1:7" ht="37.5">
      <c r="A273" s="284" t="s">
        <v>855</v>
      </c>
      <c r="D273" s="246" t="s">
        <v>782</v>
      </c>
      <c r="F273" s="88" t="s">
        <v>89</v>
      </c>
      <c r="G273" s="79">
        <f>IF(F273="Y",1,0)</f>
        <v>0</v>
      </c>
    </row>
    <row r="274" spans="1:7" ht="18.75">
      <c r="A274" s="307" t="s">
        <v>868</v>
      </c>
      <c r="D274" s="245" t="s">
        <v>772</v>
      </c>
    </row>
    <row r="275" spans="1:7" ht="18.75">
      <c r="A275" s="284" t="s">
        <v>869</v>
      </c>
      <c r="D275" s="245" t="s">
        <v>773</v>
      </c>
    </row>
    <row r="276" spans="1:7">
      <c r="A276" s="284" t="s">
        <v>870</v>
      </c>
      <c r="D276" s="289" t="s">
        <v>972</v>
      </c>
    </row>
    <row r="277" spans="1:7">
      <c r="A277" s="284" t="s">
        <v>871</v>
      </c>
      <c r="D277" s="283" t="s">
        <v>957</v>
      </c>
    </row>
    <row r="278" spans="1:7">
      <c r="A278" s="284" t="s">
        <v>872</v>
      </c>
      <c r="D278" s="283" t="s">
        <v>958</v>
      </c>
    </row>
    <row r="279" spans="1:7">
      <c r="A279" s="307" t="s">
        <v>873</v>
      </c>
      <c r="D279" s="268" t="s">
        <v>800</v>
      </c>
    </row>
    <row r="280" spans="1:7">
      <c r="A280" s="284" t="s">
        <v>869</v>
      </c>
      <c r="D280" s="269" t="s">
        <v>801</v>
      </c>
    </row>
    <row r="281" spans="1:7">
      <c r="A281" s="284" t="s">
        <v>870</v>
      </c>
      <c r="D281" s="269" t="s">
        <v>802</v>
      </c>
    </row>
    <row r="282" spans="1:7">
      <c r="A282" s="284" t="s">
        <v>871</v>
      </c>
      <c r="D282" s="268" t="s">
        <v>803</v>
      </c>
    </row>
    <row r="283" spans="1:7">
      <c r="A283" s="284" t="s">
        <v>872</v>
      </c>
      <c r="D283" s="269" t="s">
        <v>801</v>
      </c>
    </row>
    <row r="284" spans="1:7">
      <c r="A284" s="307" t="s">
        <v>874</v>
      </c>
      <c r="D284" s="269" t="s">
        <v>802</v>
      </c>
    </row>
    <row r="285" spans="1:7" ht="30">
      <c r="A285" s="284" t="s">
        <v>869</v>
      </c>
      <c r="D285" s="269" t="s">
        <v>804</v>
      </c>
    </row>
    <row r="286" spans="1:7">
      <c r="A286" s="284" t="s">
        <v>870</v>
      </c>
      <c r="D286" s="269" t="s">
        <v>801</v>
      </c>
    </row>
    <row r="287" spans="1:7">
      <c r="A287" s="284" t="s">
        <v>871</v>
      </c>
      <c r="D287" s="269" t="s">
        <v>802</v>
      </c>
    </row>
    <row r="288" spans="1:7">
      <c r="A288" s="284" t="s">
        <v>872</v>
      </c>
      <c r="D288" s="269" t="s">
        <v>805</v>
      </c>
    </row>
    <row r="289" spans="1:4">
      <c r="A289" s="307" t="s">
        <v>875</v>
      </c>
      <c r="D289" s="269" t="s">
        <v>801</v>
      </c>
    </row>
    <row r="290" spans="1:4">
      <c r="A290" s="284" t="s">
        <v>869</v>
      </c>
      <c r="D290" s="269" t="s">
        <v>802</v>
      </c>
    </row>
    <row r="291" spans="1:4">
      <c r="A291" s="284" t="s">
        <v>870</v>
      </c>
      <c r="D291" s="268" t="s">
        <v>806</v>
      </c>
    </row>
    <row r="292" spans="1:4">
      <c r="A292" s="284" t="s">
        <v>871</v>
      </c>
      <c r="D292" s="268" t="s">
        <v>807</v>
      </c>
    </row>
    <row r="293" spans="1:4">
      <c r="A293" s="284" t="s">
        <v>872</v>
      </c>
      <c r="D293" s="268" t="s">
        <v>808</v>
      </c>
    </row>
    <row r="294" spans="1:4">
      <c r="A294" s="307" t="s">
        <v>876</v>
      </c>
      <c r="D294" s="268" t="s">
        <v>809</v>
      </c>
    </row>
    <row r="295" spans="1:4">
      <c r="A295" s="283" t="s">
        <v>877</v>
      </c>
      <c r="D295" s="268" t="s">
        <v>810</v>
      </c>
    </row>
    <row r="296" spans="1:4">
      <c r="A296" s="283" t="s">
        <v>878</v>
      </c>
      <c r="D296" s="268" t="s">
        <v>811</v>
      </c>
    </row>
    <row r="297" spans="1:4">
      <c r="A297" s="283" t="s">
        <v>958</v>
      </c>
      <c r="D297" s="268" t="s">
        <v>812</v>
      </c>
    </row>
    <row r="298" spans="1:4">
      <c r="A298" s="285" t="s">
        <v>879</v>
      </c>
      <c r="D298" s="268" t="s">
        <v>813</v>
      </c>
    </row>
    <row r="299" spans="1:4">
      <c r="A299" s="283" t="s">
        <v>957</v>
      </c>
      <c r="D299" s="268" t="s">
        <v>814</v>
      </c>
    </row>
    <row r="300" spans="1:4">
      <c r="A300" s="283" t="s">
        <v>958</v>
      </c>
      <c r="D300" s="268" t="s">
        <v>815</v>
      </c>
    </row>
    <row r="301" spans="1:4">
      <c r="A301" s="296" t="s">
        <v>818</v>
      </c>
      <c r="D301" s="268" t="s">
        <v>816</v>
      </c>
    </row>
    <row r="302" spans="1:4">
      <c r="A302" s="307" t="s">
        <v>882</v>
      </c>
      <c r="D302" s="268" t="s">
        <v>817</v>
      </c>
    </row>
    <row r="303" spans="1:4">
      <c r="A303" s="302" t="s">
        <v>883</v>
      </c>
      <c r="D303" s="269" t="s">
        <v>801</v>
      </c>
    </row>
    <row r="304" spans="1:4">
      <c r="A304" s="283" t="s">
        <v>957</v>
      </c>
      <c r="D304" s="269" t="s">
        <v>802</v>
      </c>
    </row>
    <row r="305" spans="1:4">
      <c r="A305" s="283" t="s">
        <v>958</v>
      </c>
      <c r="D305" s="268" t="s">
        <v>818</v>
      </c>
    </row>
    <row r="306" spans="1:4">
      <c r="A306" s="308" t="s">
        <v>884</v>
      </c>
      <c r="D306" s="269" t="s">
        <v>819</v>
      </c>
    </row>
    <row r="307" spans="1:4">
      <c r="A307" s="283" t="s">
        <v>957</v>
      </c>
      <c r="D307" s="269" t="s">
        <v>801</v>
      </c>
    </row>
    <row r="308" spans="1:4">
      <c r="A308" s="283" t="s">
        <v>958</v>
      </c>
      <c r="D308" s="269" t="s">
        <v>802</v>
      </c>
    </row>
    <row r="309" spans="1:4" ht="30">
      <c r="A309" s="308" t="s">
        <v>885</v>
      </c>
      <c r="D309" s="269" t="s">
        <v>820</v>
      </c>
    </row>
    <row r="310" spans="1:4">
      <c r="A310" s="283" t="s">
        <v>957</v>
      </c>
      <c r="D310" s="269" t="s">
        <v>801</v>
      </c>
    </row>
    <row r="311" spans="1:4">
      <c r="A311" s="283" t="s">
        <v>958</v>
      </c>
      <c r="D311" s="269" t="s">
        <v>802</v>
      </c>
    </row>
    <row r="312" spans="1:4">
      <c r="A312" s="308" t="s">
        <v>886</v>
      </c>
      <c r="D312" s="269" t="s">
        <v>821</v>
      </c>
    </row>
    <row r="313" spans="1:4">
      <c r="A313" s="283" t="s">
        <v>957</v>
      </c>
      <c r="D313" s="269" t="s">
        <v>801</v>
      </c>
    </row>
    <row r="314" spans="1:4">
      <c r="A314" s="283" t="s">
        <v>958</v>
      </c>
      <c r="D314" s="269" t="s">
        <v>802</v>
      </c>
    </row>
    <row r="315" spans="1:4">
      <c r="A315" s="308" t="s">
        <v>887</v>
      </c>
      <c r="D315" s="269" t="s">
        <v>822</v>
      </c>
    </row>
    <row r="316" spans="1:4">
      <c r="A316" s="283" t="s">
        <v>957</v>
      </c>
      <c r="D316" s="269" t="s">
        <v>801</v>
      </c>
    </row>
    <row r="317" spans="1:4">
      <c r="A317" s="283" t="s">
        <v>958</v>
      </c>
      <c r="D317" s="269" t="s">
        <v>802</v>
      </c>
    </row>
    <row r="318" spans="1:4">
      <c r="A318" s="308" t="s">
        <v>888</v>
      </c>
      <c r="D318" s="314" t="s">
        <v>823</v>
      </c>
    </row>
    <row r="319" spans="1:4">
      <c r="A319" s="283" t="s">
        <v>957</v>
      </c>
      <c r="D319" s="314" t="s">
        <v>801</v>
      </c>
    </row>
    <row r="320" spans="1:4">
      <c r="A320" s="283" t="s">
        <v>958</v>
      </c>
      <c r="D320" s="314" t="s">
        <v>802</v>
      </c>
    </row>
    <row r="321" spans="1:4">
      <c r="A321" s="308" t="s">
        <v>889</v>
      </c>
      <c r="D321" s="314" t="s">
        <v>824</v>
      </c>
    </row>
    <row r="322" spans="1:4">
      <c r="A322" s="283" t="s">
        <v>957</v>
      </c>
      <c r="D322" s="314" t="s">
        <v>801</v>
      </c>
    </row>
    <row r="323" spans="1:4">
      <c r="A323" s="283" t="s">
        <v>958</v>
      </c>
      <c r="D323" s="314" t="s">
        <v>802</v>
      </c>
    </row>
    <row r="324" spans="1:4" ht="30">
      <c r="A324" s="309" t="s">
        <v>890</v>
      </c>
      <c r="D324" s="269" t="s">
        <v>825</v>
      </c>
    </row>
    <row r="325" spans="1:4">
      <c r="A325" s="283" t="s">
        <v>957</v>
      </c>
      <c r="D325" s="269" t="s">
        <v>801</v>
      </c>
    </row>
    <row r="326" spans="1:4">
      <c r="A326" s="283" t="s">
        <v>958</v>
      </c>
      <c r="D326" s="269" t="s">
        <v>802</v>
      </c>
    </row>
    <row r="327" spans="1:4">
      <c r="A327" s="302" t="s">
        <v>891</v>
      </c>
      <c r="D327" s="269" t="s">
        <v>826</v>
      </c>
    </row>
    <row r="328" spans="1:4">
      <c r="A328" s="283" t="s">
        <v>957</v>
      </c>
      <c r="D328" s="269" t="s">
        <v>801</v>
      </c>
    </row>
    <row r="329" spans="1:4">
      <c r="A329" s="283" t="s">
        <v>958</v>
      </c>
      <c r="D329" s="269" t="s">
        <v>802</v>
      </c>
    </row>
    <row r="330" spans="1:4" ht="30">
      <c r="A330" s="288" t="s">
        <v>892</v>
      </c>
      <c r="D330" s="269" t="s">
        <v>827</v>
      </c>
    </row>
    <row r="331" spans="1:4">
      <c r="A331" s="283" t="s">
        <v>957</v>
      </c>
      <c r="D331" s="269" t="s">
        <v>828</v>
      </c>
    </row>
    <row r="332" spans="1:4">
      <c r="A332" s="283" t="s">
        <v>958</v>
      </c>
      <c r="D332" s="269" t="s">
        <v>829</v>
      </c>
    </row>
    <row r="333" spans="1:4">
      <c r="A333" s="302" t="s">
        <v>893</v>
      </c>
      <c r="D333" s="268" t="s">
        <v>830</v>
      </c>
    </row>
    <row r="334" spans="1:4">
      <c r="A334" s="280" t="s">
        <v>894</v>
      </c>
      <c r="D334" s="269" t="s">
        <v>801</v>
      </c>
    </row>
    <row r="335" spans="1:4">
      <c r="A335" s="310" t="s">
        <v>1032</v>
      </c>
      <c r="D335" s="269" t="s">
        <v>802</v>
      </c>
    </row>
    <row r="336" spans="1:4">
      <c r="A336" s="293" t="s">
        <v>880</v>
      </c>
      <c r="D336" s="268" t="s">
        <v>831</v>
      </c>
    </row>
    <row r="337" spans="1:4">
      <c r="A337" s="283" t="s">
        <v>957</v>
      </c>
      <c r="D337" s="270" t="s">
        <v>832</v>
      </c>
    </row>
    <row r="338" spans="1:4">
      <c r="A338" s="283" t="s">
        <v>958</v>
      </c>
      <c r="D338" s="269" t="s">
        <v>801</v>
      </c>
    </row>
    <row r="339" spans="1:4">
      <c r="A339" s="293" t="s">
        <v>881</v>
      </c>
      <c r="D339" s="269" t="s">
        <v>802</v>
      </c>
    </row>
    <row r="340" spans="1:4">
      <c r="A340" s="283" t="s">
        <v>957</v>
      </c>
      <c r="D340" s="268" t="s">
        <v>831</v>
      </c>
    </row>
    <row r="341" spans="1:4">
      <c r="A341" s="283" t="s">
        <v>958</v>
      </c>
      <c r="D341" s="268" t="s">
        <v>833</v>
      </c>
    </row>
    <row r="342" spans="1:4">
      <c r="D342" s="269" t="s">
        <v>801</v>
      </c>
    </row>
    <row r="343" spans="1:4" ht="72">
      <c r="A343" s="311" t="s">
        <v>947</v>
      </c>
      <c r="D343" s="269" t="s">
        <v>802</v>
      </c>
    </row>
    <row r="344" spans="1:4">
      <c r="A344" s="312" t="s">
        <v>315</v>
      </c>
      <c r="D344" s="269" t="s">
        <v>818</v>
      </c>
    </row>
    <row r="345" spans="1:4">
      <c r="A345" s="312" t="s">
        <v>316</v>
      </c>
      <c r="D345" s="268" t="s">
        <v>834</v>
      </c>
    </row>
    <row r="346" spans="1:4">
      <c r="A346" s="312" t="s">
        <v>317</v>
      </c>
      <c r="D346" s="269" t="s">
        <v>801</v>
      </c>
    </row>
    <row r="347" spans="1:4">
      <c r="A347" s="312" t="s">
        <v>318</v>
      </c>
      <c r="D347" s="269" t="s">
        <v>802</v>
      </c>
    </row>
    <row r="348" spans="1:4" ht="72">
      <c r="A348" s="311" t="s">
        <v>948</v>
      </c>
      <c r="D348" s="268" t="s">
        <v>835</v>
      </c>
    </row>
    <row r="349" spans="1:4">
      <c r="A349" s="312" t="s">
        <v>315</v>
      </c>
      <c r="D349" s="268" t="s">
        <v>836</v>
      </c>
    </row>
    <row r="350" spans="1:4">
      <c r="A350" s="312" t="s">
        <v>316</v>
      </c>
      <c r="D350" s="268" t="s">
        <v>837</v>
      </c>
    </row>
    <row r="351" spans="1:4">
      <c r="A351" s="312" t="s">
        <v>317</v>
      </c>
      <c r="D351" s="269" t="s">
        <v>644</v>
      </c>
    </row>
    <row r="352" spans="1:4">
      <c r="A352" s="312" t="s">
        <v>318</v>
      </c>
      <c r="D352" s="271" t="s">
        <v>838</v>
      </c>
    </row>
    <row r="353" spans="1:4" ht="90">
      <c r="A353" s="311" t="s">
        <v>949</v>
      </c>
      <c r="D353" s="271" t="s">
        <v>801</v>
      </c>
    </row>
    <row r="354" spans="1:4">
      <c r="A354" s="312" t="s">
        <v>315</v>
      </c>
      <c r="D354" s="271" t="s">
        <v>802</v>
      </c>
    </row>
    <row r="355" spans="1:4">
      <c r="A355" s="312" t="s">
        <v>316</v>
      </c>
      <c r="D355" s="269" t="s">
        <v>839</v>
      </c>
    </row>
    <row r="356" spans="1:4">
      <c r="A356" s="312" t="s">
        <v>317</v>
      </c>
      <c r="D356" s="269" t="s">
        <v>801</v>
      </c>
    </row>
    <row r="357" spans="1:4">
      <c r="A357" s="312" t="s">
        <v>318</v>
      </c>
      <c r="D357" s="269" t="s">
        <v>802</v>
      </c>
    </row>
    <row r="358" spans="1:4" ht="90">
      <c r="A358" s="311" t="s">
        <v>950</v>
      </c>
      <c r="D358" s="268" t="s">
        <v>840</v>
      </c>
    </row>
    <row r="359" spans="1:4">
      <c r="A359" s="312" t="s">
        <v>315</v>
      </c>
      <c r="D359" s="269" t="s">
        <v>801</v>
      </c>
    </row>
    <row r="360" spans="1:4">
      <c r="A360" s="312" t="s">
        <v>316</v>
      </c>
      <c r="D360" s="269" t="s">
        <v>802</v>
      </c>
    </row>
    <row r="361" spans="1:4">
      <c r="A361" s="312" t="s">
        <v>317</v>
      </c>
      <c r="D361" s="268" t="s">
        <v>841</v>
      </c>
    </row>
    <row r="362" spans="1:4">
      <c r="A362" s="312" t="s">
        <v>318</v>
      </c>
      <c r="D362" s="268" t="s">
        <v>842</v>
      </c>
    </row>
    <row r="363" spans="1:4" ht="72">
      <c r="A363" s="313" t="s">
        <v>943</v>
      </c>
      <c r="D363" s="268" t="s">
        <v>843</v>
      </c>
    </row>
    <row r="364" spans="1:4">
      <c r="A364" s="116" t="s">
        <v>315</v>
      </c>
      <c r="D364" s="268" t="s">
        <v>844</v>
      </c>
    </row>
    <row r="365" spans="1:4">
      <c r="A365" s="116" t="s">
        <v>316</v>
      </c>
      <c r="D365" s="268" t="s">
        <v>845</v>
      </c>
    </row>
    <row r="366" spans="1:4">
      <c r="A366" s="116" t="s">
        <v>317</v>
      </c>
      <c r="D366" s="268" t="s">
        <v>846</v>
      </c>
    </row>
    <row r="367" spans="1:4">
      <c r="A367" s="116" t="s">
        <v>318</v>
      </c>
      <c r="D367" s="268" t="s">
        <v>847</v>
      </c>
    </row>
    <row r="368" spans="1:4">
      <c r="D368" s="268" t="s">
        <v>644</v>
      </c>
    </row>
    <row r="369" spans="4:4">
      <c r="D369" s="268" t="s">
        <v>848</v>
      </c>
    </row>
    <row r="370" spans="4:4">
      <c r="D370" s="268" t="s">
        <v>849</v>
      </c>
    </row>
    <row r="371" spans="4:4">
      <c r="D371" s="268" t="s">
        <v>850</v>
      </c>
    </row>
    <row r="372" spans="4:4">
      <c r="D372" s="268" t="s">
        <v>851</v>
      </c>
    </row>
    <row r="373" spans="4:4">
      <c r="D373" s="268" t="s">
        <v>644</v>
      </c>
    </row>
    <row r="374" spans="4:4">
      <c r="D374" s="270" t="s">
        <v>852</v>
      </c>
    </row>
    <row r="375" spans="4:4">
      <c r="D375" s="268" t="s">
        <v>853</v>
      </c>
    </row>
    <row r="376" spans="4:4">
      <c r="D376" s="268" t="s">
        <v>854</v>
      </c>
    </row>
    <row r="377" spans="4:4">
      <c r="D377" s="268" t="s">
        <v>855</v>
      </c>
    </row>
    <row r="378" spans="4:4">
      <c r="D378" s="269" t="s">
        <v>856</v>
      </c>
    </row>
    <row r="379" spans="4:4">
      <c r="D379" s="269" t="s">
        <v>801</v>
      </c>
    </row>
    <row r="380" spans="4:4">
      <c r="D380" s="269" t="s">
        <v>802</v>
      </c>
    </row>
    <row r="381" spans="4:4" ht="30">
      <c r="D381" s="269" t="s">
        <v>857</v>
      </c>
    </row>
    <row r="382" spans="4:4">
      <c r="D382" s="269" t="s">
        <v>801</v>
      </c>
    </row>
    <row r="383" spans="4:4">
      <c r="D383" s="269" t="s">
        <v>802</v>
      </c>
    </row>
    <row r="384" spans="4:4" ht="30">
      <c r="D384" s="269" t="s">
        <v>858</v>
      </c>
    </row>
    <row r="385" spans="4:4">
      <c r="D385" s="269" t="s">
        <v>801</v>
      </c>
    </row>
    <row r="386" spans="4:4">
      <c r="D386" s="269" t="s">
        <v>802</v>
      </c>
    </row>
    <row r="387" spans="4:4">
      <c r="D387" s="269" t="s">
        <v>831</v>
      </c>
    </row>
    <row r="388" spans="4:4">
      <c r="D388" s="268" t="s">
        <v>859</v>
      </c>
    </row>
    <row r="389" spans="4:4">
      <c r="D389" s="268" t="s">
        <v>860</v>
      </c>
    </row>
    <row r="390" spans="4:4">
      <c r="D390" s="268" t="s">
        <v>861</v>
      </c>
    </row>
    <row r="391" spans="4:4">
      <c r="D391" s="268" t="s">
        <v>862</v>
      </c>
    </row>
    <row r="392" spans="4:4">
      <c r="D392" s="268" t="s">
        <v>863</v>
      </c>
    </row>
    <row r="393" spans="4:4">
      <c r="D393" s="268" t="s">
        <v>864</v>
      </c>
    </row>
    <row r="394" spans="4:4">
      <c r="D394" s="268" t="s">
        <v>865</v>
      </c>
    </row>
    <row r="395" spans="4:4">
      <c r="D395" s="268" t="s">
        <v>866</v>
      </c>
    </row>
    <row r="396" spans="4:4">
      <c r="D396" s="268" t="s">
        <v>867</v>
      </c>
    </row>
    <row r="397" spans="4:4">
      <c r="D397" s="270" t="s">
        <v>868</v>
      </c>
    </row>
    <row r="398" spans="4:4">
      <c r="D398" s="268" t="s">
        <v>869</v>
      </c>
    </row>
    <row r="399" spans="4:4">
      <c r="D399" s="268" t="s">
        <v>870</v>
      </c>
    </row>
    <row r="400" spans="4:4">
      <c r="D400" s="268" t="s">
        <v>871</v>
      </c>
    </row>
    <row r="401" spans="4:4">
      <c r="D401" s="268" t="s">
        <v>872</v>
      </c>
    </row>
    <row r="402" spans="4:4">
      <c r="D402" s="270" t="s">
        <v>873</v>
      </c>
    </row>
    <row r="403" spans="4:4">
      <c r="D403" s="268" t="s">
        <v>869</v>
      </c>
    </row>
    <row r="404" spans="4:4">
      <c r="D404" s="268" t="s">
        <v>870</v>
      </c>
    </row>
    <row r="405" spans="4:4">
      <c r="D405" s="268" t="s">
        <v>871</v>
      </c>
    </row>
    <row r="406" spans="4:4">
      <c r="D406" s="268" t="s">
        <v>872</v>
      </c>
    </row>
    <row r="407" spans="4:4">
      <c r="D407" s="270" t="s">
        <v>874</v>
      </c>
    </row>
    <row r="408" spans="4:4">
      <c r="D408" s="268" t="s">
        <v>869</v>
      </c>
    </row>
    <row r="409" spans="4:4">
      <c r="D409" s="268" t="s">
        <v>870</v>
      </c>
    </row>
    <row r="410" spans="4:4">
      <c r="D410" s="268" t="s">
        <v>871</v>
      </c>
    </row>
    <row r="411" spans="4:4">
      <c r="D411" s="268" t="s">
        <v>872</v>
      </c>
    </row>
    <row r="412" spans="4:4">
      <c r="D412" s="270" t="s">
        <v>875</v>
      </c>
    </row>
    <row r="413" spans="4:4">
      <c r="D413" s="268" t="s">
        <v>869</v>
      </c>
    </row>
    <row r="414" spans="4:4">
      <c r="D414" s="268" t="s">
        <v>870</v>
      </c>
    </row>
    <row r="415" spans="4:4">
      <c r="D415" s="268" t="s">
        <v>871</v>
      </c>
    </row>
    <row r="416" spans="4:4">
      <c r="D416" s="268" t="s">
        <v>872</v>
      </c>
    </row>
    <row r="417" spans="4:4">
      <c r="D417" s="270" t="s">
        <v>876</v>
      </c>
    </row>
    <row r="418" spans="4:4">
      <c r="D418" s="269" t="s">
        <v>877</v>
      </c>
    </row>
    <row r="419" spans="4:4">
      <c r="D419" s="269" t="s">
        <v>878</v>
      </c>
    </row>
    <row r="420" spans="4:4">
      <c r="D420" s="269" t="s">
        <v>802</v>
      </c>
    </row>
    <row r="421" spans="4:4">
      <c r="D421" s="268" t="s">
        <v>879</v>
      </c>
    </row>
    <row r="422" spans="4:4">
      <c r="D422" s="269" t="s">
        <v>801</v>
      </c>
    </row>
    <row r="423" spans="4:4">
      <c r="D423" s="269" t="s">
        <v>802</v>
      </c>
    </row>
    <row r="424" spans="4:4">
      <c r="D424" s="269" t="s">
        <v>818</v>
      </c>
    </row>
    <row r="425" spans="4:4">
      <c r="D425" s="270" t="s">
        <v>880</v>
      </c>
    </row>
    <row r="426" spans="4:4">
      <c r="D426" s="269" t="s">
        <v>801</v>
      </c>
    </row>
    <row r="427" spans="4:4">
      <c r="D427" s="269" t="s">
        <v>802</v>
      </c>
    </row>
    <row r="428" spans="4:4">
      <c r="D428" s="270" t="s">
        <v>881</v>
      </c>
    </row>
    <row r="429" spans="4:4">
      <c r="D429" s="269" t="s">
        <v>801</v>
      </c>
    </row>
    <row r="430" spans="4:4">
      <c r="D430" s="269" t="s">
        <v>802</v>
      </c>
    </row>
    <row r="431" spans="4:4">
      <c r="D431" s="270" t="s">
        <v>882</v>
      </c>
    </row>
    <row r="432" spans="4:4">
      <c r="D432" s="270" t="s">
        <v>883</v>
      </c>
    </row>
    <row r="433" spans="4:4">
      <c r="D433" s="269" t="s">
        <v>801</v>
      </c>
    </row>
    <row r="434" spans="4:4">
      <c r="D434" s="269" t="s">
        <v>802</v>
      </c>
    </row>
    <row r="435" spans="4:4">
      <c r="D435" s="268" t="s">
        <v>884</v>
      </c>
    </row>
    <row r="436" spans="4:4">
      <c r="D436" s="269" t="s">
        <v>801</v>
      </c>
    </row>
    <row r="437" spans="4:4">
      <c r="D437" s="269" t="s">
        <v>802</v>
      </c>
    </row>
    <row r="438" spans="4:4">
      <c r="D438" s="268" t="s">
        <v>885</v>
      </c>
    </row>
    <row r="439" spans="4:4">
      <c r="D439" s="269" t="s">
        <v>801</v>
      </c>
    </row>
    <row r="440" spans="4:4">
      <c r="D440" s="269" t="s">
        <v>802</v>
      </c>
    </row>
    <row r="441" spans="4:4">
      <c r="D441" s="268" t="s">
        <v>886</v>
      </c>
    </row>
    <row r="442" spans="4:4">
      <c r="D442" s="269" t="s">
        <v>801</v>
      </c>
    </row>
    <row r="443" spans="4:4">
      <c r="D443" s="269" t="s">
        <v>802</v>
      </c>
    </row>
    <row r="444" spans="4:4">
      <c r="D444" s="268" t="s">
        <v>887</v>
      </c>
    </row>
    <row r="445" spans="4:4">
      <c r="D445" s="269" t="s">
        <v>801</v>
      </c>
    </row>
    <row r="446" spans="4:4">
      <c r="D446" s="269" t="s">
        <v>802</v>
      </c>
    </row>
    <row r="447" spans="4:4">
      <c r="D447" s="268" t="s">
        <v>888</v>
      </c>
    </row>
    <row r="448" spans="4:4">
      <c r="D448" s="269" t="s">
        <v>801</v>
      </c>
    </row>
    <row r="449" spans="4:4">
      <c r="D449" s="269" t="s">
        <v>802</v>
      </c>
    </row>
    <row r="450" spans="4:4">
      <c r="D450" s="268" t="s">
        <v>889</v>
      </c>
    </row>
    <row r="451" spans="4:4">
      <c r="D451" s="269" t="s">
        <v>801</v>
      </c>
    </row>
    <row r="452" spans="4:4">
      <c r="D452" s="269" t="s">
        <v>802</v>
      </c>
    </row>
    <row r="453" spans="4:4">
      <c r="D453" s="269" t="s">
        <v>890</v>
      </c>
    </row>
    <row r="454" spans="4:4">
      <c r="D454" s="269" t="s">
        <v>801</v>
      </c>
    </row>
    <row r="455" spans="4:4">
      <c r="D455" s="269" t="s">
        <v>802</v>
      </c>
    </row>
    <row r="456" spans="4:4">
      <c r="D456" s="270" t="s">
        <v>891</v>
      </c>
    </row>
    <row r="457" spans="4:4">
      <c r="D457" s="269" t="s">
        <v>801</v>
      </c>
    </row>
    <row r="458" spans="4:4">
      <c r="D458" s="269" t="s">
        <v>802</v>
      </c>
    </row>
    <row r="459" spans="4:4">
      <c r="D459" s="269" t="s">
        <v>892</v>
      </c>
    </row>
    <row r="460" spans="4:4">
      <c r="D460" s="269" t="s">
        <v>801</v>
      </c>
    </row>
    <row r="461" spans="4:4">
      <c r="D461" s="269" t="s">
        <v>802</v>
      </c>
    </row>
    <row r="462" spans="4:4">
      <c r="D462" s="270" t="s">
        <v>893</v>
      </c>
    </row>
    <row r="463" spans="4:4">
      <c r="D463" s="268" t="s">
        <v>894</v>
      </c>
    </row>
    <row r="464" spans="4:4">
      <c r="D464" s="272"/>
    </row>
    <row r="465" spans="4:4">
      <c r="D465" t="s">
        <v>1039</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printOptions headings="1"/>
  <pageMargins left="0.70866141732283472" right="0.70866141732283472" top="0.74803149606299213" bottom="0.74803149606299213" header="0.31496062992125984" footer="0.31496062992125984"/>
  <pageSetup paperSize="9" scale="1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tabColor rgb="FFFF0000"/>
  </sheetPr>
  <dimension ref="A1:AU58"/>
  <sheetViews>
    <sheetView zoomScale="70" zoomScaleNormal="70" workbookViewId="0">
      <pane xSplit="2" ySplit="1" topLeftCell="E10" activePane="bottomRight" state="frozen"/>
      <selection pane="topRight" activeCell="C1" sqref="C1"/>
      <selection pane="bottomLeft" activeCell="A2" sqref="A2"/>
      <selection pane="bottomRight" activeCell="M45" sqref="M45"/>
    </sheetView>
  </sheetViews>
  <sheetFormatPr baseColWidth="10" defaultColWidth="10.85546875" defaultRowHeight="15"/>
  <cols>
    <col min="1" max="1" width="8.140625" style="145" customWidth="1"/>
    <col min="2" max="2" width="36.7109375" style="578" bestFit="1" customWidth="1"/>
    <col min="3" max="3" width="12.28515625" style="146" bestFit="1" customWidth="1"/>
    <col min="4" max="4" width="5.28515625" style="146" bestFit="1" customWidth="1"/>
    <col min="5" max="5" width="7.7109375" style="146" customWidth="1"/>
    <col min="6" max="6" width="5.5703125" style="143" bestFit="1" customWidth="1"/>
    <col min="7" max="7" width="8.5703125" style="143" bestFit="1" customWidth="1"/>
    <col min="8" max="8" width="9.5703125" style="144" bestFit="1" customWidth="1"/>
    <col min="9" max="9" width="6.7109375" style="144" bestFit="1" customWidth="1"/>
    <col min="10" max="10" width="8.5703125" style="144" customWidth="1"/>
    <col min="11" max="13" width="15.7109375" style="144" customWidth="1"/>
    <col min="14" max="14" width="11.85546875" style="8" bestFit="1" customWidth="1"/>
    <col min="15" max="15" width="13.5703125" style="8" bestFit="1" customWidth="1"/>
    <col min="16" max="16" width="11" style="8" bestFit="1" customWidth="1"/>
    <col min="17" max="17" width="34.5703125" style="8" bestFit="1" customWidth="1"/>
    <col min="18" max="18" width="10.5703125" style="31" bestFit="1" customWidth="1"/>
    <col min="19" max="19" width="13.5703125" style="11" bestFit="1" customWidth="1"/>
    <col min="20" max="20" width="34.5703125" style="8" bestFit="1" customWidth="1"/>
    <col min="21" max="21" width="10.5703125" style="31" bestFit="1" customWidth="1"/>
    <col min="22" max="22" width="13.7109375" style="31" bestFit="1" customWidth="1"/>
    <col min="23" max="23" width="21.7109375" style="11" customWidth="1"/>
    <col min="24" max="16384" width="10.85546875" style="8"/>
  </cols>
  <sheetData>
    <row r="1" spans="1:47" ht="30">
      <c r="A1" s="139" t="s">
        <v>27</v>
      </c>
      <c r="B1" s="433" t="s">
        <v>55</v>
      </c>
      <c r="C1" s="1" t="s">
        <v>24</v>
      </c>
      <c r="D1" s="1" t="s">
        <v>25</v>
      </c>
      <c r="E1" s="1" t="s">
        <v>26</v>
      </c>
      <c r="F1" s="141" t="s">
        <v>20</v>
      </c>
      <c r="G1" s="2" t="s">
        <v>21</v>
      </c>
      <c r="H1" s="3" t="s">
        <v>22</v>
      </c>
      <c r="I1" s="3" t="s">
        <v>23</v>
      </c>
      <c r="J1" s="3" t="s">
        <v>99</v>
      </c>
      <c r="K1" s="9" t="s">
        <v>33</v>
      </c>
      <c r="L1" s="9" t="s">
        <v>57</v>
      </c>
      <c r="M1" s="9" t="s">
        <v>303</v>
      </c>
      <c r="N1" s="9" t="s">
        <v>28</v>
      </c>
      <c r="O1" s="9" t="s">
        <v>29</v>
      </c>
      <c r="P1" s="9" t="s">
        <v>30</v>
      </c>
      <c r="Q1" s="140" t="s">
        <v>798</v>
      </c>
      <c r="R1" s="266" t="s">
        <v>31</v>
      </c>
      <c r="S1" s="11" t="s">
        <v>32</v>
      </c>
      <c r="T1" s="140" t="s">
        <v>797</v>
      </c>
      <c r="U1" s="267" t="s">
        <v>72</v>
      </c>
      <c r="V1" s="31" t="s">
        <v>77</v>
      </c>
      <c r="W1" s="11" t="s">
        <v>242</v>
      </c>
      <c r="X1" s="24" t="s">
        <v>1689</v>
      </c>
      <c r="Y1" s="32"/>
      <c r="Z1" s="32"/>
      <c r="AA1" s="32"/>
      <c r="AB1" s="32"/>
    </row>
    <row r="2" spans="1:47">
      <c r="A2" s="139">
        <f>ImportQuestion!$F$6</f>
        <v>65</v>
      </c>
      <c r="B2" s="564" t="s">
        <v>54</v>
      </c>
      <c r="C2" s="5">
        <v>-4.8000000000000001E-2</v>
      </c>
      <c r="D2" s="5">
        <f>0.000710799200799209</f>
        <v>7.1079920079920899E-4</v>
      </c>
      <c r="E2" s="5">
        <f>0.0000126493506493506</f>
        <v>1.26493506493506E-5</v>
      </c>
      <c r="F2" s="7">
        <v>1</v>
      </c>
      <c r="G2" s="7">
        <v>0</v>
      </c>
      <c r="H2" s="7">
        <v>1.25</v>
      </c>
      <c r="I2" s="7">
        <v>0.8</v>
      </c>
      <c r="J2" s="7">
        <f>IF(ImportQuestion!$F$3="F",0,1)</f>
        <v>0</v>
      </c>
      <c r="K2" s="7">
        <f>IF(ImportQuestion!$F$7="AF",H2,IF(ImportQuestion!$F$7="AS",calculRISKS!I2,1))</f>
        <v>1</v>
      </c>
      <c r="L2" s="7">
        <f>IF(ImportQuestion!H14="Y",0,1)</f>
        <v>1</v>
      </c>
      <c r="M2" s="7">
        <f>IF(ImportQuestion!H62="Y",0.8,1)</f>
        <v>1</v>
      </c>
      <c r="N2" s="4">
        <f>ImportQuestion!K$150</f>
        <v>0.9</v>
      </c>
      <c r="O2" s="4">
        <f>ImportQuestion!J25</f>
        <v>1</v>
      </c>
      <c r="P2" s="4">
        <f>ImportBiologie!H36</f>
        <v>1.3100000000000001E-2</v>
      </c>
      <c r="Q2" s="31">
        <f>($C2+($D2*($A2+5))+(($E2*(($A2+5)^2))))*$J2*$K2</f>
        <v>0</v>
      </c>
      <c r="R2" s="110">
        <f>IF(T2&lt;0,0.001,T2)</f>
        <v>0</v>
      </c>
      <c r="S2" s="110">
        <f>(MAX(P2,(IF(L2=0,1,0))))*J2*O2*N2</f>
        <v>0</v>
      </c>
      <c r="T2" s="31">
        <f t="shared" ref="T2:T7" si="0">($C2+($D2*$A2)+(($E2*($A2*$A2))))*$J2*$K2</f>
        <v>0</v>
      </c>
      <c r="U2" s="31">
        <f>MAX(IF(Q2&lt;0,0.001,Q2),R2)</f>
        <v>0</v>
      </c>
      <c r="V2" s="110">
        <f>MAX(ImportBiologie!J36,(ImportBiologie!J36*O2*N2),S2)*J2</f>
        <v>0</v>
      </c>
      <c r="W2" s="110">
        <f>IF(L2=0,1,($N2*$P2*1.5*Z$10))*J2</f>
        <v>0</v>
      </c>
      <c r="X2" s="146">
        <f>J2*K2*L2*M2*N2*O2</f>
        <v>0</v>
      </c>
      <c r="Y2" s="33" t="s">
        <v>97</v>
      </c>
      <c r="Z2" s="34" t="s">
        <v>54</v>
      </c>
      <c r="AA2" s="35" t="s">
        <v>35</v>
      </c>
      <c r="AB2" s="35" t="s">
        <v>36</v>
      </c>
      <c r="AC2" s="35" t="s">
        <v>37</v>
      </c>
      <c r="AD2" s="35" t="s">
        <v>38</v>
      </c>
      <c r="AE2" s="35" t="s">
        <v>39</v>
      </c>
      <c r="AF2" s="35" t="s">
        <v>40</v>
      </c>
      <c r="AG2" s="35" t="s">
        <v>41</v>
      </c>
      <c r="AH2" s="35" t="s">
        <v>42</v>
      </c>
      <c r="AI2" s="35" t="s">
        <v>43</v>
      </c>
      <c r="AJ2" s="35" t="s">
        <v>44</v>
      </c>
      <c r="AK2" s="35" t="s">
        <v>45</v>
      </c>
      <c r="AL2" s="35" t="s">
        <v>46</v>
      </c>
      <c r="AM2" s="35" t="s">
        <v>47</v>
      </c>
      <c r="AN2" s="35" t="s">
        <v>48</v>
      </c>
      <c r="AO2" s="35" t="s">
        <v>49</v>
      </c>
      <c r="AP2" s="35" t="s">
        <v>50</v>
      </c>
      <c r="AQ2" s="46" t="s">
        <v>51</v>
      </c>
      <c r="AR2" s="46" t="s">
        <v>52</v>
      </c>
      <c r="AS2" s="46" t="s">
        <v>96</v>
      </c>
      <c r="AT2" s="47" t="s">
        <v>95</v>
      </c>
      <c r="AU2" s="142" t="s">
        <v>603</v>
      </c>
    </row>
    <row r="3" spans="1:47">
      <c r="A3" s="139">
        <f>ImportQuestion!$F$6</f>
        <v>65</v>
      </c>
      <c r="B3" s="565" t="s">
        <v>905</v>
      </c>
      <c r="C3" s="5">
        <v>-0.51776223776225105</v>
      </c>
      <c r="D3" s="5">
        <f>0.0177272727272731</f>
        <v>1.7727272727273102E-2</v>
      </c>
      <c r="E3" s="5">
        <v>-1.2167832167832501E-4</v>
      </c>
      <c r="F3" s="7">
        <v>1</v>
      </c>
      <c r="G3" s="7">
        <v>0</v>
      </c>
      <c r="H3" s="7">
        <v>0.8</v>
      </c>
      <c r="I3" s="7">
        <v>0.6</v>
      </c>
      <c r="J3" s="7">
        <f>IF(ImportQuestion!$F$3="F",0,1)</f>
        <v>0</v>
      </c>
      <c r="K3" s="7">
        <f>IF(ImportQuestion!$F$7="AF",H3,IF(ImportQuestion!$F$7="AS",calculRISKS!I3,1))</f>
        <v>1</v>
      </c>
      <c r="L3" s="7">
        <v>1</v>
      </c>
      <c r="M3" s="7">
        <v>1</v>
      </c>
      <c r="N3" s="4">
        <v>1</v>
      </c>
      <c r="O3" s="4">
        <f>ImportQuestion!K25</f>
        <v>1</v>
      </c>
      <c r="P3" s="10">
        <f>IF(ImportQuestion!H125&gt;2,1.2,IF(ImportQuestion!H125&lt;1,0.8,1))</f>
        <v>1.2</v>
      </c>
      <c r="Q3" s="31">
        <f t="shared" ref="Q3:Q22" si="1">($C3+($D3*($A3+5))+(($E3*(($A3+5)^2))))*$J3*$K3</f>
        <v>0</v>
      </c>
      <c r="R3" s="110">
        <f t="shared" ref="R3:R22" si="2">IF(T3&lt;0,0.001,T3)</f>
        <v>0</v>
      </c>
      <c r="S3" s="110">
        <f>(MAX((N3*O3*P3*R3),(IF(L3=0,1,0))))*J3</f>
        <v>0</v>
      </c>
      <c r="T3" s="31">
        <f t="shared" si="0"/>
        <v>0</v>
      </c>
      <c r="U3" s="31">
        <f t="shared" ref="U3:U22" si="3">MAX(IF(Q3&lt;0,0.001,Q3),R3)</f>
        <v>0</v>
      </c>
      <c r="V3" s="110">
        <f>MAX(($N3*$O3*$P3*$U3),S3)</f>
        <v>0</v>
      </c>
      <c r="W3" s="31">
        <f>$N3*$P3*$U3*AA10</f>
        <v>0</v>
      </c>
      <c r="X3" s="146">
        <f t="shared" ref="X3:X22" si="4">J3*K3*L3*M3*N3*O3</f>
        <v>0</v>
      </c>
      <c r="Y3" s="16" t="str">
        <f>ImportQuestion!I18</f>
        <v>IMC</v>
      </c>
      <c r="Z3" s="16">
        <f>IF(SIMULATEUR!$L$3="N",ImportQuestion!J18,1)</f>
        <v>1</v>
      </c>
      <c r="AA3" s="16">
        <f>IF(SIMULATEUR!$L$3="N",ImportQuestion!K18,1)</f>
        <v>1</v>
      </c>
      <c r="AB3" s="16">
        <f>IF(SIMULATEUR!$L$3="N",ImportQuestion!L18,1)</f>
        <v>1</v>
      </c>
      <c r="AC3" s="16">
        <f>IF(SIMULATEUR!$L$3="N",ImportQuestion!M18,0.8)</f>
        <v>0.8</v>
      </c>
      <c r="AD3" s="16">
        <f>IF(SIMULATEUR!$L$3="N",ImportQuestion!N18,1)</f>
        <v>1</v>
      </c>
      <c r="AE3" s="16">
        <f>IF(SIMULATEUR!$L$3="N",ImportQuestion!O18,0.9)</f>
        <v>0.9</v>
      </c>
      <c r="AF3" s="16">
        <f>IF(SIMULATEUR!$L$3="N",ImportQuestion!P18,0.8)</f>
        <v>0.8</v>
      </c>
      <c r="AG3" s="16">
        <f>IF(SIMULATEUR!$L$3="N",ImportQuestion!Q18,1)</f>
        <v>1</v>
      </c>
      <c r="AH3" s="16">
        <f>IF(SIMULATEUR!$L$3="N",ImportQuestion!R18,0.8)</f>
        <v>0.8</v>
      </c>
      <c r="AI3" s="16">
        <f>IF(SIMULATEUR!$L$3="N",ImportQuestion!S18,0.8)</f>
        <v>0.8</v>
      </c>
      <c r="AJ3" s="16">
        <f>IF(SIMULATEUR!$L$3="N",ImportQuestion!T18,0.8)</f>
        <v>0.8</v>
      </c>
      <c r="AK3" s="16">
        <f>IF(SIMULATEUR!$L$3="N",ImportQuestion!U18,1)</f>
        <v>1</v>
      </c>
      <c r="AL3" s="16">
        <f>IF(SIMULATEUR!$L$3="N",ImportQuestion!V18,1)</f>
        <v>1</v>
      </c>
      <c r="AM3" s="16">
        <f>IF(SIMULATEUR!$L$3="N",ImportQuestion!W18,0.8)</f>
        <v>0.8</v>
      </c>
      <c r="AN3" s="16">
        <f>IF(SIMULATEUR!$L$3="N",ImportQuestion!X18,0.8)</f>
        <v>0.8</v>
      </c>
      <c r="AO3" s="16">
        <f>IF(SIMULATEUR!$L$3="N",ImportQuestion!Y18,1)</f>
        <v>1</v>
      </c>
      <c r="AP3" s="16">
        <f>IF(SIMULATEUR!$L$3="N",ImportQuestion!Z18,1)</f>
        <v>1</v>
      </c>
      <c r="AQ3" s="16">
        <f>IF(SIMULATEUR!$L$3="N",ImportQuestion!AA18,1)</f>
        <v>1</v>
      </c>
      <c r="AR3" s="16">
        <f>IF(SIMULATEUR!$L$3="N",ImportQuestion!AB18,1)</f>
        <v>1</v>
      </c>
      <c r="AS3" s="16">
        <f>IF(SIMULATEUR!$L$3="N",ImportQuestion!AC18,1)</f>
        <v>1</v>
      </c>
      <c r="AT3" s="16">
        <f>IF(SIMULATEUR!$L$3="N",ImportQuestion!AD18,1)</f>
        <v>1</v>
      </c>
      <c r="AU3" s="16">
        <f>IF(SIMULATEUR!$L$3="N",ImportQuestion!AE18,1)</f>
        <v>1</v>
      </c>
    </row>
    <row r="4" spans="1:47">
      <c r="A4" s="139">
        <f>ImportQuestion!$F$6</f>
        <v>65</v>
      </c>
      <c r="B4" s="566" t="s">
        <v>906</v>
      </c>
      <c r="C4" s="5">
        <v>0.116225714285713</v>
      </c>
      <c r="D4" s="5">
        <f>-0.00573914285714281</f>
        <v>-5.7391428571428099E-3</v>
      </c>
      <c r="E4" s="5">
        <f>0.0000701428571428567</f>
        <v>7.0142857142856699E-5</v>
      </c>
      <c r="F4" s="7">
        <v>1</v>
      </c>
      <c r="G4" s="7">
        <v>0.92</v>
      </c>
      <c r="H4" s="7">
        <v>1.5</v>
      </c>
      <c r="I4" s="7">
        <v>1</v>
      </c>
      <c r="J4" s="7">
        <v>1</v>
      </c>
      <c r="K4" s="7">
        <f>IF(ImportQuestion!$F$7="AF",H4,IF(ImportQuestion!$F$7="AS",calculRISKS!I4,1))</f>
        <v>1</v>
      </c>
      <c r="L4" s="7">
        <v>1</v>
      </c>
      <c r="M4" s="7">
        <v>1</v>
      </c>
      <c r="N4" s="4">
        <v>1</v>
      </c>
      <c r="O4" s="4">
        <f>ImportQuestion!L25</f>
        <v>1.2</v>
      </c>
      <c r="P4" s="4">
        <f>ImportBiologie!F37</f>
        <v>1</v>
      </c>
      <c r="Q4" s="31">
        <f t="shared" si="1"/>
        <v>5.8185714285714119E-2</v>
      </c>
      <c r="R4" s="110">
        <f t="shared" si="2"/>
        <v>3.9534999999999876E-2</v>
      </c>
      <c r="S4" s="31">
        <f>(N4*O4*P4*R4)</f>
        <v>4.7441999999999852E-2</v>
      </c>
      <c r="T4" s="31">
        <f t="shared" si="0"/>
        <v>3.9534999999999876E-2</v>
      </c>
      <c r="U4" s="31">
        <f t="shared" si="3"/>
        <v>5.8185714285714119E-2</v>
      </c>
      <c r="V4" s="110">
        <f>MAX($N4*$O4*$U4*$L4,S4)</f>
        <v>6.9822857142856937E-2</v>
      </c>
      <c r="W4" s="31">
        <f>$N4*$U4*AB10</f>
        <v>6.9822857142856937E-2</v>
      </c>
      <c r="X4" s="146">
        <f t="shared" si="4"/>
        <v>1.2</v>
      </c>
      <c r="Y4" s="16" t="str">
        <f>ImportQuestion!I19</f>
        <v>Fumeur</v>
      </c>
      <c r="Z4" s="16">
        <f>IF(SIMULATEUR!$L$4="N",ImportQuestion!J19,1)</f>
        <v>1</v>
      </c>
      <c r="AA4" s="16">
        <f>IF(SIMULATEUR!$L$4="N",ImportQuestion!K19,1)</f>
        <v>1</v>
      </c>
      <c r="AB4" s="16">
        <f>IF(SIMULATEUR!$L$4="N",ImportQuestion!L19,1)</f>
        <v>1.2</v>
      </c>
      <c r="AC4" s="16">
        <f>IF(SIMULATEUR!$L$4="N",ImportQuestion!M19,1)</f>
        <v>1</v>
      </c>
      <c r="AD4" s="16">
        <f>IF(SIMULATEUR!$L$4="N",ImportQuestion!N19,1)</f>
        <v>1.2</v>
      </c>
      <c r="AE4" s="16">
        <f>IF(SIMULATEUR!$L$4="N",ImportQuestion!O19,1)</f>
        <v>1</v>
      </c>
      <c r="AF4" s="16">
        <f>IF(SIMULATEUR!$L$4="N",ImportQuestion!P19,1)</f>
        <v>1</v>
      </c>
      <c r="AG4" s="16">
        <f>IF(SIMULATEUR!$L$4="N",ImportQuestion!Q19,1)</f>
        <v>1</v>
      </c>
      <c r="AH4" s="16">
        <f>IF(SIMULATEUR!$L$4="N",ImportQuestion!R19,1)</f>
        <v>1</v>
      </c>
      <c r="AI4" s="16">
        <f>IF(SIMULATEUR!$L$4="N",ImportQuestion!S19,1)</f>
        <v>1</v>
      </c>
      <c r="AJ4" s="16">
        <f>IF(SIMULATEUR!$L$4="N",ImportQuestion!T19,1)</f>
        <v>1</v>
      </c>
      <c r="AK4" s="16">
        <f>IF(SIMULATEUR!$L$4="N",ImportQuestion!U19,1)</f>
        <v>1.2</v>
      </c>
      <c r="AL4" s="16">
        <f>IF(SIMULATEUR!$L$4="N",ImportQuestion!V19,1)</f>
        <v>1.2</v>
      </c>
      <c r="AM4" s="16">
        <f>IF(SIMULATEUR!$L$4="N",ImportQuestion!W19,1)</f>
        <v>1.2</v>
      </c>
      <c r="AN4" s="16">
        <f>IF(SIMULATEUR!$L$4="N",ImportQuestion!X19,1)</f>
        <v>1.2</v>
      </c>
      <c r="AO4" s="233">
        <f>IF(SIMULATEUR!$L$4="N",ImportQuestion!Y19,10)</f>
        <v>20</v>
      </c>
      <c r="AP4" s="16">
        <f>IF(SIMULATEUR!$L$4="N",ImportQuestion!Z19,1)</f>
        <v>5</v>
      </c>
      <c r="AQ4" s="16">
        <f>IF(SIMULATEUR!$L$4="N",ImportQuestion!AA19,1)</f>
        <v>1.2</v>
      </c>
      <c r="AR4" s="16">
        <f>IF(SIMULATEUR!$L$4="N",ImportQuestion!AB19,1)</f>
        <v>1</v>
      </c>
      <c r="AS4" s="16">
        <f>IF(SIMULATEUR!$L$4="N",ImportQuestion!AC19,1)</f>
        <v>1</v>
      </c>
      <c r="AT4" s="16">
        <f>IF(SIMULATEUR!$L$4="N",ImportQuestion!AD19,1)</f>
        <v>1.2</v>
      </c>
      <c r="AU4" s="233">
        <f>IF(SIMULATEUR!$L$4="N",ImportQuestion!AE19,10)</f>
        <v>20</v>
      </c>
    </row>
    <row r="5" spans="1:47">
      <c r="A5" s="139">
        <f>ImportQuestion!$F$6</f>
        <v>65</v>
      </c>
      <c r="B5" s="566" t="s">
        <v>37</v>
      </c>
      <c r="C5" s="5">
        <v>-0.307999999999999</v>
      </c>
      <c r="D5" s="5">
        <f>0.0126</f>
        <v>1.26E-2</v>
      </c>
      <c r="E5" s="5">
        <f>-0.0000999999999999998</f>
        <v>-9.9999999999999802E-5</v>
      </c>
      <c r="F5" s="7">
        <v>1</v>
      </c>
      <c r="G5" s="7">
        <v>1</v>
      </c>
      <c r="H5" s="7">
        <v>1</v>
      </c>
      <c r="I5" s="7">
        <v>1</v>
      </c>
      <c r="J5" s="7">
        <v>1</v>
      </c>
      <c r="K5" s="7">
        <f>IF(ImportQuestion!$F$7="AF",H5,IF(ImportQuestion!$F$7="AS",calculRISKS!I5,1))</f>
        <v>1</v>
      </c>
      <c r="L5" s="109">
        <f>IF(ImportQuestion!H44="Y",2,1)</f>
        <v>1</v>
      </c>
      <c r="M5" s="7">
        <v>1</v>
      </c>
      <c r="N5" s="4">
        <f>ImportQuestion!L$150</f>
        <v>0.9</v>
      </c>
      <c r="O5" s="4">
        <f>ImportQuestion!M25</f>
        <v>1</v>
      </c>
      <c r="P5" s="4">
        <f>ImportBiologie!H35</f>
        <v>1</v>
      </c>
      <c r="Q5" s="31">
        <f t="shared" si="1"/>
        <v>8.4000000000001906E-2</v>
      </c>
      <c r="R5" s="110">
        <f t="shared" si="2"/>
        <v>8.8500000000001855E-2</v>
      </c>
      <c r="S5" s="31">
        <f>IF((N5*O5*P5*R5*L5)&gt;1,1,(N5*O5*P5*R5*L5))</f>
        <v>7.9650000000001678E-2</v>
      </c>
      <c r="T5" s="31">
        <f t="shared" si="0"/>
        <v>8.8500000000001855E-2</v>
      </c>
      <c r="U5" s="31">
        <f t="shared" si="3"/>
        <v>8.8500000000001855E-2</v>
      </c>
      <c r="V5" s="110">
        <f>MAX($N5*$O5*$U5*$L5,S5)</f>
        <v>7.9650000000001678E-2</v>
      </c>
      <c r="W5" s="31">
        <f>$N5*$U5*$L5*AC10</f>
        <v>6.3720000000001345E-2</v>
      </c>
      <c r="X5" s="146">
        <f t="shared" si="4"/>
        <v>0.9</v>
      </c>
      <c r="Y5" s="16" t="str">
        <f>ImportQuestion!I20</f>
        <v>Alcool</v>
      </c>
      <c r="Z5" s="16">
        <f>IF(SIMULATEUR!$L$5="Y",1,ImportQuestion!J20)</f>
        <v>1</v>
      </c>
      <c r="AA5" s="16">
        <f>IF(SIMULATEUR!$L$5="Y",1,ImportQuestion!K20)</f>
        <v>1</v>
      </c>
      <c r="AB5" s="16">
        <f>IF(SIMULATEUR!$L$5="Y",1,ImportQuestion!L20)</f>
        <v>1</v>
      </c>
      <c r="AC5" s="16">
        <f>IF(SIMULATEUR!$L$5="Y",1,ImportQuestion!M20)</f>
        <v>1</v>
      </c>
      <c r="AD5" s="16">
        <f>IF(SIMULATEUR!$L$5="Y",1,ImportQuestion!N20)</f>
        <v>1</v>
      </c>
      <c r="AE5" s="16">
        <f>IF(SIMULATEUR!$L$5="Y",1,ImportQuestion!O20)</f>
        <v>1.2</v>
      </c>
      <c r="AF5" s="16">
        <f>IF(SIMULATEUR!$L$5="Y",1,ImportQuestion!P20)</f>
        <v>1.2</v>
      </c>
      <c r="AG5" s="16">
        <f>IF(SIMULATEUR!$L$5="Y",1,ImportQuestion!Q20)</f>
        <v>1</v>
      </c>
      <c r="AH5" s="16">
        <f>IF(SIMULATEUR!$L$5="Y",1,ImportQuestion!R20)</f>
        <v>1</v>
      </c>
      <c r="AI5" s="16">
        <f>IF(SIMULATEUR!$L$5="Y",1,ImportQuestion!S20)</f>
        <v>1</v>
      </c>
      <c r="AJ5" s="16">
        <f>IF(SIMULATEUR!$L$5="Y",1,ImportQuestion!T20)</f>
        <v>1</v>
      </c>
      <c r="AK5" s="16">
        <f>IF(SIMULATEUR!$L$5="Y",1,ImportQuestion!U20)</f>
        <v>1</v>
      </c>
      <c r="AL5" s="16">
        <f>IF(SIMULATEUR!$L$5="Y",1,ImportQuestion!V20)</f>
        <v>1</v>
      </c>
      <c r="AM5" s="16">
        <f>IF(SIMULATEUR!$L$5="Y",1,ImportQuestion!W20)</f>
        <v>1</v>
      </c>
      <c r="AN5" s="16">
        <f>IF(SIMULATEUR!$L$5="Y",1,ImportQuestion!X20)</f>
        <v>1</v>
      </c>
      <c r="AO5" s="16">
        <f>IF(SIMULATEUR!$L$5="Y",1,ImportQuestion!Y20)</f>
        <v>1</v>
      </c>
      <c r="AP5" s="16">
        <f>IF(SIMULATEUR!$L$5="Y",1,ImportQuestion!Z20)</f>
        <v>5</v>
      </c>
      <c r="AQ5" s="16">
        <f>IF(SIMULATEUR!$L$5="Y",1,ImportQuestion!AA20)</f>
        <v>1</v>
      </c>
      <c r="AR5" s="16">
        <f>IF(SIMULATEUR!$L$5="Y",1,ImportQuestion!AB20)</f>
        <v>1</v>
      </c>
      <c r="AS5" s="16">
        <f>IF(SIMULATEUR!$L$5="Y",1,ImportQuestion!AC20)</f>
        <v>1</v>
      </c>
      <c r="AT5" s="16">
        <f>IF(SIMULATEUR!$L$5="Y",1,ImportQuestion!AD20)</f>
        <v>1.2</v>
      </c>
      <c r="AU5" s="16">
        <f>IF(SIMULATEUR!$L$5="Y",1,ImportQuestion!AE20)</f>
        <v>1</v>
      </c>
    </row>
    <row r="6" spans="1:47" ht="13.15" customHeight="1">
      <c r="A6" s="139">
        <f>ImportQuestion!$F$6</f>
        <v>65</v>
      </c>
      <c r="B6" s="566" t="s">
        <v>38</v>
      </c>
      <c r="C6" s="5">
        <v>-1.38542857142852E-2</v>
      </c>
      <c r="D6" s="5">
        <f>0.0000558571428571242</f>
        <v>5.5857142857124199E-5</v>
      </c>
      <c r="E6" s="5">
        <f>0.0000066428571428573</f>
        <v>6.6428571428573E-6</v>
      </c>
      <c r="F6" s="7">
        <v>1</v>
      </c>
      <c r="G6" s="7">
        <v>3</v>
      </c>
      <c r="H6" s="7">
        <v>0.5</v>
      </c>
      <c r="I6" s="7">
        <v>0.8</v>
      </c>
      <c r="J6" s="7">
        <v>1</v>
      </c>
      <c r="K6" s="7">
        <f>IF(ImportQuestion!$F$7="AF",H6,IF(ImportQuestion!$F$7="AS",calculRISKS!I6,1))</f>
        <v>1</v>
      </c>
      <c r="L6" s="7">
        <v>1</v>
      </c>
      <c r="M6" s="7">
        <v>1</v>
      </c>
      <c r="N6" s="4">
        <v>1</v>
      </c>
      <c r="O6" s="4">
        <f>ImportQuestion!N25</f>
        <v>1.2</v>
      </c>
      <c r="P6" s="4">
        <f>MIN(IF(ImportBiologie!H14&gt;30,1,1.2),IF(ImportBiologie!H14&lt;0.1,1,1.2))</f>
        <v>1</v>
      </c>
      <c r="Q6" s="31">
        <f t="shared" si="1"/>
        <v>2.2605714285714267E-2</v>
      </c>
      <c r="R6" s="110">
        <f t="shared" si="2"/>
        <v>1.7842499999999966E-2</v>
      </c>
      <c r="S6" s="31">
        <f>N6*O6*P6*R6*L6</f>
        <v>2.1410999999999958E-2</v>
      </c>
      <c r="T6" s="31">
        <f t="shared" si="0"/>
        <v>1.7842499999999966E-2</v>
      </c>
      <c r="U6" s="31">
        <f t="shared" si="3"/>
        <v>2.2605714285714267E-2</v>
      </c>
      <c r="V6" s="110">
        <f>MAX(($N6*$O6*$U6*$L6*P6),S6)</f>
        <v>2.7126857142857119E-2</v>
      </c>
      <c r="W6" s="31">
        <f>$N6*$U6*AD10</f>
        <v>2.7126857142857119E-2</v>
      </c>
      <c r="X6" s="146">
        <f t="shared" si="4"/>
        <v>1.2</v>
      </c>
      <c r="Y6" s="16" t="str">
        <f>ImportQuestion!I21</f>
        <v>Activité</v>
      </c>
      <c r="Z6" s="16">
        <f>IF(SIMULATEUR!$L$6="Y",ImportQuestion!J21,1.2)</f>
        <v>1</v>
      </c>
      <c r="AA6" s="16">
        <f>IF(SIMULATEUR!$L$6="Y",ImportQuestion!K21,1.2)</f>
        <v>1</v>
      </c>
      <c r="AB6" s="16">
        <f>IF(SIMULATEUR!$L$6="Y",ImportQuestion!L21,1.2)</f>
        <v>1</v>
      </c>
      <c r="AC6" s="16">
        <f>IF(SIMULATEUR!$L$6="Y",ImportQuestion!M21,1.2)</f>
        <v>1</v>
      </c>
      <c r="AD6" s="16">
        <f>IF(SIMULATEUR!$L$6="Y",ImportQuestion!N21,1.2)</f>
        <v>1</v>
      </c>
      <c r="AE6" s="16">
        <f>IF(SIMULATEUR!$L$6="Y",ImportQuestion!O21,1.2)</f>
        <v>1</v>
      </c>
      <c r="AF6" s="16">
        <f>IF(SIMULATEUR!$L$6="Y",ImportQuestion!P21,1.2)</f>
        <v>1</v>
      </c>
      <c r="AG6" s="16">
        <f>IF(SIMULATEUR!$L$6="Y",ImportQuestion!Q21,1.2)</f>
        <v>1</v>
      </c>
      <c r="AH6" s="16">
        <f>IF(SIMULATEUR!$L$6="Y",ImportQuestion!R21,1.2)</f>
        <v>1</v>
      </c>
      <c r="AI6" s="16">
        <f>IF(SIMULATEUR!$L$6="Y",ImportQuestion!S21,1.2)</f>
        <v>1</v>
      </c>
      <c r="AJ6" s="16">
        <f>IF(SIMULATEUR!$L$6="Y",ImportQuestion!T21,1.2)</f>
        <v>1</v>
      </c>
      <c r="AK6" s="16">
        <f>IF(SIMULATEUR!$L$6="Y",ImportQuestion!U21,1.2)</f>
        <v>1</v>
      </c>
      <c r="AL6" s="16">
        <f>IF(SIMULATEUR!$L$6="Y",ImportQuestion!V21,1.2)</f>
        <v>1</v>
      </c>
      <c r="AM6" s="16">
        <f>IF(SIMULATEUR!$L$6="Y",ImportQuestion!W21,1.2)</f>
        <v>1</v>
      </c>
      <c r="AN6" s="16">
        <f>IF(SIMULATEUR!$L$6="Y",ImportQuestion!X21,1.2)</f>
        <v>1</v>
      </c>
      <c r="AO6" s="16">
        <f>IF(SIMULATEUR!$L$6="Y",ImportQuestion!Y21,1.2)</f>
        <v>1</v>
      </c>
      <c r="AP6" s="16">
        <f>IF(SIMULATEUR!$L$6="Y",ImportQuestion!Z21,1.2)</f>
        <v>1</v>
      </c>
      <c r="AQ6" s="16">
        <f>IF(SIMULATEUR!$L$6="Y",ImportQuestion!AA21,1.2)</f>
        <v>1</v>
      </c>
      <c r="AR6" s="16">
        <f>IF(SIMULATEUR!$L$6="Y",ImportQuestion!AB21,1.2)</f>
        <v>1</v>
      </c>
      <c r="AS6" s="16">
        <f>IF(SIMULATEUR!$L$6="Y",ImportQuestion!AC21,1.2)</f>
        <v>1</v>
      </c>
      <c r="AT6" s="16">
        <f>IF(SIMULATEUR!$L$6="Y",ImportQuestion!AD21,1.2)</f>
        <v>1</v>
      </c>
      <c r="AU6" s="16">
        <f>IF(SIMULATEUR!$L$6="Y",ImportQuestion!AE21,1.2)</f>
        <v>1</v>
      </c>
    </row>
    <row r="7" spans="1:47">
      <c r="A7" s="139">
        <f>ImportQuestion!$F$6</f>
        <v>65</v>
      </c>
      <c r="B7" s="567" t="s">
        <v>248</v>
      </c>
      <c r="C7" s="5">
        <v>6.5546184602425797E-2</v>
      </c>
      <c r="D7" s="5">
        <f>-0.00279089539624784</f>
        <v>-2.7908953962478399E-3</v>
      </c>
      <c r="E7" s="5">
        <f>0.000030133820973974</f>
        <v>3.0133820973974001E-5</v>
      </c>
      <c r="F7" s="7">
        <v>1</v>
      </c>
      <c r="G7" s="7">
        <v>1</v>
      </c>
      <c r="H7" s="7">
        <v>1</v>
      </c>
      <c r="I7" s="7">
        <v>1</v>
      </c>
      <c r="J7" s="7">
        <v>1</v>
      </c>
      <c r="K7" s="7">
        <f>IF(ImportQuestion!$F$7="AF",H7,IF(ImportQuestion!$F$7="AS",calculRISKS!I7,1))</f>
        <v>1</v>
      </c>
      <c r="L7" s="109">
        <f>IF(ImportQuestion!H17="Y",0,1)</f>
        <v>1</v>
      </c>
      <c r="M7" s="7">
        <f>IF(ImportQuestion!H74="Y",0.8,1)</f>
        <v>1</v>
      </c>
      <c r="N7" s="4">
        <f>ImportQuestion!M$150</f>
        <v>0.9</v>
      </c>
      <c r="O7" s="4">
        <f>ImportQuestion!O25</f>
        <v>1.2</v>
      </c>
      <c r="P7" s="4">
        <v>1</v>
      </c>
      <c r="Q7" s="31">
        <f t="shared" si="1"/>
        <v>1.7839229637549608E-2</v>
      </c>
      <c r="R7" s="110">
        <f t="shared" si="2"/>
        <v>1.145337746135637E-2</v>
      </c>
      <c r="S7" s="110">
        <f>MAX((N7*O7*P7*R7),(IF(L7=0,1,0)))</f>
        <v>1.2369647658264881E-2</v>
      </c>
      <c r="T7" s="31">
        <f t="shared" si="0"/>
        <v>1.145337746135637E-2</v>
      </c>
      <c r="U7" s="31">
        <f t="shared" si="3"/>
        <v>1.7839229637549608E-2</v>
      </c>
      <c r="V7" s="110">
        <f>MAX(($N7*$O7*$U7*$L7),S7)</f>
        <v>1.9266368008553577E-2</v>
      </c>
      <c r="W7" s="110">
        <f>IF(L7=0,1,($N7*$U7*AE10))</f>
        <v>1.733973120769822E-2</v>
      </c>
      <c r="X7" s="146">
        <f t="shared" si="4"/>
        <v>1.08</v>
      </c>
      <c r="Y7" s="16" t="str">
        <f>ImportQuestion!I22</f>
        <v>Alimentation</v>
      </c>
      <c r="Z7" s="16">
        <f>IF(SIMULATEUR!$L$7="Y",ImportQuestion!J22,1.2)</f>
        <v>1</v>
      </c>
      <c r="AA7" s="16">
        <f>IF(SIMULATEUR!$L$7="Y",ImportQuestion!K22,1.2)</f>
        <v>1</v>
      </c>
      <c r="AB7" s="16">
        <f>IF(SIMULATEUR!$L$7="Y",ImportQuestion!L22,1.2)</f>
        <v>1</v>
      </c>
      <c r="AC7" s="16">
        <f>IF(SIMULATEUR!$L$7="Y",ImportQuestion!M22,1.2)</f>
        <v>1</v>
      </c>
      <c r="AD7" s="16">
        <f>IF(SIMULATEUR!$L$7="Y",ImportQuestion!N22,1.2)</f>
        <v>1</v>
      </c>
      <c r="AE7" s="16">
        <f>IF(SIMULATEUR!$L$7="Y",ImportQuestion!O22,1.2)</f>
        <v>1</v>
      </c>
      <c r="AF7" s="16">
        <f>IF(SIMULATEUR!$L$7="Y",ImportQuestion!P22,1.2)</f>
        <v>1</v>
      </c>
      <c r="AG7" s="16">
        <f>IF(SIMULATEUR!$L$7="Y",ImportQuestion!Q22,1.2)</f>
        <v>1</v>
      </c>
      <c r="AH7" s="16">
        <f>IF(SIMULATEUR!$L$7="Y",ImportQuestion!R22,1.2)</f>
        <v>1</v>
      </c>
      <c r="AI7" s="16">
        <f>IF(SIMULATEUR!$L$7="Y",ImportQuestion!S22,1.2)</f>
        <v>1</v>
      </c>
      <c r="AJ7" s="16">
        <f>IF(SIMULATEUR!$L$7="Y",ImportQuestion!T22,1.2)</f>
        <v>1</v>
      </c>
      <c r="AK7" s="16">
        <f>IF(SIMULATEUR!$L$7="Y",ImportQuestion!U22,1.2)</f>
        <v>1</v>
      </c>
      <c r="AL7" s="16">
        <f>IF(SIMULATEUR!$L$7="Y",ImportQuestion!V22,1.2)</f>
        <v>1</v>
      </c>
      <c r="AM7" s="16">
        <f>IF(SIMULATEUR!$L$7="Y",ImportQuestion!W22,1.2)</f>
        <v>1</v>
      </c>
      <c r="AN7" s="16">
        <f>IF(SIMULATEUR!$L$7="Y",ImportQuestion!X22,1.2)</f>
        <v>1</v>
      </c>
      <c r="AO7" s="16">
        <f>IF(SIMULATEUR!$L$7="Y",ImportQuestion!Y22,1.2)</f>
        <v>1</v>
      </c>
      <c r="AP7" s="16">
        <f>IF(SIMULATEUR!$L$7="Y",ImportQuestion!Z22,1.2)</f>
        <v>1</v>
      </c>
      <c r="AQ7" s="16">
        <f>IF(SIMULATEUR!$L$7="Y",ImportQuestion!AA22,1.2)</f>
        <v>1</v>
      </c>
      <c r="AR7" s="16">
        <f>IF(SIMULATEUR!$L$7="Y",ImportQuestion!AB22,1.2)</f>
        <v>1</v>
      </c>
      <c r="AS7" s="16">
        <f>IF(SIMULATEUR!$L$7="Y",ImportQuestion!AC22,1.2)</f>
        <v>1</v>
      </c>
      <c r="AT7" s="16">
        <f>IF(SIMULATEUR!$L$7="Y",ImportQuestion!AD22,1.2)</f>
        <v>1</v>
      </c>
      <c r="AU7" s="16">
        <f>IF(SIMULATEUR!$L$7="Y",ImportQuestion!AE22,1.2)</f>
        <v>1</v>
      </c>
    </row>
    <row r="8" spans="1:47">
      <c r="A8" s="139">
        <f>ImportQuestion!$F$6</f>
        <v>65</v>
      </c>
      <c r="B8" s="568" t="s">
        <v>908</v>
      </c>
      <c r="C8" s="5">
        <v>0.22885714285714301</v>
      </c>
      <c r="D8" s="5">
        <f>0.000428571428571423</f>
        <v>4.2857142857142302E-4</v>
      </c>
      <c r="E8" s="5">
        <v>-2.85714285714285E-5</v>
      </c>
      <c r="F8" s="7">
        <v>1</v>
      </c>
      <c r="G8" s="7">
        <v>0.8</v>
      </c>
      <c r="H8" s="7">
        <v>1</v>
      </c>
      <c r="I8" s="7">
        <v>1</v>
      </c>
      <c r="J8" s="7">
        <v>1</v>
      </c>
      <c r="K8" s="7">
        <f>IF(ImportQuestion!$F$7="AF",H8,IF(ImportQuestion!$F$7="AS",calculRISKS!I8,1))</f>
        <v>1</v>
      </c>
      <c r="L8" s="7">
        <v>1</v>
      </c>
      <c r="M8" s="7">
        <v>1</v>
      </c>
      <c r="N8" s="4">
        <v>1</v>
      </c>
      <c r="O8" s="4">
        <f>ImportQuestion!P25</f>
        <v>1.2</v>
      </c>
      <c r="P8" s="28" t="e">
        <f xml:space="preserve"> 1+(2.73877-0.7)/(1+10^(3.76923-ImportBiologie!H30))</f>
        <v>#DIV/0!</v>
      </c>
      <c r="Q8" s="31">
        <f t="shared" si="1"/>
        <v>0.11885714285714297</v>
      </c>
      <c r="R8" s="110">
        <f t="shared" si="2"/>
        <v>0.13600000000000009</v>
      </c>
      <c r="S8" s="31" t="e">
        <f>N8*O8*P8*R8*L8</f>
        <v>#DIV/0!</v>
      </c>
      <c r="T8" s="31">
        <f t="shared" ref="T8:T22" si="5">($C8+($D8*$A8)+(($E8*($A8*$A8))))*$J8*$K8</f>
        <v>0.13600000000000009</v>
      </c>
      <c r="U8" s="31">
        <f t="shared" si="3"/>
        <v>0.13600000000000009</v>
      </c>
      <c r="V8" s="110" t="e">
        <f>MAX(($N8*$O8*$U8*$L8*P8),S8)</f>
        <v>#DIV/0!</v>
      </c>
      <c r="W8" s="31">
        <f>$N8*$U8*AF10</f>
        <v>0.13056000000000009</v>
      </c>
      <c r="X8" s="146">
        <f t="shared" si="4"/>
        <v>1.2</v>
      </c>
      <c r="Y8" s="16" t="str">
        <f>ImportQuestion!I23</f>
        <v>Soleil</v>
      </c>
      <c r="Z8" s="16">
        <f>ImportQuestion!J23</f>
        <v>1</v>
      </c>
      <c r="AA8" s="16">
        <f>ImportQuestion!K23</f>
        <v>1</v>
      </c>
      <c r="AB8" s="16">
        <f>ImportQuestion!L23</f>
        <v>1</v>
      </c>
      <c r="AC8" s="16">
        <f>ImportQuestion!M23</f>
        <v>1</v>
      </c>
      <c r="AD8" s="16">
        <f>ImportQuestion!N23</f>
        <v>1</v>
      </c>
      <c r="AE8" s="16">
        <f>ImportQuestion!O23</f>
        <v>1</v>
      </c>
      <c r="AF8" s="16">
        <f>ImportQuestion!P23</f>
        <v>1</v>
      </c>
      <c r="AG8" s="16">
        <f>ImportQuestion!Q23</f>
        <v>1</v>
      </c>
      <c r="AH8" s="16">
        <f>ImportQuestion!R23</f>
        <v>1</v>
      </c>
      <c r="AI8" s="16">
        <f>ImportQuestion!S23</f>
        <v>1</v>
      </c>
      <c r="AJ8" s="16">
        <f>ImportQuestion!T23</f>
        <v>1</v>
      </c>
      <c r="AK8" s="16">
        <f>ImportQuestion!U23</f>
        <v>1</v>
      </c>
      <c r="AL8" s="16">
        <f>ImportQuestion!V23</f>
        <v>1</v>
      </c>
      <c r="AM8" s="16">
        <f>ImportQuestion!W23</f>
        <v>1</v>
      </c>
      <c r="AN8" s="16">
        <f>ImportQuestion!X23</f>
        <v>1</v>
      </c>
      <c r="AO8" s="16">
        <f>ImportQuestion!Y23</f>
        <v>1</v>
      </c>
      <c r="AP8" s="16">
        <f>ImportQuestion!Z23</f>
        <v>1</v>
      </c>
      <c r="AQ8" s="25">
        <f>ImportQuestion!AA23</f>
        <v>1</v>
      </c>
      <c r="AR8" s="25">
        <f>ImportQuestion!AB23</f>
        <v>1</v>
      </c>
      <c r="AS8" s="25">
        <f>ImportQuestion!AC23</f>
        <v>1</v>
      </c>
      <c r="AT8" s="25">
        <f>ImportQuestion!AD23</f>
        <v>1</v>
      </c>
      <c r="AU8" s="25">
        <f>ImportQuestion!AE23</f>
        <v>1</v>
      </c>
    </row>
    <row r="9" spans="1:47">
      <c r="A9" s="139">
        <f>ImportQuestion!$F$6</f>
        <v>65</v>
      </c>
      <c r="B9" s="566" t="s">
        <v>41</v>
      </c>
      <c r="C9" s="5">
        <f>-0.06</f>
        <v>-0.06</v>
      </c>
      <c r="D9" s="5">
        <f>0.002</f>
        <v>2E-3</v>
      </c>
      <c r="E9" s="5"/>
      <c r="F9" s="7">
        <v>1</v>
      </c>
      <c r="G9" s="7">
        <v>2</v>
      </c>
      <c r="H9" s="7">
        <v>1</v>
      </c>
      <c r="I9" s="7">
        <v>1</v>
      </c>
      <c r="J9" s="7">
        <v>1</v>
      </c>
      <c r="K9" s="7">
        <f>IF(ImportQuestion!$F$7="AF",H9,IF(ImportQuestion!$F$7="AS",calculRISKS!I9,1))</f>
        <v>1</v>
      </c>
      <c r="L9" s="7">
        <v>1</v>
      </c>
      <c r="M9" s="7">
        <v>1</v>
      </c>
      <c r="N9" s="4">
        <v>1</v>
      </c>
      <c r="O9" s="4">
        <v>1</v>
      </c>
      <c r="P9" s="109">
        <f>IF(ImportBiologie!H28&gt;10,2,(IF(ImportBiologie!H28=0,1,0)))</f>
        <v>1</v>
      </c>
      <c r="Q9" s="31">
        <f t="shared" si="1"/>
        <v>8.0000000000000016E-2</v>
      </c>
      <c r="R9" s="110">
        <f t="shared" si="2"/>
        <v>7.0000000000000007E-2</v>
      </c>
      <c r="S9" s="31">
        <f>N9*O9*P9*R9*L9</f>
        <v>7.0000000000000007E-2</v>
      </c>
      <c r="T9" s="31">
        <f t="shared" si="5"/>
        <v>7.0000000000000007E-2</v>
      </c>
      <c r="U9" s="31">
        <f t="shared" si="3"/>
        <v>8.0000000000000016E-2</v>
      </c>
      <c r="V9" s="110">
        <f>(MAX(($N9*$O9*$U9*$L9),S9))</f>
        <v>8.0000000000000016E-2</v>
      </c>
      <c r="W9" s="31">
        <f>$N9*$U9*AG10</f>
        <v>8.0000000000000016E-2</v>
      </c>
      <c r="X9" s="146">
        <f t="shared" si="4"/>
        <v>1</v>
      </c>
      <c r="Y9" s="16" t="str">
        <f>ImportQuestion!I24</f>
        <v>Autres</v>
      </c>
      <c r="Z9" s="16">
        <f>ImportQuestion!J24</f>
        <v>1</v>
      </c>
      <c r="AA9" s="16">
        <f>ImportQuestion!K24</f>
        <v>1</v>
      </c>
      <c r="AB9" s="16">
        <f>ImportQuestion!L24</f>
        <v>1</v>
      </c>
      <c r="AC9" s="16">
        <f>ImportQuestion!M24</f>
        <v>1</v>
      </c>
      <c r="AD9" s="16">
        <f>IF(SIMULATEUR!L8="Y",0.8,ImportQuestion!N24)</f>
        <v>1</v>
      </c>
      <c r="AE9" s="16">
        <f>ImportQuestion!O24</f>
        <v>1</v>
      </c>
      <c r="AF9" s="16">
        <f>ImportQuestion!P24</f>
        <v>1</v>
      </c>
      <c r="AG9" s="16">
        <f>ImportQuestion!Q24</f>
        <v>1</v>
      </c>
      <c r="AH9" s="16">
        <f>ImportQuestion!R24</f>
        <v>1</v>
      </c>
      <c r="AI9" s="16">
        <f>ImportQuestion!S24</f>
        <v>1</v>
      </c>
      <c r="AJ9" s="16">
        <f>ImportQuestion!T24</f>
        <v>1</v>
      </c>
      <c r="AK9" s="16">
        <f>ImportQuestion!U24</f>
        <v>1</v>
      </c>
      <c r="AL9" s="16">
        <f>ImportQuestion!V24</f>
        <v>1</v>
      </c>
      <c r="AM9" s="16">
        <f>ImportQuestion!W24</f>
        <v>1.2</v>
      </c>
      <c r="AN9" s="16">
        <f>ImportQuestion!X24</f>
        <v>1.2</v>
      </c>
      <c r="AO9" s="16">
        <f>ImportQuestion!Y24</f>
        <v>1</v>
      </c>
      <c r="AP9" s="16">
        <f>ImportQuestion!Z24</f>
        <v>1</v>
      </c>
      <c r="AQ9" s="25">
        <f>ImportQuestion!AA24</f>
        <v>1</v>
      </c>
      <c r="AR9" s="25">
        <f>ImportQuestion!AB24</f>
        <v>1</v>
      </c>
      <c r="AS9" s="25">
        <f>ImportQuestion!AC24</f>
        <v>1</v>
      </c>
      <c r="AT9" s="25">
        <f>ImportQuestion!AD24</f>
        <v>1</v>
      </c>
      <c r="AU9" s="25">
        <f>ImportQuestion!AE24</f>
        <v>1</v>
      </c>
    </row>
    <row r="10" spans="1:47">
      <c r="A10" s="139">
        <f>ImportQuestion!$F$6</f>
        <v>65</v>
      </c>
      <c r="B10" s="569" t="s">
        <v>42</v>
      </c>
      <c r="C10" s="6">
        <v>-0.4</v>
      </c>
      <c r="D10" s="6">
        <v>0.01</v>
      </c>
      <c r="E10" s="6"/>
      <c r="F10" s="7">
        <v>1</v>
      </c>
      <c r="G10" s="7">
        <v>0.8</v>
      </c>
      <c r="H10" s="7">
        <v>1</v>
      </c>
      <c r="I10" s="7">
        <v>1</v>
      </c>
      <c r="J10" s="7">
        <v>1</v>
      </c>
      <c r="K10" s="7">
        <f>IF(ImportQuestion!$F$7="AF",H10,IF(ImportQuestion!$F$7="AS",calculRISKS!I10,1))</f>
        <v>1</v>
      </c>
      <c r="L10" s="109">
        <f>IF(ImportQuestion!F98="Y",0,1)</f>
        <v>0</v>
      </c>
      <c r="M10" s="7">
        <v>1</v>
      </c>
      <c r="N10" s="4">
        <f>ImportQuestion!N$150</f>
        <v>0.9</v>
      </c>
      <c r="O10" s="12">
        <f>ImportQuestion!R25</f>
        <v>1</v>
      </c>
      <c r="P10" s="12">
        <f>ImportBiologie!H33</f>
        <v>1.2</v>
      </c>
      <c r="Q10" s="31">
        <f t="shared" si="1"/>
        <v>0.30000000000000004</v>
      </c>
      <c r="R10" s="110">
        <f t="shared" si="2"/>
        <v>0.25</v>
      </c>
      <c r="S10" s="110">
        <f>MAX((N10*O10*P10*R10),IF(L10=0,1,0))</f>
        <v>1</v>
      </c>
      <c r="T10" s="31">
        <f t="shared" si="5"/>
        <v>0.25</v>
      </c>
      <c r="U10" s="31">
        <f t="shared" si="3"/>
        <v>0.30000000000000004</v>
      </c>
      <c r="V10" s="110">
        <f>MAX(($N10*$O10*$U10*$L10),S10)</f>
        <v>1</v>
      </c>
      <c r="W10" s="110">
        <f>IF(L10=0,1,($N10*$U10*AH10))</f>
        <v>1</v>
      </c>
      <c r="X10" s="146">
        <f t="shared" si="4"/>
        <v>0</v>
      </c>
      <c r="Y10" s="36" t="str">
        <f>ImportQuestion!I25</f>
        <v>MAX</v>
      </c>
      <c r="Z10" s="36">
        <f>Z3*Z4*Z5*Z6*Z7*Z8*Z9</f>
        <v>1</v>
      </c>
      <c r="AA10" s="36">
        <f t="shared" ref="AA10:AT10" si="6">AA3*AA4*AA5*AA6*AA7*AA8*AA9</f>
        <v>1</v>
      </c>
      <c r="AB10" s="36">
        <f t="shared" si="6"/>
        <v>1.2</v>
      </c>
      <c r="AC10" s="36">
        <f t="shared" si="6"/>
        <v>0.8</v>
      </c>
      <c r="AD10" s="36">
        <f t="shared" si="6"/>
        <v>1.2</v>
      </c>
      <c r="AE10" s="36">
        <f t="shared" si="6"/>
        <v>1.08</v>
      </c>
      <c r="AF10" s="36">
        <f t="shared" si="6"/>
        <v>0.96</v>
      </c>
      <c r="AG10" s="36">
        <f t="shared" si="6"/>
        <v>1</v>
      </c>
      <c r="AH10" s="36">
        <f t="shared" si="6"/>
        <v>0.8</v>
      </c>
      <c r="AI10" s="36">
        <f t="shared" si="6"/>
        <v>0.8</v>
      </c>
      <c r="AJ10" s="36">
        <f t="shared" si="6"/>
        <v>0.8</v>
      </c>
      <c r="AK10" s="36">
        <f t="shared" si="6"/>
        <v>1.2</v>
      </c>
      <c r="AL10" s="36">
        <f t="shared" si="6"/>
        <v>1.2</v>
      </c>
      <c r="AM10" s="36">
        <f t="shared" si="6"/>
        <v>1.1519999999999999</v>
      </c>
      <c r="AN10" s="36">
        <f t="shared" si="6"/>
        <v>1.1519999999999999</v>
      </c>
      <c r="AO10" s="36">
        <f t="shared" si="6"/>
        <v>20</v>
      </c>
      <c r="AP10" s="36">
        <f t="shared" si="6"/>
        <v>25</v>
      </c>
      <c r="AQ10" s="36">
        <f t="shared" si="6"/>
        <v>1.2</v>
      </c>
      <c r="AR10" s="36">
        <f t="shared" si="6"/>
        <v>1</v>
      </c>
      <c r="AS10" s="36">
        <f t="shared" si="6"/>
        <v>1</v>
      </c>
      <c r="AT10" s="36">
        <f t="shared" si="6"/>
        <v>1.44</v>
      </c>
      <c r="AU10" s="36">
        <f t="shared" ref="AU10" si="7">AU3*AU4*AU5*AU6*AU7*AU8*AU9</f>
        <v>20</v>
      </c>
    </row>
    <row r="11" spans="1:47">
      <c r="A11" s="139">
        <f>ImportQuestion!$F$6</f>
        <v>65</v>
      </c>
      <c r="B11" s="566" t="s">
        <v>43</v>
      </c>
      <c r="C11" s="6">
        <v>-3.6142857142856602E-2</v>
      </c>
      <c r="D11" s="6">
        <f>0.00117857142857141</f>
        <v>1.1785714285714099E-3</v>
      </c>
      <c r="E11" s="6">
        <f>-3.57142857142841E-06</f>
        <v>-3.57142857142841E-6</v>
      </c>
      <c r="F11" s="7">
        <v>1</v>
      </c>
      <c r="G11" s="7">
        <v>0.94</v>
      </c>
      <c r="H11" s="7">
        <v>1.3</v>
      </c>
      <c r="I11" s="7">
        <v>1</v>
      </c>
      <c r="J11" s="7">
        <v>1</v>
      </c>
      <c r="K11" s="7">
        <f>IF(ImportQuestion!$F$7="AF",H11,IF(ImportQuestion!$F$7="AS",calculRISKS!I11,1))</f>
        <v>1</v>
      </c>
      <c r="L11" s="109">
        <f>IF(ImportQuestion!F95="Y",0,1)</f>
        <v>1</v>
      </c>
      <c r="M11" s="7">
        <v>1</v>
      </c>
      <c r="N11" s="4">
        <f>ImportQuestion!O$150</f>
        <v>0.9</v>
      </c>
      <c r="O11" s="4">
        <f>ImportQuestion!S25</f>
        <v>1</v>
      </c>
      <c r="P11" s="12">
        <f>ImportBiologie!H34</f>
        <v>1</v>
      </c>
      <c r="Q11" s="31">
        <f t="shared" si="1"/>
        <v>2.8857142857142887E-2</v>
      </c>
      <c r="R11" s="110">
        <f t="shared" si="2"/>
        <v>2.5375000000000002E-2</v>
      </c>
      <c r="S11" s="110">
        <f>MAX((N11*O11*P11*R11),(IF(L11=0,1,0)))</f>
        <v>2.2837500000000004E-2</v>
      </c>
      <c r="T11" s="31">
        <f t="shared" si="5"/>
        <v>2.5375000000000002E-2</v>
      </c>
      <c r="U11" s="31">
        <f t="shared" si="3"/>
        <v>2.8857142857142887E-2</v>
      </c>
      <c r="V11" s="110">
        <f>MAX(($N11*$O11*$U11*$L11),S11)</f>
        <v>2.59714285714286E-2</v>
      </c>
      <c r="W11" s="110">
        <f>IF($L11=0,1,($N11*$U11*AI10))</f>
        <v>2.0777142857142883E-2</v>
      </c>
      <c r="X11" s="146">
        <f t="shared" si="4"/>
        <v>0.9</v>
      </c>
    </row>
    <row r="12" spans="1:47">
      <c r="A12" s="139">
        <f>ImportQuestion!$F$6</f>
        <v>65</v>
      </c>
      <c r="B12" s="566" t="s">
        <v>44</v>
      </c>
      <c r="C12" s="6">
        <v>-7.0714285714284397E-2</v>
      </c>
      <c r="D12" s="6">
        <f>0.0048928571428571</f>
        <v>4.8928571428570999E-3</v>
      </c>
      <c r="E12" s="6">
        <f>-0.0000178571428571425</f>
        <v>-1.7857142857142499E-5</v>
      </c>
      <c r="F12" s="7">
        <v>1</v>
      </c>
      <c r="G12" s="7">
        <v>1</v>
      </c>
      <c r="H12" s="7">
        <v>1.5</v>
      </c>
      <c r="I12" s="7">
        <v>1</v>
      </c>
      <c r="J12" s="7">
        <v>1</v>
      </c>
      <c r="K12" s="7">
        <f>IF(ImportQuestion!$F$7="AF",H12,IF(ImportQuestion!$F$7="AS",calculRISKS!I12,1))</f>
        <v>1</v>
      </c>
      <c r="L12" s="4">
        <v>1</v>
      </c>
      <c r="M12" s="7">
        <v>1</v>
      </c>
      <c r="N12" s="4">
        <v>1</v>
      </c>
      <c r="O12" s="4">
        <v>1</v>
      </c>
      <c r="P12" s="12">
        <f>IF(ImportBiologie!H38&lt;3,0.5,(IF(ImportBiologie!H38&gt;4,2,1.5)))</f>
        <v>0.5</v>
      </c>
      <c r="Q12" s="31">
        <f t="shared" si="1"/>
        <v>0.18428571428571433</v>
      </c>
      <c r="R12" s="110">
        <f t="shared" si="2"/>
        <v>0.17187500000000003</v>
      </c>
      <c r="S12" s="31">
        <f t="shared" ref="S12" si="8">N12*O12*P12*R12*L12</f>
        <v>8.5937500000000014E-2</v>
      </c>
      <c r="T12" s="31">
        <f t="shared" si="5"/>
        <v>0.17187500000000003</v>
      </c>
      <c r="U12" s="31">
        <f t="shared" si="3"/>
        <v>0.18428571428571433</v>
      </c>
      <c r="V12" s="110">
        <f>MAX(($N12*$O12*$U12*$L12*P12),S12)</f>
        <v>9.2142857142857165E-2</v>
      </c>
      <c r="W12" s="31">
        <f>MIN($N12*$U12*P12*AJ10,V12)</f>
        <v>7.3714285714285732E-2</v>
      </c>
      <c r="X12" s="146">
        <f t="shared" si="4"/>
        <v>1</v>
      </c>
    </row>
    <row r="13" spans="1:47">
      <c r="A13" s="139">
        <f>ImportQuestion!$F$6</f>
        <v>65</v>
      </c>
      <c r="B13" s="566" t="s">
        <v>45</v>
      </c>
      <c r="C13" s="5">
        <v>0.02</v>
      </c>
      <c r="D13" s="5"/>
      <c r="E13" s="5"/>
      <c r="F13" s="7">
        <v>1</v>
      </c>
      <c r="G13" s="7">
        <v>1.2</v>
      </c>
      <c r="H13" s="7">
        <v>1</v>
      </c>
      <c r="I13" s="7">
        <v>1</v>
      </c>
      <c r="J13" s="7">
        <v>1</v>
      </c>
      <c r="K13" s="7">
        <f>IF(ImportQuestion!$F$7="AF",H13,IF(ImportQuestion!$F$7="AS",calculRISKS!I13,1))</f>
        <v>1</v>
      </c>
      <c r="L13" s="109">
        <f>IF(ImportQuestion!H47="Y",0,1)</f>
        <v>1</v>
      </c>
      <c r="M13" s="7">
        <v>1</v>
      </c>
      <c r="N13" s="4">
        <f>ImportQuestion!P$150</f>
        <v>0.9</v>
      </c>
      <c r="O13" s="4">
        <f>ImportQuestion!U25</f>
        <v>1.2</v>
      </c>
      <c r="P13" s="4">
        <f>IF(ImportQuestion!H53="N",1,1.2)</f>
        <v>1</v>
      </c>
      <c r="Q13" s="31">
        <f t="shared" si="1"/>
        <v>0.02</v>
      </c>
      <c r="R13" s="110">
        <f t="shared" si="2"/>
        <v>0.02</v>
      </c>
      <c r="S13" s="110">
        <f>MAX((N13*O13*P13*R13),(IF(L13=0,1,0)))</f>
        <v>2.1600000000000001E-2</v>
      </c>
      <c r="T13" s="31">
        <f t="shared" si="5"/>
        <v>0.02</v>
      </c>
      <c r="U13" s="31">
        <f t="shared" si="3"/>
        <v>0.02</v>
      </c>
      <c r="V13" s="110">
        <f>MAX(($N13*$O13*$U13*$L13),S13)</f>
        <v>2.1600000000000001E-2</v>
      </c>
      <c r="W13" s="110">
        <f>IF(L13=0,1,($N13*$U13*AK10))</f>
        <v>2.1600000000000001E-2</v>
      </c>
      <c r="X13" s="146">
        <f t="shared" si="4"/>
        <v>1.08</v>
      </c>
    </row>
    <row r="14" spans="1:47">
      <c r="A14" s="139">
        <f>ImportQuestion!$F$6</f>
        <v>65</v>
      </c>
      <c r="B14" s="566" t="s">
        <v>46</v>
      </c>
      <c r="C14" s="5">
        <v>0.04</v>
      </c>
      <c r="D14" s="5"/>
      <c r="E14" s="5"/>
      <c r="F14" s="7">
        <v>1</v>
      </c>
      <c r="G14" s="7">
        <v>0.4</v>
      </c>
      <c r="H14" s="7">
        <v>0.3</v>
      </c>
      <c r="I14" s="7">
        <v>0.3</v>
      </c>
      <c r="J14" s="7">
        <v>1</v>
      </c>
      <c r="K14" s="7">
        <f>IF(ImportQuestion!$F$7="AF",H14,IF(ImportQuestion!$F$7="AS",calculRISKS!I14,1))</f>
        <v>1</v>
      </c>
      <c r="L14" s="109">
        <f>IF(ImportQuestion!H35="Y",0,1)</f>
        <v>1</v>
      </c>
      <c r="M14" s="7">
        <v>1</v>
      </c>
      <c r="N14" s="4">
        <f>ImportQuestion!Q$150</f>
        <v>0.9</v>
      </c>
      <c r="O14" s="4">
        <f>ImportQuestion!V25</f>
        <v>1.2</v>
      </c>
      <c r="P14" s="4">
        <v>1</v>
      </c>
      <c r="Q14" s="31">
        <f t="shared" si="1"/>
        <v>0.04</v>
      </c>
      <c r="R14" s="110">
        <f t="shared" si="2"/>
        <v>0.04</v>
      </c>
      <c r="S14" s="110">
        <f>MAX((N14*O14*P14*R14),(IF(L14=0,1,0)))</f>
        <v>4.3200000000000002E-2</v>
      </c>
      <c r="T14" s="31">
        <f t="shared" si="5"/>
        <v>0.04</v>
      </c>
      <c r="U14" s="31">
        <f t="shared" si="3"/>
        <v>0.04</v>
      </c>
      <c r="V14" s="110">
        <f>(MAX(($N14*$O14*$U14*$L14),S14))</f>
        <v>4.3200000000000002E-2</v>
      </c>
      <c r="W14" s="110">
        <f>IF(L14=0,1,($N14*$U14*AL10))</f>
        <v>4.3200000000000002E-2</v>
      </c>
      <c r="X14" s="146">
        <f t="shared" si="4"/>
        <v>1.08</v>
      </c>
    </row>
    <row r="15" spans="1:47">
      <c r="A15" s="139">
        <f>ImportQuestion!$F$6</f>
        <v>65</v>
      </c>
      <c r="B15" s="566" t="s">
        <v>47</v>
      </c>
      <c r="C15" s="5">
        <v>9.4515746493517599E-2</v>
      </c>
      <c r="D15" s="5">
        <v>-4.6575542823482597E-3</v>
      </c>
      <c r="E15" s="5">
        <v>6.4542448496534202E-5</v>
      </c>
      <c r="F15" s="7">
        <v>1</v>
      </c>
      <c r="G15" s="7">
        <v>0.95</v>
      </c>
      <c r="H15" s="7">
        <v>1</v>
      </c>
      <c r="I15" s="7">
        <v>1</v>
      </c>
      <c r="J15" s="7">
        <v>1</v>
      </c>
      <c r="K15" s="7">
        <f>IF(ImportQuestion!$F$7="AF",H15,IF(ImportQuestion!$F$7="AS",calculRISKS!I15,1))</f>
        <v>1</v>
      </c>
      <c r="L15" s="109">
        <f>IF(ImportQuestion!H41="Y",0,1)</f>
        <v>1</v>
      </c>
      <c r="M15" s="7">
        <v>1</v>
      </c>
      <c r="N15" s="4">
        <f>ImportQuestion!R$150</f>
        <v>0.9</v>
      </c>
      <c r="O15" s="4">
        <f>ImportQuestion!W25</f>
        <v>1.44</v>
      </c>
      <c r="P15" s="4">
        <f>P16/3</f>
        <v>6.0515773879999991E-2</v>
      </c>
      <c r="Q15" s="31">
        <f t="shared" si="1"/>
        <v>8.4744944362156988E-2</v>
      </c>
      <c r="R15" s="110">
        <f t="shared" si="2"/>
        <v>6.446656303873774E-2</v>
      </c>
      <c r="S15" s="110">
        <f>MAX((S16/3),(IF(L15=0,1,0)))</f>
        <v>6.0515773879999991E-2</v>
      </c>
      <c r="T15" s="31">
        <f t="shared" si="5"/>
        <v>6.446656303873774E-2</v>
      </c>
      <c r="U15" s="31">
        <f t="shared" si="3"/>
        <v>8.4744944362156988E-2</v>
      </c>
      <c r="V15" s="110">
        <f>MAX(($V16/3),S15)</f>
        <v>6.4372440546666659E-2</v>
      </c>
      <c r="W15" s="110">
        <f>IF(L15=0,1,($V16/3))</f>
        <v>6.4372440546666659E-2</v>
      </c>
      <c r="X15" s="146">
        <f t="shared" si="4"/>
        <v>1.296</v>
      </c>
    </row>
    <row r="16" spans="1:47">
      <c r="A16" s="139">
        <f>ImportQuestion!$F$6</f>
        <v>65</v>
      </c>
      <c r="B16" s="566" t="s">
        <v>48</v>
      </c>
      <c r="C16" s="5"/>
      <c r="D16" s="5"/>
      <c r="E16" s="5"/>
      <c r="F16" s="7">
        <v>1</v>
      </c>
      <c r="G16" s="7">
        <v>0.5</v>
      </c>
      <c r="H16" s="7">
        <v>1</v>
      </c>
      <c r="I16" s="7">
        <v>1</v>
      </c>
      <c r="J16" s="7">
        <v>1</v>
      </c>
      <c r="K16" s="7">
        <f>IF(ImportQuestion!$F$7="AF",H16,IF(ImportQuestion!$F$7="AS",calculRISKS!I16,1))</f>
        <v>1</v>
      </c>
      <c r="L16" s="109">
        <f>IF(ImportQuestion!H41="Y",0,1)</f>
        <v>1</v>
      </c>
      <c r="M16" s="7">
        <f>IF(ImportQuestion!H71="Y",0.8,1)</f>
        <v>1</v>
      </c>
      <c r="N16" s="4">
        <f>MAX(ImportQuestion!S$150,IF(ImportBiologie!H10&gt;0.3,1.2,1))</f>
        <v>1</v>
      </c>
      <c r="O16" s="4">
        <f>ImportQuestion!X25</f>
        <v>1.44</v>
      </c>
      <c r="P16" s="4">
        <f>ImportBiologie!H31</f>
        <v>0.18154732163999998</v>
      </c>
      <c r="Q16" s="31">
        <f>(($C16+($D16*($A16+5))+(($E16*(($A16+5)^2))))*$J16*$K16)+$R16</f>
        <v>0.12590909090909078</v>
      </c>
      <c r="R16" s="110">
        <f t="shared" si="2"/>
        <v>0.12590909090909078</v>
      </c>
      <c r="S16" s="110">
        <f>MAX((P16*N16),(IF(L16=0,1,0)))</f>
        <v>0.18154732163999998</v>
      </c>
      <c r="T16" s="31">
        <f xml:space="preserve"> (-0.154969696969697+0.00432121212121212*$A16)*$J16*$K16</f>
        <v>0.12590909090909078</v>
      </c>
      <c r="U16" s="31">
        <f t="shared" si="3"/>
        <v>0.12590909090909078</v>
      </c>
      <c r="V16" s="110">
        <f>MAX((ImportBiologie!J31*N16),S16)</f>
        <v>0.19311732163999998</v>
      </c>
      <c r="W16" s="110">
        <f>IF(L16=0,1,(V16*AN10))</f>
        <v>0.22247115452927996</v>
      </c>
      <c r="X16" s="146">
        <f t="shared" si="4"/>
        <v>1.44</v>
      </c>
    </row>
    <row r="17" spans="1:24">
      <c r="A17" s="139">
        <f>ImportQuestion!$F$6</f>
        <v>65</v>
      </c>
      <c r="B17" s="567" t="s">
        <v>896</v>
      </c>
      <c r="C17" s="5">
        <v>9.1456090629207995E-2</v>
      </c>
      <c r="D17" s="5">
        <f>-0.00368968864614031</f>
        <v>-3.6896886461403101E-3</v>
      </c>
      <c r="E17" s="5">
        <f>0.0000367445520814403</f>
        <v>3.6744552081440303E-5</v>
      </c>
      <c r="F17" s="7">
        <v>1</v>
      </c>
      <c r="G17" s="7">
        <v>0.68</v>
      </c>
      <c r="H17" s="7">
        <v>1</v>
      </c>
      <c r="I17" s="7">
        <v>1</v>
      </c>
      <c r="J17" s="7">
        <v>1</v>
      </c>
      <c r="K17" s="7">
        <f>IF(ImportQuestion!$F$7="AF",H17,IF(ImportQuestion!$F$7="AS",calculRISKS!I17,1))</f>
        <v>1</v>
      </c>
      <c r="L17" s="109">
        <f>IF(ImportQuestion!H23="Y",0,1)</f>
        <v>1</v>
      </c>
      <c r="M17" s="7">
        <f>IF(ImportQuestion!H59="Y",0.8,1)</f>
        <v>1</v>
      </c>
      <c r="N17" s="4">
        <v>1</v>
      </c>
      <c r="O17" s="4">
        <f>ImportQuestion!Y25</f>
        <v>20</v>
      </c>
      <c r="P17" s="4">
        <v>1</v>
      </c>
      <c r="Q17" s="31">
        <f t="shared" si="1"/>
        <v>1.3226190598443793E-2</v>
      </c>
      <c r="R17" s="110">
        <f t="shared" si="2"/>
        <v>6.872061174173133E-3</v>
      </c>
      <c r="S17" s="110">
        <f>(MAX((N17*O17*P17*R17),(IF(L17=0,1,0))))/10</f>
        <v>1.3744122348346266E-2</v>
      </c>
      <c r="T17" s="31">
        <f t="shared" si="5"/>
        <v>6.872061174173133E-3</v>
      </c>
      <c r="U17" s="31">
        <f t="shared" si="3"/>
        <v>1.3226190598443793E-2</v>
      </c>
      <c r="V17" s="110">
        <f>(MAX(($N17*$O17*$U17*$L17),S17))/10</f>
        <v>2.6452381196887587E-2</v>
      </c>
      <c r="W17" s="110">
        <f>(IF(L17=0,1,($N17*$U17*AO10)))/10</f>
        <v>2.6452381196887587E-2</v>
      </c>
      <c r="X17" s="146">
        <f t="shared" si="4"/>
        <v>20</v>
      </c>
    </row>
    <row r="18" spans="1:24">
      <c r="A18" s="139">
        <f>ImportQuestion!$F$6</f>
        <v>65</v>
      </c>
      <c r="B18" s="567" t="s">
        <v>897</v>
      </c>
      <c r="C18" s="5">
        <v>-2.7423955339312398E-3</v>
      </c>
      <c r="D18" s="5">
        <f>-0.000200376142790573</f>
        <v>-2.0037614279057301E-4</v>
      </c>
      <c r="E18" s="5">
        <f>7.72972860283012E-06</f>
        <v>7.7297286028301195E-6</v>
      </c>
      <c r="F18" s="7">
        <v>1</v>
      </c>
      <c r="G18" s="7">
        <v>0.27</v>
      </c>
      <c r="H18" s="7">
        <v>1</v>
      </c>
      <c r="I18" s="7">
        <v>1</v>
      </c>
      <c r="J18" s="7">
        <v>1</v>
      </c>
      <c r="K18" s="7">
        <f>IF(ImportQuestion!$F$7="AF",H18,IF(ImportQuestion!$F$7="AS",calculRISKS!I18,1))</f>
        <v>1</v>
      </c>
      <c r="L18" s="109">
        <f>IF(ImportQuestion!H29="Y",0,1)</f>
        <v>1</v>
      </c>
      <c r="M18" s="7">
        <v>1</v>
      </c>
      <c r="N18" s="4">
        <v>1</v>
      </c>
      <c r="O18" s="4">
        <f>ImportQuestion!Z25</f>
        <v>25</v>
      </c>
      <c r="P18" s="4">
        <v>1</v>
      </c>
      <c r="Q18" s="31">
        <f t="shared" si="1"/>
        <v>2.1106944624596235E-2</v>
      </c>
      <c r="R18" s="110">
        <f t="shared" si="2"/>
        <v>1.689125853163877E-2</v>
      </c>
      <c r="S18" s="110">
        <f>(MAX((N18*O18*P18*R18),(IF(L18=0,1,0))))/10</f>
        <v>4.2228146329096924E-2</v>
      </c>
      <c r="T18" s="31">
        <f t="shared" si="5"/>
        <v>1.689125853163877E-2</v>
      </c>
      <c r="U18" s="31">
        <f t="shared" si="3"/>
        <v>2.1106944624596235E-2</v>
      </c>
      <c r="V18" s="110">
        <f>(MAX(($N18*$O18*$P18*$U18*$L18),S18))/10</f>
        <v>5.2767361561490589E-2</v>
      </c>
      <c r="W18" s="110">
        <f>IF(L18=0,1,($N18*$P18*$U18*AP10))</f>
        <v>0.52767361561490589</v>
      </c>
      <c r="X18" s="146">
        <f t="shared" si="4"/>
        <v>25</v>
      </c>
    </row>
    <row r="19" spans="1:24">
      <c r="A19" s="139">
        <f>ImportQuestion!$F$6</f>
        <v>65</v>
      </c>
      <c r="B19" s="566" t="s">
        <v>51</v>
      </c>
      <c r="C19" s="5">
        <v>0.06</v>
      </c>
      <c r="D19" s="5"/>
      <c r="E19" s="5"/>
      <c r="F19" s="13">
        <v>1</v>
      </c>
      <c r="G19" s="7">
        <v>1.1000000000000001</v>
      </c>
      <c r="H19" s="7">
        <v>1</v>
      </c>
      <c r="I19" s="7">
        <v>1</v>
      </c>
      <c r="J19" s="7">
        <v>1</v>
      </c>
      <c r="K19" s="7">
        <f>IF(ImportQuestion!$F$7="AF",H19,IF(ImportQuestion!$F$7="AS",calculRISKS!I19,1))</f>
        <v>1</v>
      </c>
      <c r="L19" s="7">
        <f>IF(ImportQuestion!H50="Y",0,1)</f>
        <v>1</v>
      </c>
      <c r="M19" s="7">
        <v>1</v>
      </c>
      <c r="N19" s="4">
        <f>ImportQuestion!T$150</f>
        <v>0.9</v>
      </c>
      <c r="O19" s="4">
        <f>ImportQuestion!AA25</f>
        <v>1.2</v>
      </c>
      <c r="P19" s="4">
        <v>1</v>
      </c>
      <c r="Q19" s="31">
        <f t="shared" si="1"/>
        <v>0.06</v>
      </c>
      <c r="R19" s="110">
        <f t="shared" si="2"/>
        <v>0.06</v>
      </c>
      <c r="S19" s="31">
        <f t="shared" ref="S19:S21" si="9">MAX((N19*O19*P19*R19),(IF(L19=0,1,0)))</f>
        <v>6.4799999999999996E-2</v>
      </c>
      <c r="T19" s="31">
        <f t="shared" si="5"/>
        <v>0.06</v>
      </c>
      <c r="U19" s="31">
        <f t="shared" si="3"/>
        <v>0.06</v>
      </c>
      <c r="V19" s="110">
        <f>MAX(($N19*$O19*$U19*$L19),S19)</f>
        <v>6.4799999999999996E-2</v>
      </c>
      <c r="W19" s="110">
        <f>IF(L19=0,1,($N19*$U19*AQ10))</f>
        <v>6.4799999999999996E-2</v>
      </c>
      <c r="X19" s="146">
        <f t="shared" si="4"/>
        <v>1.08</v>
      </c>
    </row>
    <row r="20" spans="1:24">
      <c r="A20" s="139">
        <f>ImportQuestion!$F$6</f>
        <v>65</v>
      </c>
      <c r="B20" s="567" t="s">
        <v>902</v>
      </c>
      <c r="C20" s="5">
        <v>1.6220396466750199E-2</v>
      </c>
      <c r="D20" s="5">
        <f>-0.000493949673365258</f>
        <v>-4.9394967336525801E-4</v>
      </c>
      <c r="E20" s="5">
        <f>4.35923721975401E-06</f>
        <v>4.3592372197540102E-6</v>
      </c>
      <c r="F20" s="7">
        <v>1</v>
      </c>
      <c r="G20" s="7">
        <v>1</v>
      </c>
      <c r="H20" s="7">
        <v>1</v>
      </c>
      <c r="I20" s="7">
        <v>1</v>
      </c>
      <c r="J20" s="7">
        <v>1</v>
      </c>
      <c r="K20" s="7">
        <f>IF(ImportQuestion!$F$7="AF",H20,IF(ImportQuestion!$F$7="AS",calculRISKS!I20,1))</f>
        <v>1</v>
      </c>
      <c r="L20" s="109">
        <f>IF(ImportQuestion!H20="Y",0,1)</f>
        <v>1</v>
      </c>
      <c r="M20" s="7">
        <v>1</v>
      </c>
      <c r="N20" s="4">
        <f>ImportQuestion!U$150</f>
        <v>0.9</v>
      </c>
      <c r="O20" s="4">
        <f>ImportQuestion!AB25</f>
        <v>1</v>
      </c>
      <c r="P20" s="4">
        <v>1</v>
      </c>
      <c r="Q20" s="31">
        <f t="shared" si="1"/>
        <v>3.0041817079767899E-3</v>
      </c>
      <c r="R20" s="110">
        <f t="shared" si="2"/>
        <v>2.5314449514691195E-3</v>
      </c>
      <c r="S20" s="110">
        <f t="shared" si="9"/>
        <v>2.2783004563222075E-3</v>
      </c>
      <c r="T20" s="31">
        <f t="shared" si="5"/>
        <v>2.5314449514691195E-3</v>
      </c>
      <c r="U20" s="31">
        <f t="shared" si="3"/>
        <v>3.0041817079767899E-3</v>
      </c>
      <c r="V20" s="110">
        <f>MAX(($N20*$O20*$U20*$L20),S20)</f>
        <v>2.7037635371791112E-3</v>
      </c>
      <c r="W20" s="110">
        <f>IF(L20=0,1,($N20*$U20*AR10))</f>
        <v>2.7037635371791112E-3</v>
      </c>
      <c r="X20" s="146">
        <f t="shared" si="4"/>
        <v>0.9</v>
      </c>
    </row>
    <row r="21" spans="1:24">
      <c r="A21" s="139">
        <f>ImportQuestion!$F$6</f>
        <v>65</v>
      </c>
      <c r="B21" s="570" t="s">
        <v>1690</v>
      </c>
      <c r="C21" s="5">
        <v>4.50002597402595E-2</v>
      </c>
      <c r="D21" s="5">
        <f>-0.00273747186147185</f>
        <v>-2.73747186147185E-3</v>
      </c>
      <c r="E21" s="5">
        <v>4.1290043290043201E-5</v>
      </c>
      <c r="F21" s="7">
        <v>0.01</v>
      </c>
      <c r="G21" s="7">
        <v>1</v>
      </c>
      <c r="H21" s="7">
        <v>0.8</v>
      </c>
      <c r="I21" s="7">
        <v>0.6</v>
      </c>
      <c r="J21" s="7">
        <f>IF(ImportQuestion!$F$3="H",0.01,1)</f>
        <v>1</v>
      </c>
      <c r="K21" s="7">
        <f>IF(ImportQuestion!$F$7="AF",H21,IF(ImportQuestion!$F$7="AS",calculRISKS!I21,1))</f>
        <v>1</v>
      </c>
      <c r="L21" s="109">
        <f>IF(ImportQuestion!H26="Y",0,1)</f>
        <v>1</v>
      </c>
      <c r="M21" s="7">
        <f>IF(ImportQuestion!H65="Y",0.8,1)</f>
        <v>1</v>
      </c>
      <c r="N21" s="4">
        <f>ImportQuestion!V$150</f>
        <v>0.9</v>
      </c>
      <c r="O21" s="4">
        <f>ImportQuestion!AC25</f>
        <v>1</v>
      </c>
      <c r="P21" s="4">
        <v>1</v>
      </c>
      <c r="Q21" s="31">
        <f t="shared" si="1"/>
        <v>5.5698441558441697E-2</v>
      </c>
      <c r="R21" s="110">
        <f t="shared" si="2"/>
        <v>4.1515021645021771E-2</v>
      </c>
      <c r="S21" s="110">
        <f t="shared" si="9"/>
        <v>3.7363519480519594E-2</v>
      </c>
      <c r="T21" s="31">
        <f t="shared" si="5"/>
        <v>4.1515021645021771E-2</v>
      </c>
      <c r="U21" s="31">
        <f t="shared" si="3"/>
        <v>5.5698441558441697E-2</v>
      </c>
      <c r="V21" s="110">
        <f>MAX(($N21*$O21*$U21*$L21),S21)</f>
        <v>5.0128597402597529E-2</v>
      </c>
      <c r="W21" s="110">
        <f>IF(L21=0,1,($N21*$U21*AS10))</f>
        <v>5.0128597402597529E-2</v>
      </c>
      <c r="X21" s="146">
        <f t="shared" si="4"/>
        <v>0.9</v>
      </c>
    </row>
    <row r="22" spans="1:24">
      <c r="A22" s="139">
        <f>ImportQuestion!$F$6</f>
        <v>65</v>
      </c>
      <c r="B22" s="566" t="s">
        <v>895</v>
      </c>
      <c r="C22" s="109">
        <v>3.6911486561970901E-2</v>
      </c>
      <c r="D22" s="109">
        <f>-0.00157457925283427</f>
        <v>-1.57457925283427E-3</v>
      </c>
      <c r="E22" s="109">
        <f>0.0000167532085580737</f>
        <v>1.6753208558073701E-5</v>
      </c>
      <c r="F22" s="143">
        <v>1</v>
      </c>
      <c r="G22" s="143">
        <v>0.4</v>
      </c>
      <c r="H22" s="144">
        <v>1</v>
      </c>
      <c r="I22" s="144">
        <v>1</v>
      </c>
      <c r="J22" s="144">
        <v>1</v>
      </c>
      <c r="K22" s="7">
        <f>IF(ImportQuestion!$F$7="AF",H22,IF(ImportQuestion!$F$7="AS",calculRISKS!I22,1))</f>
        <v>1</v>
      </c>
      <c r="L22" s="144">
        <v>1</v>
      </c>
      <c r="M22" s="144">
        <v>1</v>
      </c>
      <c r="N22" s="8">
        <f>ImportQuestion!W150</f>
        <v>0.9</v>
      </c>
      <c r="O22" s="8">
        <f>ImportQuestion!AE25</f>
        <v>20</v>
      </c>
      <c r="P22" s="146">
        <f>ImportBiologie!H47</f>
        <v>1</v>
      </c>
      <c r="Q22" s="31">
        <f t="shared" si="1"/>
        <v>8.7816607981331396E-3</v>
      </c>
      <c r="R22" s="110">
        <f t="shared" si="2"/>
        <v>5.3461412856047469E-3</v>
      </c>
      <c r="S22" s="110">
        <f>(MAX((N22*O22*P22*R22),(IF(L22=0,1,0))))/10</f>
        <v>9.623054314088544E-3</v>
      </c>
      <c r="T22" s="31">
        <f t="shared" si="5"/>
        <v>5.3461412856047469E-3</v>
      </c>
      <c r="U22" s="31">
        <f t="shared" si="3"/>
        <v>8.7816607981331396E-3</v>
      </c>
      <c r="V22" s="110">
        <f>(MAX(($N22*$O22*$U22*$L22),S22))/10</f>
        <v>1.5806989436639652E-2</v>
      </c>
      <c r="W22" s="110">
        <f>(IF(L22=0,1,($N22*$U22*AU10)))/10</f>
        <v>1.5806989436639652E-2</v>
      </c>
      <c r="X22" s="146">
        <f t="shared" si="4"/>
        <v>18</v>
      </c>
    </row>
    <row r="23" spans="1:24">
      <c r="B23" s="567" t="s">
        <v>899</v>
      </c>
      <c r="J23" s="7">
        <f>IF(ImportQuestion!$F$3="H",0,1)</f>
        <v>1</v>
      </c>
      <c r="L23" s="109">
        <f>AUTOQUESTIONNAIRE!BF28</f>
        <v>0</v>
      </c>
      <c r="N23" s="8">
        <f>AUTOQUESTIONNAIRE!BF109</f>
        <v>0.9</v>
      </c>
    </row>
    <row r="24" spans="1:24">
      <c r="B24" s="567" t="s">
        <v>900</v>
      </c>
      <c r="J24" s="7">
        <f>IF(ImportQuestion!$F$3="H",0,1)</f>
        <v>1</v>
      </c>
      <c r="N24" s="8">
        <f>AUTOQUESTIONNAIRE!BM109</f>
        <v>0.9</v>
      </c>
    </row>
    <row r="25" spans="1:24">
      <c r="B25" s="567" t="s">
        <v>901</v>
      </c>
      <c r="J25" s="7">
        <f>IF(ImportQuestion!$F$3="H",0,1)</f>
        <v>1</v>
      </c>
      <c r="N25" s="8">
        <v>1</v>
      </c>
    </row>
    <row r="26" spans="1:24">
      <c r="B26" s="567" t="s">
        <v>903</v>
      </c>
      <c r="J26" s="144">
        <v>1</v>
      </c>
      <c r="N26" s="8">
        <v>1</v>
      </c>
    </row>
    <row r="27" spans="1:24" s="274" customFormat="1">
      <c r="A27" s="273"/>
      <c r="B27" s="567" t="s">
        <v>904</v>
      </c>
      <c r="C27" s="275"/>
      <c r="D27" s="275"/>
      <c r="E27" s="275"/>
      <c r="F27" s="276"/>
      <c r="G27" s="276"/>
      <c r="H27" s="277"/>
      <c r="I27" s="277"/>
      <c r="J27" s="144">
        <v>1</v>
      </c>
      <c r="K27" s="277"/>
      <c r="L27" s="277"/>
      <c r="M27" s="277"/>
      <c r="N27" s="8">
        <v>1</v>
      </c>
      <c r="R27" s="278"/>
      <c r="S27" s="279"/>
      <c r="U27" s="278"/>
      <c r="V27" s="278"/>
      <c r="W27" s="279"/>
    </row>
    <row r="28" spans="1:24">
      <c r="B28" s="565" t="s">
        <v>1692</v>
      </c>
      <c r="C28" s="581"/>
      <c r="D28" s="581"/>
      <c r="E28" s="581"/>
      <c r="F28" s="582"/>
      <c r="G28" s="582"/>
      <c r="H28" s="582"/>
      <c r="I28" s="582"/>
      <c r="J28" s="582">
        <v>1</v>
      </c>
      <c r="K28" s="582"/>
      <c r="L28" s="582"/>
      <c r="M28" s="582"/>
      <c r="N28" s="582">
        <v>1</v>
      </c>
      <c r="O28" s="582"/>
      <c r="P28" s="582"/>
      <c r="Q28" s="582"/>
      <c r="R28" s="583"/>
      <c r="S28" s="584"/>
      <c r="T28" s="582"/>
      <c r="U28" s="583"/>
      <c r="V28" s="583"/>
      <c r="W28" s="584"/>
    </row>
    <row r="29" spans="1:24">
      <c r="B29" s="565" t="s">
        <v>907</v>
      </c>
      <c r="J29" s="7">
        <f>IF(ImportQuestion!$F$3="F",0,1)</f>
        <v>0</v>
      </c>
      <c r="N29" s="8">
        <v>1</v>
      </c>
    </row>
    <row r="30" spans="1:24">
      <c r="B30" s="565" t="s">
        <v>799</v>
      </c>
      <c r="J30" s="7">
        <f>IF(ImportQuestion!$F$3="H",0,1)</f>
        <v>1</v>
      </c>
      <c r="N30" s="8">
        <f>AUTOQUESTIONNAIRE!T109</f>
        <v>0.9</v>
      </c>
    </row>
    <row r="31" spans="1:24">
      <c r="B31" s="565" t="s">
        <v>1691</v>
      </c>
      <c r="J31" s="7">
        <f>IF(ImportQuestion!$F$3="H",0,1)</f>
        <v>1</v>
      </c>
      <c r="N31" s="8">
        <f>AUTOQUESTIONNAIRE!U109</f>
        <v>0.9</v>
      </c>
    </row>
    <row r="32" spans="1:24">
      <c r="B32" s="568" t="s">
        <v>909</v>
      </c>
      <c r="J32" s="144">
        <v>1</v>
      </c>
      <c r="N32" s="8">
        <v>1</v>
      </c>
    </row>
    <row r="33" spans="2:23">
      <c r="B33" s="568" t="s">
        <v>910</v>
      </c>
      <c r="J33" s="144">
        <v>1</v>
      </c>
      <c r="N33" s="8">
        <f>AUTOQUESTIONNAIRE!X109</f>
        <v>0.9</v>
      </c>
    </row>
    <row r="34" spans="2:23">
      <c r="B34" s="568" t="s">
        <v>911</v>
      </c>
      <c r="J34" s="144">
        <v>1</v>
      </c>
      <c r="N34" s="8">
        <v>1</v>
      </c>
    </row>
    <row r="35" spans="2:23">
      <c r="B35" s="568" t="s">
        <v>912</v>
      </c>
      <c r="J35" s="144">
        <v>1</v>
      </c>
      <c r="N35" s="8">
        <v>1</v>
      </c>
    </row>
    <row r="36" spans="2:23">
      <c r="B36" s="568" t="s">
        <v>913</v>
      </c>
      <c r="J36" s="144">
        <v>1</v>
      </c>
      <c r="N36" s="8">
        <v>1</v>
      </c>
    </row>
    <row r="37" spans="2:23">
      <c r="B37" s="571" t="s">
        <v>914</v>
      </c>
      <c r="C37" s="581"/>
      <c r="D37" s="581"/>
      <c r="E37" s="581"/>
      <c r="F37" s="582"/>
      <c r="G37" s="582"/>
      <c r="H37" s="582"/>
      <c r="I37" s="582"/>
      <c r="J37" s="582">
        <v>1</v>
      </c>
      <c r="K37" s="582"/>
      <c r="L37" s="582"/>
      <c r="M37" s="582"/>
      <c r="N37" s="582">
        <v>1</v>
      </c>
      <c r="O37" s="582"/>
      <c r="P37" s="582"/>
      <c r="Q37" s="582"/>
      <c r="R37" s="583"/>
      <c r="S37" s="584"/>
      <c r="T37" s="582"/>
      <c r="U37" s="583"/>
      <c r="V37" s="583"/>
      <c r="W37" s="584"/>
    </row>
    <row r="38" spans="2:23">
      <c r="B38" s="571" t="s">
        <v>915</v>
      </c>
      <c r="J38" s="144">
        <v>1</v>
      </c>
      <c r="N38" s="8">
        <f>AUTOQUESTIONNAIRE!AI109</f>
        <v>0.9</v>
      </c>
    </row>
    <row r="39" spans="2:23">
      <c r="B39" s="572" t="s">
        <v>916</v>
      </c>
      <c r="J39" s="144">
        <v>1</v>
      </c>
      <c r="N39" s="8">
        <f>AUTOQUESTIONNAIRE!AJ109</f>
        <v>0.9</v>
      </c>
    </row>
    <row r="40" spans="2:23">
      <c r="B40" s="572" t="s">
        <v>917</v>
      </c>
      <c r="C40" s="581"/>
      <c r="D40" s="581"/>
      <c r="E40" s="581"/>
      <c r="F40" s="582"/>
      <c r="G40" s="582"/>
      <c r="H40" s="582"/>
      <c r="I40" s="582"/>
      <c r="J40" s="582">
        <v>1</v>
      </c>
      <c r="K40" s="582"/>
      <c r="L40" s="582"/>
      <c r="M40" s="582"/>
      <c r="N40" s="582">
        <v>1</v>
      </c>
      <c r="O40" s="582"/>
      <c r="P40" s="582"/>
      <c r="Q40" s="582"/>
      <c r="R40" s="583"/>
      <c r="S40" s="584"/>
      <c r="T40" s="582"/>
      <c r="U40" s="583"/>
      <c r="V40" s="583"/>
      <c r="W40" s="584"/>
    </row>
    <row r="41" spans="2:23">
      <c r="B41" s="572" t="s">
        <v>918</v>
      </c>
      <c r="J41" s="144">
        <v>1</v>
      </c>
      <c r="N41" s="8">
        <f>AUTOQUESTIONNAIRE!AM109</f>
        <v>0.9</v>
      </c>
    </row>
    <row r="42" spans="2:23">
      <c r="B42" s="573" t="s">
        <v>919</v>
      </c>
      <c r="C42" s="581"/>
      <c r="D42" s="581"/>
      <c r="E42" s="581"/>
      <c r="F42" s="582"/>
      <c r="G42" s="582"/>
      <c r="H42" s="582"/>
      <c r="I42" s="582"/>
      <c r="J42" s="582">
        <v>1</v>
      </c>
      <c r="K42" s="582"/>
      <c r="L42" s="582"/>
      <c r="M42" s="582"/>
      <c r="N42" s="582">
        <v>1</v>
      </c>
      <c r="O42" s="582"/>
      <c r="P42" s="582"/>
      <c r="Q42" s="582"/>
      <c r="R42" s="583"/>
      <c r="S42" s="584"/>
      <c r="T42" s="582"/>
      <c r="U42" s="583"/>
      <c r="V42" s="583"/>
      <c r="W42" s="584"/>
    </row>
    <row r="43" spans="2:23">
      <c r="B43" s="573" t="s">
        <v>920</v>
      </c>
      <c r="C43" s="581"/>
      <c r="D43" s="581"/>
      <c r="E43" s="581"/>
      <c r="F43" s="582"/>
      <c r="G43" s="582"/>
      <c r="H43" s="582"/>
      <c r="I43" s="582"/>
      <c r="J43" s="585">
        <f>IF(ImportQuestion!$F$3="H",0,1)</f>
        <v>1</v>
      </c>
      <c r="K43" s="582"/>
      <c r="L43" s="582"/>
      <c r="M43" s="582"/>
      <c r="N43" s="582">
        <v>1</v>
      </c>
      <c r="O43" s="582"/>
      <c r="P43" s="582"/>
      <c r="Q43" s="582"/>
      <c r="R43" s="583"/>
      <c r="S43" s="584"/>
      <c r="T43" s="582"/>
      <c r="U43" s="583"/>
      <c r="V43" s="583"/>
      <c r="W43" s="584"/>
    </row>
    <row r="44" spans="2:23">
      <c r="B44" s="573" t="s">
        <v>921</v>
      </c>
      <c r="C44" s="581"/>
      <c r="D44" s="581"/>
      <c r="E44" s="581"/>
      <c r="F44" s="582"/>
      <c r="G44" s="582"/>
      <c r="H44" s="582"/>
      <c r="I44" s="582"/>
      <c r="J44" s="585">
        <f>IF(ImportQuestion!$F$3="F",0,1)</f>
        <v>0</v>
      </c>
      <c r="K44" s="582"/>
      <c r="L44" s="582"/>
      <c r="M44" s="582"/>
      <c r="N44" s="582">
        <v>1</v>
      </c>
      <c r="O44" s="582"/>
      <c r="P44" s="582"/>
      <c r="Q44" s="582"/>
      <c r="R44" s="583"/>
      <c r="S44" s="584"/>
      <c r="T44" s="582"/>
      <c r="U44" s="583"/>
      <c r="V44" s="583"/>
      <c r="W44" s="584"/>
    </row>
    <row r="45" spans="2:23">
      <c r="B45" s="574" t="s">
        <v>922</v>
      </c>
      <c r="J45" s="144">
        <v>1</v>
      </c>
      <c r="N45" s="8">
        <v>1</v>
      </c>
    </row>
    <row r="46" spans="2:23">
      <c r="B46" s="574" t="s">
        <v>923</v>
      </c>
      <c r="J46" s="144">
        <v>1</v>
      </c>
      <c r="N46" s="8">
        <v>1</v>
      </c>
    </row>
    <row r="47" spans="2:23">
      <c r="B47" s="574" t="s">
        <v>924</v>
      </c>
      <c r="J47" s="144">
        <v>1</v>
      </c>
      <c r="N47" s="8">
        <f>AUTOQUESTIONNAIRE!AV109</f>
        <v>0.9</v>
      </c>
    </row>
    <row r="48" spans="2:23">
      <c r="B48" s="575" t="s">
        <v>925</v>
      </c>
      <c r="J48" s="144">
        <v>1</v>
      </c>
      <c r="N48" s="8">
        <v>1</v>
      </c>
    </row>
    <row r="49" spans="2:23">
      <c r="B49" s="567" t="s">
        <v>926</v>
      </c>
      <c r="J49" s="144">
        <v>1</v>
      </c>
      <c r="N49" s="8">
        <v>1</v>
      </c>
    </row>
    <row r="50" spans="2:23">
      <c r="B50" s="567" t="s">
        <v>927</v>
      </c>
      <c r="J50" s="144">
        <v>1</v>
      </c>
      <c r="N50" s="8">
        <v>1</v>
      </c>
    </row>
    <row r="51" spans="2:23">
      <c r="B51" s="576" t="s">
        <v>898</v>
      </c>
      <c r="J51" s="144">
        <v>1</v>
      </c>
      <c r="N51" s="8">
        <f>AUTOQUESTIONNAIRE!BK109</f>
        <v>0.9</v>
      </c>
    </row>
    <row r="52" spans="2:23">
      <c r="B52" s="577" t="s">
        <v>928</v>
      </c>
      <c r="C52" s="581"/>
      <c r="D52" s="581"/>
      <c r="E52" s="581"/>
      <c r="F52" s="582"/>
      <c r="G52" s="582"/>
      <c r="H52" s="582"/>
      <c r="I52" s="582"/>
      <c r="J52" s="582">
        <v>1</v>
      </c>
      <c r="K52" s="582"/>
      <c r="L52" s="582"/>
      <c r="M52" s="582"/>
      <c r="N52" s="582">
        <v>1</v>
      </c>
      <c r="O52" s="582"/>
      <c r="P52" s="582"/>
      <c r="Q52" s="582"/>
      <c r="R52" s="583"/>
      <c r="S52" s="584"/>
      <c r="T52" s="582"/>
      <c r="U52" s="583"/>
      <c r="V52" s="583"/>
      <c r="W52" s="584"/>
    </row>
    <row r="53" spans="2:23">
      <c r="B53" s="577" t="s">
        <v>929</v>
      </c>
      <c r="C53" s="581"/>
      <c r="D53" s="581"/>
      <c r="E53" s="581"/>
      <c r="F53" s="582"/>
      <c r="G53" s="582"/>
      <c r="H53" s="582"/>
      <c r="I53" s="582"/>
      <c r="J53" s="582">
        <v>1</v>
      </c>
      <c r="K53" s="582"/>
      <c r="L53" s="582"/>
      <c r="M53" s="582"/>
      <c r="N53" s="582">
        <v>1</v>
      </c>
      <c r="O53" s="582"/>
      <c r="P53" s="582"/>
      <c r="Q53" s="582"/>
      <c r="R53" s="583"/>
      <c r="S53" s="584"/>
      <c r="T53" s="582"/>
      <c r="U53" s="583"/>
      <c r="V53" s="583"/>
      <c r="W53" s="584"/>
    </row>
    <row r="54" spans="2:23">
      <c r="B54" s="577" t="s">
        <v>930</v>
      </c>
      <c r="C54" s="581"/>
      <c r="D54" s="581"/>
      <c r="E54" s="581"/>
      <c r="F54" s="582"/>
      <c r="G54" s="582"/>
      <c r="H54" s="582"/>
      <c r="I54" s="582"/>
      <c r="J54" s="582">
        <v>1</v>
      </c>
      <c r="K54" s="582"/>
      <c r="L54" s="582"/>
      <c r="M54" s="582"/>
      <c r="N54" s="582">
        <v>1</v>
      </c>
      <c r="O54" s="582"/>
      <c r="P54" s="582"/>
      <c r="Q54" s="582"/>
      <c r="R54" s="583"/>
      <c r="S54" s="584"/>
      <c r="T54" s="582"/>
      <c r="U54" s="583"/>
      <c r="V54" s="583"/>
      <c r="W54" s="584"/>
    </row>
    <row r="55" spans="2:23">
      <c r="B55" s="577" t="s">
        <v>931</v>
      </c>
      <c r="C55" s="581"/>
      <c r="D55" s="581"/>
      <c r="E55" s="581"/>
      <c r="F55" s="582"/>
      <c r="G55" s="582"/>
      <c r="H55" s="582"/>
      <c r="I55" s="582"/>
      <c r="J55" s="582">
        <v>1</v>
      </c>
      <c r="K55" s="582"/>
      <c r="L55" s="582"/>
      <c r="M55" s="582"/>
      <c r="N55" s="582">
        <v>1</v>
      </c>
      <c r="O55" s="582"/>
      <c r="P55" s="582"/>
      <c r="Q55" s="582"/>
      <c r="R55" s="583"/>
      <c r="S55" s="584"/>
      <c r="T55" s="582"/>
      <c r="U55" s="583"/>
      <c r="V55" s="583"/>
      <c r="W55" s="584"/>
    </row>
    <row r="56" spans="2:23">
      <c r="B56" s="577" t="s">
        <v>932</v>
      </c>
      <c r="C56" s="581"/>
      <c r="D56" s="581"/>
      <c r="E56" s="581"/>
      <c r="F56" s="582"/>
      <c r="G56" s="582"/>
      <c r="H56" s="582"/>
      <c r="I56" s="582"/>
      <c r="J56" s="582">
        <v>1</v>
      </c>
      <c r="K56" s="582"/>
      <c r="L56" s="582"/>
      <c r="M56" s="582"/>
      <c r="N56" s="582">
        <v>1</v>
      </c>
      <c r="O56" s="582"/>
      <c r="P56" s="582"/>
      <c r="Q56" s="582"/>
      <c r="R56" s="583"/>
      <c r="S56" s="584"/>
      <c r="T56" s="582"/>
      <c r="U56" s="583"/>
      <c r="V56" s="583"/>
      <c r="W56" s="584"/>
    </row>
    <row r="57" spans="2:23">
      <c r="B57" s="577" t="s">
        <v>933</v>
      </c>
      <c r="C57" s="581"/>
      <c r="D57" s="581"/>
      <c r="E57" s="581"/>
      <c r="F57" s="582"/>
      <c r="G57" s="582"/>
      <c r="H57" s="582"/>
      <c r="I57" s="582"/>
      <c r="J57" s="582">
        <v>1</v>
      </c>
      <c r="K57" s="582"/>
      <c r="L57" s="582"/>
      <c r="M57" s="582"/>
      <c r="N57" s="582">
        <v>1</v>
      </c>
      <c r="O57" s="582"/>
      <c r="P57" s="582"/>
      <c r="Q57" s="582"/>
      <c r="R57" s="583"/>
      <c r="S57" s="584"/>
      <c r="T57" s="582"/>
      <c r="U57" s="583"/>
      <c r="V57" s="583"/>
      <c r="W57" s="584"/>
    </row>
    <row r="58" spans="2:23">
      <c r="J58" s="144">
        <v>1</v>
      </c>
    </row>
  </sheetData>
  <conditionalFormatting sqref="B1">
    <cfRule type="iconSet" priority="75">
      <iconSet reverse="1">
        <cfvo type="percent" val="0"/>
        <cfvo type="percent" val="33"/>
        <cfvo type="percent" val="67"/>
      </iconSet>
    </cfRule>
  </conditionalFormatting>
  <conditionalFormatting sqref="B1:B1048576">
    <cfRule type="duplicateValues" dxfId="15" priority="10"/>
  </conditionalFormatting>
  <conditionalFormatting sqref="B12">
    <cfRule type="colorScale" priority="74">
      <colorScale>
        <cfvo type="min"/>
        <cfvo type="percentile" val="50"/>
        <cfvo type="max"/>
        <color rgb="FF5A8AC6"/>
        <color rgb="FFFCFCFF"/>
        <color rgb="FFF8696B"/>
      </colorScale>
    </cfRule>
  </conditionalFormatting>
  <conditionalFormatting sqref="B13:B16 B3:B6 B9:B11">
    <cfRule type="colorScale" priority="1147">
      <colorScale>
        <cfvo type="min"/>
        <cfvo type="percentile" val="50"/>
        <cfvo type="max"/>
        <color rgb="FF5A8AC6"/>
        <color rgb="FFFCFCFF"/>
        <color rgb="FFF8696B"/>
      </colorScale>
    </cfRule>
  </conditionalFormatting>
  <conditionalFormatting sqref="B19">
    <cfRule type="colorScale" priority="73">
      <colorScale>
        <cfvo type="min"/>
        <cfvo type="percentile" val="50"/>
        <cfvo type="max"/>
        <color rgb="FF5A8AC6"/>
        <color rgb="FFFCFCFF"/>
        <color rgb="FFF8696B"/>
      </colorScale>
    </cfRule>
  </conditionalFormatting>
  <conditionalFormatting sqref="B21">
    <cfRule type="iconSet" priority="71">
      <iconSet reverse="1">
        <cfvo type="percent" val="0"/>
        <cfvo type="percent" val="33"/>
        <cfvo type="percent" val="67"/>
      </iconSet>
    </cfRule>
  </conditionalFormatting>
  <conditionalFormatting sqref="C1:E1">
    <cfRule type="iconSet" priority="483">
      <iconSet reverse="1">
        <cfvo type="percent" val="0"/>
        <cfvo type="percent" val="33"/>
        <cfvo type="percent" val="67"/>
      </iconSet>
    </cfRule>
  </conditionalFormatting>
  <conditionalFormatting sqref="F22:G1048576 F1:G1">
    <cfRule type="colorScale" priority="1101">
      <colorScale>
        <cfvo type="min"/>
        <cfvo type="percentile" val="50"/>
        <cfvo type="max"/>
        <color rgb="FF63BE7B"/>
        <color rgb="FFFFEB84"/>
        <color rgb="FFF8696B"/>
      </colorScale>
    </cfRule>
  </conditionalFormatting>
  <conditionalFormatting sqref="F2:M21">
    <cfRule type="colorScale" priority="1146">
      <colorScale>
        <cfvo type="min"/>
        <cfvo type="percentile" val="50"/>
        <cfvo type="max"/>
        <color rgb="FF63BE7B"/>
        <color rgb="FFFFEB84"/>
        <color rgb="FFF8696B"/>
      </colorScale>
    </cfRule>
  </conditionalFormatting>
  <conditionalFormatting sqref="H43:I44 H32:M42 H22:M22 H1:M1 H23:I25 H29:I31 K29:M31 K43:M44 H26:M28 H45:M1048576 K23:M25">
    <cfRule type="colorScale" priority="97">
      <colorScale>
        <cfvo type="min"/>
        <cfvo type="percentile" val="50"/>
        <cfvo type="max"/>
        <color rgb="FF5A8AC6"/>
        <color rgb="FFFCFCFF"/>
        <color rgb="FFF8696B"/>
      </colorScale>
    </cfRule>
  </conditionalFormatting>
  <conditionalFormatting sqref="J1:J1048576">
    <cfRule type="colorScale" priority="3">
      <colorScale>
        <cfvo type="min"/>
        <cfvo type="percentile" val="50"/>
        <cfvo type="max"/>
        <color rgb="FF63BE7B"/>
        <color rgb="FFFFEB84"/>
        <color rgb="FFF8696B"/>
      </colorScale>
    </cfRule>
  </conditionalFormatting>
  <conditionalFormatting sqref="J23:J25">
    <cfRule type="colorScale" priority="8">
      <colorScale>
        <cfvo type="min"/>
        <cfvo type="percentile" val="50"/>
        <cfvo type="max"/>
        <color rgb="FF63BE7B"/>
        <color rgb="FFFFEB84"/>
        <color rgb="FFF8696B"/>
      </colorScale>
    </cfRule>
  </conditionalFormatting>
  <conditionalFormatting sqref="J29">
    <cfRule type="colorScale" priority="6">
      <colorScale>
        <cfvo type="min"/>
        <cfvo type="percentile" val="50"/>
        <cfvo type="max"/>
        <color rgb="FF63BE7B"/>
        <color rgb="FFFFEB84"/>
        <color rgb="FFF8696B"/>
      </colorScale>
    </cfRule>
  </conditionalFormatting>
  <conditionalFormatting sqref="J30:J31">
    <cfRule type="colorScale" priority="7">
      <colorScale>
        <cfvo type="min"/>
        <cfvo type="percentile" val="50"/>
        <cfvo type="max"/>
        <color rgb="FF63BE7B"/>
        <color rgb="FFFFEB84"/>
        <color rgb="FFF8696B"/>
      </colorScale>
    </cfRule>
  </conditionalFormatting>
  <conditionalFormatting sqref="J43">
    <cfRule type="colorScale" priority="4">
      <colorScale>
        <cfvo type="min"/>
        <cfvo type="percentile" val="50"/>
        <cfvo type="max"/>
        <color rgb="FF63BE7B"/>
        <color rgb="FFFFEB84"/>
        <color rgb="FFF8696B"/>
      </colorScale>
    </cfRule>
  </conditionalFormatting>
  <conditionalFormatting sqref="J44">
    <cfRule type="colorScale" priority="5">
      <colorScale>
        <cfvo type="min"/>
        <cfvo type="percentile" val="50"/>
        <cfvo type="max"/>
        <color rgb="FF63BE7B"/>
        <color rgb="FFFFEB84"/>
        <color rgb="FFF8696B"/>
      </colorScale>
    </cfRule>
  </conditionalFormatting>
  <conditionalFormatting sqref="K22">
    <cfRule type="colorScale" priority="1280">
      <colorScale>
        <cfvo type="min"/>
        <cfvo type="percentile" val="50"/>
        <cfvo type="max"/>
        <color rgb="FF63BE7B"/>
        <color rgb="FFFFEB84"/>
        <color rgb="FFF8696B"/>
      </colorScale>
    </cfRule>
  </conditionalFormatting>
  <conditionalFormatting sqref="K1:M1048576">
    <cfRule type="colorScale" priority="94">
      <colorScale>
        <cfvo type="min"/>
        <cfvo type="percentile" val="50"/>
        <cfvo type="max"/>
        <color rgb="FFF8696B"/>
        <color rgb="FFFCFCFF"/>
        <color rgb="FF5A8AC6"/>
      </colorScale>
    </cfRule>
  </conditionalFormatting>
  <conditionalFormatting sqref="L1:L1048576">
    <cfRule type="colorScale" priority="1">
      <colorScale>
        <cfvo type="min"/>
        <cfvo type="max"/>
        <color rgb="FF63BE7B"/>
        <color rgb="FFFFEF9C"/>
      </colorScale>
    </cfRule>
  </conditionalFormatting>
  <conditionalFormatting sqref="L23">
    <cfRule type="colorScale" priority="2">
      <colorScale>
        <cfvo type="min"/>
        <cfvo type="percentile" val="50"/>
        <cfvo type="max"/>
        <color rgb="FF63BE7B"/>
        <color rgb="FFFFEB84"/>
        <color rgb="FFF8696B"/>
      </colorScale>
    </cfRule>
  </conditionalFormatting>
  <conditionalFormatting sqref="N1:P1048576">
    <cfRule type="colorScale" priority="89">
      <colorScale>
        <cfvo type="min"/>
        <cfvo type="percentile" val="50"/>
        <cfvo type="max"/>
        <color rgb="FF63BE7B"/>
        <color rgb="FFFFEB84"/>
        <color rgb="FFF8696B"/>
      </colorScale>
    </cfRule>
  </conditionalFormatting>
  <conditionalFormatting sqref="Q1">
    <cfRule type="iconSet" priority="81">
      <iconSet reverse="1">
        <cfvo type="percent" val="0"/>
        <cfvo type="percent" val="33"/>
        <cfvo type="percent" val="67"/>
      </iconSet>
    </cfRule>
  </conditionalFormatting>
  <conditionalFormatting sqref="Q2:Q15 Q17:Q22">
    <cfRule type="colorScale" priority="1287">
      <colorScale>
        <cfvo type="min"/>
        <cfvo type="percentile" val="50"/>
        <cfvo type="max"/>
        <color rgb="FF63BE7B"/>
        <color rgb="FFFCFCFF"/>
        <color rgb="FFF8696B"/>
      </colorScale>
    </cfRule>
    <cfRule type="colorScale" priority="1288">
      <colorScale>
        <cfvo type="min"/>
        <cfvo type="percentile" val="50"/>
        <cfvo type="max"/>
        <color rgb="FF63BE7B"/>
        <color rgb="FFFCFCFF"/>
        <color rgb="FFF8696B"/>
      </colorScale>
    </cfRule>
  </conditionalFormatting>
  <conditionalFormatting sqref="Q16">
    <cfRule type="colorScale" priority="11">
      <colorScale>
        <cfvo type="min"/>
        <cfvo type="percentile" val="50"/>
        <cfvo type="max"/>
        <color rgb="FF63BE7B"/>
        <color rgb="FFFCFCFF"/>
        <color rgb="FFF8696B"/>
      </colorScale>
    </cfRule>
    <cfRule type="colorScale" priority="12">
      <colorScale>
        <cfvo type="min"/>
        <cfvo type="percentile" val="50"/>
        <cfvo type="max"/>
        <color rgb="FF63BE7B"/>
        <color rgb="FFFCFCFF"/>
        <color rgb="FFF8696B"/>
      </colorScale>
    </cfRule>
  </conditionalFormatting>
  <conditionalFormatting sqref="R1">
    <cfRule type="colorScale" priority="121">
      <colorScale>
        <cfvo type="min"/>
        <cfvo type="percentile" val="50"/>
        <cfvo type="max"/>
        <color rgb="FF63BE7B"/>
        <color rgb="FFFFEB84"/>
        <color rgb="FFF8696B"/>
      </colorScale>
    </cfRule>
  </conditionalFormatting>
  <conditionalFormatting sqref="R1:R1048576">
    <cfRule type="colorScale" priority="100">
      <colorScale>
        <cfvo type="min"/>
        <cfvo type="percentile" val="50"/>
        <cfvo type="max"/>
        <color rgb="FF63BE7B"/>
        <color rgb="FFFCFCFF"/>
        <color rgb="FFF8696B"/>
      </colorScale>
    </cfRule>
  </conditionalFormatting>
  <conditionalFormatting sqref="R2:R22 U2:U22">
    <cfRule type="colorScale" priority="1294">
      <colorScale>
        <cfvo type="min"/>
        <cfvo type="percentile" val="50"/>
        <cfvo type="max"/>
        <color rgb="FF63BE7B"/>
        <color rgb="FFFCFCFF"/>
        <color rgb="FFF8696B"/>
      </colorScale>
    </cfRule>
  </conditionalFormatting>
  <conditionalFormatting sqref="R2:R22">
    <cfRule type="colorScale" priority="1296">
      <colorScale>
        <cfvo type="min"/>
        <cfvo type="max"/>
        <color rgb="FFFCFCFF"/>
        <color rgb="FFF8696B"/>
      </colorScale>
    </cfRule>
  </conditionalFormatting>
  <conditionalFormatting sqref="S1">
    <cfRule type="colorScale" priority="102">
      <colorScale>
        <cfvo type="min"/>
        <cfvo type="percentile" val="50"/>
        <cfvo type="max"/>
        <color rgb="FF63BE7B"/>
        <color rgb="FFFFEB84"/>
        <color rgb="FFF8696B"/>
      </colorScale>
    </cfRule>
  </conditionalFormatting>
  <conditionalFormatting sqref="S1:S1048576">
    <cfRule type="dataBar" priority="91">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28">
      <colorScale>
        <cfvo type="min"/>
        <cfvo type="max"/>
        <color rgb="FFFCFCFF"/>
        <color rgb="FFF8696B"/>
      </colorScale>
    </cfRule>
    <cfRule type="colorScale" priority="29">
      <colorScale>
        <cfvo type="min"/>
        <cfvo type="percentile" val="50"/>
        <cfvo type="max"/>
        <color rgb="FF63BE7B"/>
        <color rgb="FFFCFCFF"/>
        <color rgb="FFF8696B"/>
      </colorScale>
    </cfRule>
    <cfRule type="colorScale" priority="27">
      <colorScale>
        <cfvo type="min"/>
        <cfvo type="percentile" val="50"/>
        <cfvo type="max"/>
        <color rgb="FF63BE7B"/>
        <color rgb="FFFCFCFF"/>
        <color rgb="FFF8696B"/>
      </colorScale>
    </cfRule>
  </conditionalFormatting>
  <conditionalFormatting sqref="T4">
    <cfRule type="colorScale" priority="25">
      <colorScale>
        <cfvo type="min"/>
        <cfvo type="max"/>
        <color rgb="FFFCFCFF"/>
        <color rgb="FFF8696B"/>
      </colorScale>
    </cfRule>
    <cfRule type="colorScale" priority="24">
      <colorScale>
        <cfvo type="min"/>
        <cfvo type="percentile" val="50"/>
        <cfvo type="max"/>
        <color rgb="FF63BE7B"/>
        <color rgb="FFFCFCFF"/>
        <color rgb="FFF8696B"/>
      </colorScale>
    </cfRule>
    <cfRule type="colorScale" priority="26">
      <colorScale>
        <cfvo type="min"/>
        <cfvo type="percentile" val="50"/>
        <cfvo type="max"/>
        <color rgb="FF63BE7B"/>
        <color rgb="FFFCFCFF"/>
        <color rgb="FFF8696B"/>
      </colorScale>
    </cfRule>
  </conditionalFormatting>
  <conditionalFormatting sqref="T5">
    <cfRule type="colorScale" priority="23">
      <colorScale>
        <cfvo type="min"/>
        <cfvo type="percentile" val="50"/>
        <cfvo type="max"/>
        <color rgb="FF63BE7B"/>
        <color rgb="FFFCFCFF"/>
        <color rgb="FFF8696B"/>
      </colorScale>
    </cfRule>
    <cfRule type="colorScale" priority="22">
      <colorScale>
        <cfvo type="min"/>
        <cfvo type="max"/>
        <color rgb="FFFCFCFF"/>
        <color rgb="FFF8696B"/>
      </colorScale>
    </cfRule>
    <cfRule type="colorScale" priority="21">
      <colorScale>
        <cfvo type="min"/>
        <cfvo type="percentile" val="50"/>
        <cfvo type="max"/>
        <color rgb="FF63BE7B"/>
        <color rgb="FFFCFCFF"/>
        <color rgb="FFF8696B"/>
      </colorScale>
    </cfRule>
  </conditionalFormatting>
  <conditionalFormatting sqref="T6:T15 T17:T22">
    <cfRule type="colorScale" priority="1302">
      <colorScale>
        <cfvo type="min"/>
        <cfvo type="percentile" val="50"/>
        <cfvo type="max"/>
        <color rgb="FF63BE7B"/>
        <color rgb="FFFCFCFF"/>
        <color rgb="FFF8696B"/>
      </colorScale>
    </cfRule>
    <cfRule type="colorScale" priority="1300">
      <colorScale>
        <cfvo type="min"/>
        <cfvo type="percentile" val="50"/>
        <cfvo type="max"/>
        <color rgb="FF63BE7B"/>
        <color rgb="FFFCFCFF"/>
        <color rgb="FFF8696B"/>
      </colorScale>
    </cfRule>
    <cfRule type="colorScale" priority="1301">
      <colorScale>
        <cfvo type="min"/>
        <cfvo type="max"/>
        <color rgb="FFFCFCFF"/>
        <color rgb="FFF8696B"/>
      </colorScale>
    </cfRule>
  </conditionalFormatting>
  <conditionalFormatting sqref="T16">
    <cfRule type="colorScale" priority="17">
      <colorScale>
        <cfvo type="min"/>
        <cfvo type="percentile" val="50"/>
        <cfvo type="max"/>
        <color rgb="FF63BE7B"/>
        <color rgb="FFFCFCFF"/>
        <color rgb="FFF8696B"/>
      </colorScale>
    </cfRule>
    <cfRule type="colorScale" priority="16">
      <colorScale>
        <cfvo type="min"/>
        <cfvo type="max"/>
        <color rgb="FFFCFCFF"/>
        <color rgb="FFF8696B"/>
      </colorScale>
    </cfRule>
    <cfRule type="colorScale" priority="15">
      <colorScale>
        <cfvo type="min"/>
        <cfvo type="percentile" val="50"/>
        <cfvo type="max"/>
        <color rgb="FF63BE7B"/>
        <color rgb="FFFCFCFF"/>
        <color rgb="FFF8696B"/>
      </colorScale>
    </cfRule>
  </conditionalFormatting>
  <conditionalFormatting sqref="U1:U1048576">
    <cfRule type="colorScale" priority="101">
      <colorScale>
        <cfvo type="min"/>
        <cfvo type="percentile" val="50"/>
        <cfvo type="max"/>
        <color rgb="FF63BE7B"/>
        <color rgb="FFFCFCFF"/>
        <color rgb="FFF8696B"/>
      </colorScale>
    </cfRule>
  </conditionalFormatting>
  <conditionalFormatting sqref="V1:V1048576">
    <cfRule type="dataBar" priority="90">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1048576">
    <cfRule type="dataBar" priority="42">
      <dataBar>
        <cfvo type="min"/>
        <cfvo type="max"/>
        <color rgb="FF008AEF"/>
      </dataBar>
      <extLst>
        <ext xmlns:x14="http://schemas.microsoft.com/office/spreadsheetml/2009/9/main" uri="{B025F937-C7B1-47D3-B67F-A62EFF666E3E}">
          <x14:id>{078CFDEC-A5A7-4504-B4FD-3DED17D3E9A7}</x14:id>
        </ext>
      </extLst>
    </cfRule>
  </conditionalFormatting>
  <conditionalFormatting sqref="X1:X1048576">
    <cfRule type="colorScale" priority="9">
      <colorScale>
        <cfvo type="min"/>
        <cfvo type="percentile" val="50"/>
        <cfvo type="max"/>
        <color rgb="FF63BE7B"/>
        <color rgb="FFFFEB84"/>
        <color rgb="FFF8696B"/>
      </colorScale>
    </cfRule>
  </conditionalFormatting>
  <conditionalFormatting sqref="AJ2">
    <cfRule type="colorScale" priority="40">
      <colorScale>
        <cfvo type="min"/>
        <cfvo type="percentile" val="50"/>
        <cfvo type="max"/>
        <color rgb="FF5A8AC6"/>
        <color rgb="FFFCFCFF"/>
        <color rgb="FFF8696B"/>
      </colorScale>
    </cfRule>
  </conditionalFormatting>
  <conditionalFormatting sqref="AK2:AP2 AA2:AI2">
    <cfRule type="colorScale" priority="41">
      <colorScale>
        <cfvo type="min"/>
        <cfvo type="percentile" val="50"/>
        <cfvo type="max"/>
        <color rgb="FF5A8AC6"/>
        <color rgb="FFFCFCFF"/>
        <color rgb="FFF8696B"/>
      </colorScale>
    </cfRule>
  </conditionalFormatting>
  <conditionalFormatting sqref="AQ2">
    <cfRule type="colorScale" priority="36">
      <colorScale>
        <cfvo type="min"/>
        <cfvo type="percentile" val="50"/>
        <cfvo type="max"/>
        <color rgb="FF5A8AC6"/>
        <color rgb="FFFCFCFF"/>
        <color rgb="FFF8696B"/>
      </colorScale>
    </cfRule>
  </conditionalFormatting>
  <conditionalFormatting sqref="AR2">
    <cfRule type="colorScale" priority="35">
      <colorScale>
        <cfvo type="min"/>
        <cfvo type="percentile" val="50"/>
        <cfvo type="max"/>
        <color rgb="FF5A8AC6"/>
        <color rgb="FFFCFCFF"/>
        <color rgb="FFF8696B"/>
      </colorScale>
    </cfRule>
  </conditionalFormatting>
  <conditionalFormatting sqref="AS2">
    <cfRule type="iconSet" priority="34">
      <iconSet reverse="1">
        <cfvo type="percent" val="0"/>
        <cfvo type="percent" val="33"/>
        <cfvo type="percent" val="67"/>
      </iconSe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20</vt:i4>
      </vt:variant>
      <vt:variant>
        <vt:lpstr>Plages nommées</vt:lpstr>
      </vt:variant>
      <vt:variant>
        <vt:i4>4</vt:i4>
      </vt:variant>
    </vt:vector>
  </HeadingPairs>
  <TitlesOfParts>
    <vt:vector size="24" baseType="lpstr">
      <vt:lpstr>AUTOQUESTIONNAIRE</vt:lpstr>
      <vt:lpstr>ImportBiologie</vt:lpstr>
      <vt:lpstr>RRImmédiat</vt:lpstr>
      <vt:lpstr>AFaire</vt:lpstr>
      <vt:lpstr>Integratome_AugmentV2</vt:lpstr>
      <vt:lpstr>CommentairesAnalyses</vt:lpstr>
      <vt:lpstr>SIMULATEUR</vt:lpstr>
      <vt:lpstr>ImportQuestion</vt:lpstr>
      <vt:lpstr>calculRISKS</vt:lpstr>
      <vt:lpstr>RESULTATS</vt:lpstr>
      <vt:lpstr>ACTIONS</vt:lpstr>
      <vt:lpstr>Options Réponses</vt:lpstr>
      <vt:lpstr>Systemes</vt:lpstr>
      <vt:lpstr>CLINIQUE&amp;Radiologie</vt:lpstr>
      <vt:lpstr>BIOLOGIE</vt:lpstr>
      <vt:lpstr>ANOMALIEBIOLOGIQUE</vt:lpstr>
      <vt:lpstr>CommentairesRésultats</vt:lpstr>
      <vt:lpstr>RapportPharmacie</vt:lpstr>
      <vt:lpstr>Analyse Globale Q</vt:lpstr>
      <vt:lpstr>Alerte&amp;Vigilances</vt:lpstr>
      <vt:lpstr>CommentairesAnalyses!Zone_d_impression</vt:lpstr>
      <vt:lpstr>CommentairesRésultats!Zone_d_impression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Ugo Haberman</cp:lastModifiedBy>
  <cp:lastPrinted>2026-01-19T17:06:50Z</cp:lastPrinted>
  <dcterms:created xsi:type="dcterms:W3CDTF">2019-02-17T19:36:08Z</dcterms:created>
  <dcterms:modified xsi:type="dcterms:W3CDTF">2026-06-16T08:55:56Z</dcterms:modified>
</cp:coreProperties>
</file>