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EmilieDumas\OneDrive - eye2scan solutions\Documents\noFluff\CLIENTS\Integratome\Plateforme\"/>
    </mc:Choice>
  </mc:AlternateContent>
  <xr:revisionPtr revIDLastSave="0" documentId="8_{868142F9-4F71-4644-92FF-92AF96259CC7}" xr6:coauthVersionLast="47" xr6:coauthVersionMax="47" xr10:uidLastSave="{00000000-0000-0000-0000-000000000000}"/>
  <bookViews>
    <workbookView xWindow="-108" yWindow="-108" windowWidth="23256" windowHeight="12456" tabRatio="788" xr2:uid="{00000000-000D-0000-FFFF-FFFF00000000}"/>
  </bookViews>
  <sheets>
    <sheet name="AUTOQUESTIONNAIRE" sheetId="33" r:id="rId1"/>
    <sheet name="Options Réponses" sheetId="44" r:id="rId2"/>
    <sheet name="Import Biologie" sheetId="22" r:id="rId3"/>
    <sheet name="A FAIRE" sheetId="38" r:id="rId4"/>
    <sheet name="RapportPharmacie" sheetId="40" r:id="rId5"/>
    <sheet name="RRImmédiat" sheetId="42" r:id="rId6"/>
    <sheet name="Analyse Globale Q" sheetId="39" r:id="rId7"/>
    <sheet name="Commentaires analyses" sheetId="28" r:id="rId8"/>
    <sheet name="SIMULATEUR" sheetId="25" r:id="rId9"/>
    <sheet name="Import Question" sheetId="21" r:id="rId10"/>
    <sheet name="calculRISKS" sheetId="2" r:id="rId11"/>
    <sheet name="Systemes" sheetId="43" r:id="rId12"/>
    <sheet name="CLINIQUE&amp;Radiologie" sheetId="34" r:id="rId13"/>
    <sheet name="BIOLOGIE" sheetId="35" r:id="rId14"/>
    <sheet name="ANOMALIEBIOLOGIQUE" sheetId="37" r:id="rId15"/>
    <sheet name="RESULTATS" sheetId="20" r:id="rId16"/>
    <sheet name="Commentaires résultats" sheetId="27" r:id="rId17"/>
    <sheet name="ACTIONS" sheetId="24" r:id="rId18"/>
  </sheets>
  <definedNames>
    <definedName name="_xlnm._FilterDatabase" localSheetId="7" hidden="1">'Commentaires analyses'!$A$1:$H$115</definedName>
    <definedName name="_xlnm._FilterDatabase" localSheetId="5" hidden="1">RRImmédiat!$A$1:$R$66</definedName>
    <definedName name="_xlnm.Print_Area" localSheetId="7">'Commentaires analyses'!$A$1:$H$52</definedName>
    <definedName name="_xlnm.Print_Area" localSheetId="16">'Commentaires résultats'!$A$1:$C$42</definedName>
    <definedName name="_xlnm.Print_Area" localSheetId="15">RESULTATS!$A$1:$N$23</definedName>
    <definedName name="_xlnm.Print_Area" localSheetId="8">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207" i="38" l="1"/>
  <c r="B46" i="39"/>
  <c r="B16" i="39"/>
  <c r="K18" i="33"/>
  <c r="K19" i="33"/>
  <c r="G16" i="33"/>
  <c r="G13" i="33"/>
  <c r="BL193" i="38"/>
  <c r="C193" i="38"/>
  <c r="B193" i="38"/>
  <c r="H193" i="33"/>
  <c r="G193" i="33"/>
  <c r="I135" i="33"/>
  <c r="I136" i="33"/>
  <c r="G53" i="33"/>
  <c r="G52" i="33"/>
  <c r="G231" i="33"/>
  <c r="G230" i="33"/>
  <c r="F246" i="21" s="1"/>
  <c r="F250" i="21"/>
  <c r="F248" i="21"/>
  <c r="F245" i="21"/>
  <c r="F244" i="21"/>
  <c r="F243" i="21"/>
  <c r="F242" i="21"/>
  <c r="F241" i="21"/>
  <c r="F240" i="21"/>
  <c r="F239" i="21"/>
  <c r="F238" i="21"/>
  <c r="F237" i="21"/>
  <c r="F236" i="21"/>
  <c r="F235" i="21"/>
  <c r="B79" i="28" s="1"/>
  <c r="B148" i="28"/>
  <c r="C30" i="40"/>
  <c r="I245" i="33"/>
  <c r="B58" i="39" s="1"/>
  <c r="B57" i="39"/>
  <c r="B56" i="39"/>
  <c r="H236" i="33"/>
  <c r="B55" i="39"/>
  <c r="B54" i="39"/>
  <c r="B53" i="39"/>
  <c r="B52" i="39"/>
  <c r="B51" i="39"/>
  <c r="B49" i="39"/>
  <c r="B50" i="39"/>
  <c r="C28" i="40"/>
  <c r="G347" i="33"/>
  <c r="H347" i="33" s="1"/>
  <c r="H346" i="33"/>
  <c r="G346" i="33"/>
  <c r="K153" i="33"/>
  <c r="G235" i="33"/>
  <c r="G234" i="33"/>
  <c r="G236" i="33"/>
  <c r="G222" i="33"/>
  <c r="G233" i="33"/>
  <c r="K71" i="33"/>
  <c r="K72" i="33" s="1"/>
  <c r="G179" i="33"/>
  <c r="G187" i="33"/>
  <c r="G191" i="33"/>
  <c r="G190" i="33"/>
  <c r="G189" i="33"/>
  <c r="G188" i="33"/>
  <c r="G192" i="33"/>
  <c r="G67" i="33"/>
  <c r="G66" i="33"/>
  <c r="G65" i="33"/>
  <c r="G64" i="33"/>
  <c r="G63" i="33"/>
  <c r="G62" i="33"/>
  <c r="G61" i="33"/>
  <c r="G60" i="33"/>
  <c r="G59" i="33"/>
  <c r="G58" i="33"/>
  <c r="G57" i="33"/>
  <c r="G56" i="33"/>
  <c r="G55" i="33"/>
  <c r="G54" i="33"/>
  <c r="C29" i="40" l="1"/>
  <c r="G147" i="33"/>
  <c r="C22" i="40" l="1"/>
  <c r="G115" i="33"/>
  <c r="G114" i="33"/>
  <c r="G86" i="33"/>
  <c r="H86" i="33"/>
  <c r="G11" i="33"/>
  <c r="G10" i="33"/>
  <c r="G17" i="33"/>
  <c r="F7" i="21"/>
  <c r="J2" i="2"/>
  <c r="I3" i="33"/>
  <c r="H3" i="33"/>
  <c r="F3" i="21"/>
  <c r="K147" i="33"/>
  <c r="C41" i="40" s="1"/>
  <c r="K146" i="33"/>
  <c r="C40" i="40" s="1"/>
  <c r="K145" i="33"/>
  <c r="C38" i="40" s="1"/>
  <c r="K144" i="33"/>
  <c r="C37" i="40" s="1"/>
  <c r="K143" i="33"/>
  <c r="C36" i="40" s="1"/>
  <c r="K142" i="33"/>
  <c r="C35" i="40" s="1"/>
  <c r="K141" i="33"/>
  <c r="C34" i="40" s="1"/>
  <c r="G248" i="33"/>
  <c r="G247" i="33"/>
  <c r="G246" i="33"/>
  <c r="G245" i="33"/>
  <c r="G244" i="33"/>
  <c r="G243" i="33"/>
  <c r="G24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H153" i="33"/>
  <c r="H15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G173" i="33"/>
  <c r="G172" i="33"/>
  <c r="G171" i="33"/>
  <c r="G170" i="33"/>
  <c r="G169" i="33"/>
  <c r="G168" i="33"/>
  <c r="G165" i="33"/>
  <c r="G164" i="33"/>
  <c r="G163" i="33"/>
  <c r="G162" i="33"/>
  <c r="G161" i="33"/>
  <c r="G160" i="33"/>
  <c r="G159" i="33"/>
  <c r="G158" i="33"/>
  <c r="G157" i="33"/>
  <c r="G156" i="33"/>
  <c r="G155" i="33"/>
  <c r="G154" i="33"/>
  <c r="G153" i="33"/>
  <c r="G152" i="33"/>
  <c r="G151" i="33"/>
  <c r="G150" i="33"/>
  <c r="G149" i="33"/>
  <c r="H142" i="33"/>
  <c r="H141" i="33"/>
  <c r="H140" i="33"/>
  <c r="H139" i="33"/>
  <c r="H138" i="33"/>
  <c r="H137" i="33"/>
  <c r="G142" i="33"/>
  <c r="G141" i="33"/>
  <c r="G140" i="33"/>
  <c r="G139" i="33"/>
  <c r="G138" i="33"/>
  <c r="G137" i="33"/>
  <c r="G136" i="33"/>
  <c r="G135" i="33"/>
  <c r="I131" i="33"/>
  <c r="I130" i="33"/>
  <c r="I129" i="33"/>
  <c r="I128" i="33"/>
  <c r="I127" i="33"/>
  <c r="I126" i="33"/>
  <c r="I125" i="33"/>
  <c r="I124" i="33"/>
  <c r="I123" i="33"/>
  <c r="I122" i="33"/>
  <c r="I121" i="33"/>
  <c r="H130" i="33"/>
  <c r="H129" i="33"/>
  <c r="H128" i="33"/>
  <c r="H127" i="33"/>
  <c r="H126" i="33"/>
  <c r="H125" i="33"/>
  <c r="H121" i="33"/>
  <c r="G131" i="33"/>
  <c r="H131" i="33" s="1"/>
  <c r="G130" i="33"/>
  <c r="G129" i="33"/>
  <c r="G128" i="33"/>
  <c r="G127" i="33"/>
  <c r="G126" i="33"/>
  <c r="G125" i="33"/>
  <c r="G124" i="33"/>
  <c r="H124" i="33" s="1"/>
  <c r="G123" i="33"/>
  <c r="H123" i="33" s="1"/>
  <c r="G122" i="33"/>
  <c r="H122"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H91" i="33"/>
  <c r="H83" i="33"/>
  <c r="H73" i="33"/>
  <c r="H72" i="33"/>
  <c r="H63" i="33"/>
  <c r="H64" i="33"/>
  <c r="H65" i="33"/>
  <c r="H66" i="33"/>
  <c r="H67" i="33"/>
  <c r="H71" i="33"/>
  <c r="H70" i="33"/>
  <c r="H69" i="33"/>
  <c r="H68" i="33"/>
  <c r="H75" i="33"/>
  <c r="H74"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G15" i="33"/>
  <c r="G14" i="33"/>
  <c r="G9" i="33"/>
  <c r="G8" i="33"/>
  <c r="K58" i="33" l="1"/>
  <c r="K57" i="33"/>
  <c r="K60" i="33"/>
  <c r="I87" i="33"/>
  <c r="H90" i="33"/>
  <c r="H89" i="33"/>
  <c r="H88" i="33"/>
  <c r="H87" i="33"/>
  <c r="H85" i="33"/>
  <c r="H84" i="33"/>
  <c r="F12" i="42"/>
  <c r="D24" i="42"/>
  <c r="D25" i="42"/>
  <c r="K83" i="33" l="1"/>
  <c r="C115" i="38"/>
  <c r="C114" i="38"/>
  <c r="O65" i="42"/>
  <c r="O32" i="42"/>
  <c r="O25" i="42"/>
  <c r="O24" i="42"/>
  <c r="G90" i="33"/>
  <c r="G89" i="33"/>
  <c r="G88" i="33"/>
  <c r="G87" i="33"/>
  <c r="G85" i="33"/>
  <c r="G84" i="33"/>
  <c r="P24" i="42" l="1"/>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G219" i="33"/>
  <c r="G218" i="33"/>
  <c r="D23" i="42"/>
  <c r="O23" i="42" s="1"/>
  <c r="P23" i="42" s="1"/>
  <c r="F23" i="42"/>
  <c r="G23" i="42" s="1"/>
  <c r="M23" i="42" s="1"/>
  <c r="N23" i="42" s="1"/>
  <c r="F38" i="42"/>
  <c r="F35" i="42"/>
  <c r="F22" i="42"/>
  <c r="F20" i="42"/>
  <c r="F32" i="42"/>
  <c r="F31" i="42"/>
  <c r="F30" i="42"/>
  <c r="F29" i="42"/>
  <c r="F28" i="42"/>
  <c r="F27" i="42"/>
  <c r="F26" i="42"/>
  <c r="F25" i="42"/>
  <c r="C25" i="40"/>
  <c r="C26" i="40"/>
  <c r="M186" i="33"/>
  <c r="BO186" i="33" s="1"/>
  <c r="C192" i="38"/>
  <c r="BM192" i="38" s="1"/>
  <c r="BM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C128" i="38"/>
  <c r="C127" i="38"/>
  <c r="C126" i="38"/>
  <c r="C125" i="38"/>
  <c r="C124" i="38"/>
  <c r="C123" i="38"/>
  <c r="C122" i="38"/>
  <c r="F24" i="42"/>
  <c r="C99" i="22"/>
  <c r="C98" i="22"/>
  <c r="B14" i="39" l="1"/>
  <c r="D98" i="22"/>
  <c r="BF186" i="33"/>
  <c r="C100" i="38"/>
  <c r="BM100" i="33"/>
  <c r="CD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H249" i="33"/>
  <c r="BE175" i="33"/>
  <c r="F247" i="21"/>
  <c r="D7" i="42"/>
  <c r="D31" i="42"/>
  <c r="D30" i="42"/>
  <c r="D29" i="42"/>
  <c r="D28" i="42"/>
  <c r="D27" i="42"/>
  <c r="D26" i="42"/>
  <c r="G25" i="42"/>
  <c r="M25" i="42" s="1"/>
  <c r="N25" i="42" s="1"/>
  <c r="G24" i="42"/>
  <c r="D32" i="42"/>
  <c r="G32" i="42" s="1"/>
  <c r="D38" i="42"/>
  <c r="D36" i="42"/>
  <c r="D65" i="42"/>
  <c r="G65" i="42" s="1"/>
  <c r="M65" i="42" s="1"/>
  <c r="N65" i="42" s="1"/>
  <c r="D64" i="42"/>
  <c r="D22" i="42"/>
  <c r="F57" i="42"/>
  <c r="F56" i="42"/>
  <c r="AC185" i="33"/>
  <c r="C18" i="42" s="1"/>
  <c r="O18" i="42" s="1"/>
  <c r="F6" i="21"/>
  <c r="J30" i="2"/>
  <c r="F232" i="21"/>
  <c r="F229" i="21"/>
  <c r="F224" i="21"/>
  <c r="F219" i="21"/>
  <c r="F214" i="21"/>
  <c r="F209" i="21"/>
  <c r="F135" i="21"/>
  <c r="F130" i="21"/>
  <c r="F81" i="21"/>
  <c r="F80" i="21"/>
  <c r="F79" i="21"/>
  <c r="F78" i="21"/>
  <c r="F77" i="21"/>
  <c r="C90" i="38"/>
  <c r="C89" i="38"/>
  <c r="C88" i="38"/>
  <c r="C87" i="38"/>
  <c r="C85" i="38"/>
  <c r="C84" i="38"/>
  <c r="C71" i="38"/>
  <c r="C91" i="38"/>
  <c r="AX91" i="38" s="1"/>
  <c r="B91" i="38"/>
  <c r="D35" i="42"/>
  <c r="BL26" i="33"/>
  <c r="BJ22" i="33"/>
  <c r="N48" i="33"/>
  <c r="AH39" i="33"/>
  <c r="S38" i="33"/>
  <c r="B102" i="28"/>
  <c r="B101" i="28"/>
  <c r="B147" i="28" l="1"/>
  <c r="C27" i="40"/>
  <c r="K62" i="33"/>
  <c r="I54" i="33" s="1"/>
  <c r="K63" i="33"/>
  <c r="I55" i="33"/>
  <c r="G215" i="33"/>
  <c r="C73" i="38"/>
  <c r="K81" i="33"/>
  <c r="C72" i="38"/>
  <c r="G31" i="42"/>
  <c r="M31" i="42" s="1"/>
  <c r="N31" i="42" s="1"/>
  <c r="O31" i="42"/>
  <c r="P31" i="42" s="1"/>
  <c r="G26" i="42"/>
  <c r="O26" i="42"/>
  <c r="P26" i="42" s="1"/>
  <c r="G27" i="42"/>
  <c r="M27" i="42" s="1"/>
  <c r="N27" i="42" s="1"/>
  <c r="O27" i="42"/>
  <c r="P27" i="42" s="1"/>
  <c r="G30" i="42"/>
  <c r="M30" i="42" s="1"/>
  <c r="N30" i="42" s="1"/>
  <c r="O30" i="42"/>
  <c r="P30" i="42" s="1"/>
  <c r="G28" i="42"/>
  <c r="M28" i="42" s="1"/>
  <c r="N28" i="42" s="1"/>
  <c r="O28" i="42"/>
  <c r="P28" i="42" s="1"/>
  <c r="G29" i="42"/>
  <c r="M29" i="42" s="1"/>
  <c r="N29" i="42" s="1"/>
  <c r="O29" i="42"/>
  <c r="P29" i="42" s="1"/>
  <c r="H215" i="33"/>
  <c r="J65" i="42"/>
  <c r="M24" i="42"/>
  <c r="N24" i="42" s="1"/>
  <c r="CE24" i="38"/>
  <c r="M26" i="42"/>
  <c r="N26" i="42" s="1"/>
  <c r="CE26" i="38"/>
  <c r="G18" i="42"/>
  <c r="M18" i="42" s="1"/>
  <c r="N18" i="42" s="1"/>
  <c r="P18" i="42"/>
  <c r="H32" i="42"/>
  <c r="I32" i="42" s="1"/>
  <c r="J32" i="42" s="1"/>
  <c r="M32" i="42"/>
  <c r="N32" i="42" s="1"/>
  <c r="F2" i="42"/>
  <c r="D2" i="42"/>
  <c r="G216" i="33"/>
  <c r="K3" i="38"/>
  <c r="H216" i="33"/>
  <c r="L3" i="38"/>
  <c r="BS3" i="38"/>
  <c r="AP3" i="38"/>
  <c r="R184" i="33"/>
  <c r="N3" i="38"/>
  <c r="C71" i="22"/>
  <c r="C16" i="40"/>
  <c r="T184" i="33"/>
  <c r="J242" i="33"/>
  <c r="H24" i="42"/>
  <c r="I24" i="42" s="1"/>
  <c r="H25" i="42"/>
  <c r="I25" i="42" s="1"/>
  <c r="H26" i="42"/>
  <c r="I26" i="42" s="1"/>
  <c r="H219" i="33"/>
  <c r="D6" i="42" s="1"/>
  <c r="BE184" i="33"/>
  <c r="AZ184" i="33"/>
  <c r="BM184" i="33"/>
  <c r="BF184" i="33"/>
  <c r="BG184" i="33"/>
  <c r="U184" i="33"/>
  <c r="O184" i="33"/>
  <c r="H65" i="42"/>
  <c r="I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82" i="38"/>
  <c r="C81" i="38"/>
  <c r="C80" i="38"/>
  <c r="C77" i="38"/>
  <c r="C76" i="38"/>
  <c r="C75" i="38"/>
  <c r="C74" i="38"/>
  <c r="C70" i="38"/>
  <c r="C69" i="38"/>
  <c r="B85" i="28"/>
  <c r="C79" i="38" l="1"/>
  <c r="K79" i="33"/>
  <c r="K68" i="33"/>
  <c r="K70" i="33"/>
  <c r="B10" i="39" s="1"/>
  <c r="B42" i="39" s="1"/>
  <c r="B15" i="39"/>
  <c r="B45" i="39" s="1"/>
  <c r="C83" i="38"/>
  <c r="H31" i="42"/>
  <c r="I31" i="42" s="1"/>
  <c r="J31" i="42" s="1"/>
  <c r="H29" i="42"/>
  <c r="I29" i="42" s="1"/>
  <c r="J29" i="42" s="1"/>
  <c r="H30" i="42"/>
  <c r="I30" i="42" s="1"/>
  <c r="J30" i="42" s="1"/>
  <c r="H28" i="42"/>
  <c r="I28" i="42" s="1"/>
  <c r="J28" i="42" s="1"/>
  <c r="H27" i="42"/>
  <c r="I27" i="42" s="1"/>
  <c r="H18" i="42"/>
  <c r="I18" i="42" s="1"/>
  <c r="J18" i="42" s="1"/>
  <c r="C78" i="38"/>
  <c r="C23" i="40"/>
  <c r="C24" i="40"/>
  <c r="J26" i="42"/>
  <c r="J27" i="42"/>
  <c r="J25" i="42"/>
  <c r="J24" i="42"/>
  <c r="C68" i="38"/>
  <c r="C45" i="38"/>
  <c r="AN45" i="38" s="1"/>
  <c r="C46" i="38"/>
  <c r="AU46" i="38" s="1"/>
  <c r="B98" i="28"/>
  <c r="B97" i="28"/>
  <c r="B96" i="28"/>
  <c r="B95" i="28"/>
  <c r="B94" i="28"/>
  <c r="B92" i="28"/>
  <c r="B93" i="28"/>
  <c r="B90" i="28"/>
  <c r="E89" i="22"/>
  <c r="L19" i="38"/>
  <c r="M19" i="38"/>
  <c r="K19" i="38"/>
  <c r="C33" i="42"/>
  <c r="O33" i="42" s="1"/>
  <c r="V90" i="38"/>
  <c r="H6" i="33"/>
  <c r="C64" i="38"/>
  <c r="BC64" i="38" s="1"/>
  <c r="C63" i="38"/>
  <c r="BB63" i="38" s="1"/>
  <c r="C62" i="38"/>
  <c r="BD62" i="38" s="1"/>
  <c r="C60" i="38"/>
  <c r="AG85" i="33"/>
  <c r="BA84" i="33"/>
  <c r="N77" i="33"/>
  <c r="BL69" i="33"/>
  <c r="H120" i="33"/>
  <c r="H119" i="33"/>
  <c r="H118" i="33"/>
  <c r="H117" i="33"/>
  <c r="BS117" i="38" s="1"/>
  <c r="H116" i="33"/>
  <c r="AT6" i="33" l="1"/>
  <c r="B48" i="39"/>
  <c r="L79" i="33"/>
  <c r="BJ80" i="33" s="1"/>
  <c r="M79" i="33"/>
  <c r="AT80" i="38" s="1"/>
  <c r="B12" i="39"/>
  <c r="B44" i="39" s="1"/>
  <c r="K139" i="33"/>
  <c r="L139" i="33" s="1"/>
  <c r="P33" i="42"/>
  <c r="G33" i="42"/>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H170" i="33"/>
  <c r="AT118" i="38"/>
  <c r="C55" i="38"/>
  <c r="BG55" i="38" s="1"/>
  <c r="C171" i="38"/>
  <c r="Q171" i="38" s="1"/>
  <c r="H171" i="33"/>
  <c r="N78" i="33"/>
  <c r="N181" i="33" s="1"/>
  <c r="N185" i="33" s="1"/>
  <c r="BG77" i="33"/>
  <c r="C56" i="38"/>
  <c r="C172" i="38"/>
  <c r="I172" i="38" s="1"/>
  <c r="H172" i="33"/>
  <c r="C173" i="38"/>
  <c r="AM173" i="38" s="1"/>
  <c r="H173" i="33"/>
  <c r="C168" i="38"/>
  <c r="F168" i="38" s="1"/>
  <c r="H168" i="33"/>
  <c r="C174" i="38"/>
  <c r="AH174" i="38" s="1"/>
  <c r="H174" i="33"/>
  <c r="AQ87" i="33"/>
  <c r="AP87" i="33"/>
  <c r="R87" i="33"/>
  <c r="AG87" i="33"/>
  <c r="AF87" i="33"/>
  <c r="C169" i="38"/>
  <c r="AU169" i="38" s="1"/>
  <c r="H169" i="33"/>
  <c r="AQ88" i="33"/>
  <c r="AP88" i="33"/>
  <c r="AG88" i="33"/>
  <c r="AF88" i="33"/>
  <c r="AX70" i="33"/>
  <c r="AW70" i="33"/>
  <c r="AQ89" i="33"/>
  <c r="AP89" i="33"/>
  <c r="AG89" i="33"/>
  <c r="AF89" i="33"/>
  <c r="V71" i="33"/>
  <c r="Y71" i="33"/>
  <c r="W71" i="33"/>
  <c r="W181" i="33" s="1"/>
  <c r="W185" i="33" s="1"/>
  <c r="C13" i="42" s="1"/>
  <c r="AQ90" i="33"/>
  <c r="AP90" i="33"/>
  <c r="AG90" i="33"/>
  <c r="AF90" i="33"/>
  <c r="AT72" i="33"/>
  <c r="AS72" i="33"/>
  <c r="BA72" i="33"/>
  <c r="AZ72" i="33"/>
  <c r="BE72" i="33"/>
  <c r="BK72" i="33"/>
  <c r="BB35" i="33"/>
  <c r="C106" i="38"/>
  <c r="BO106" i="33"/>
  <c r="BE73" i="33"/>
  <c r="BA73" i="33"/>
  <c r="AZ73" i="33"/>
  <c r="E90" i="38"/>
  <c r="C61" i="38"/>
  <c r="C52" i="38"/>
  <c r="C53" i="38"/>
  <c r="N117" i="38"/>
  <c r="C57" i="38"/>
  <c r="BO57" i="38" s="1"/>
  <c r="C58" i="38"/>
  <c r="C59" i="38"/>
  <c r="AK59" i="38" s="1"/>
  <c r="BN117" i="38"/>
  <c r="B91" i="28"/>
  <c r="BC207" i="38"/>
  <c r="BC208" i="38" s="1"/>
  <c r="BD207" i="38"/>
  <c r="BD208" i="38" s="1"/>
  <c r="AJ104" i="33"/>
  <c r="AI102" i="33"/>
  <c r="C142" i="38"/>
  <c r="C141" i="38"/>
  <c r="C140" i="38"/>
  <c r="C139" i="38"/>
  <c r="C138" i="38"/>
  <c r="C137" i="38"/>
  <c r="K73" i="33"/>
  <c r="L74" i="33" s="1"/>
  <c r="AV109" i="33"/>
  <c r="BK109" i="33"/>
  <c r="C5" i="38"/>
  <c r="C35" i="38"/>
  <c r="H114" i="33"/>
  <c r="AE90" i="38"/>
  <c r="AE89" i="38"/>
  <c r="AE85" i="38"/>
  <c r="AJ75" i="38"/>
  <c r="AH47" i="33"/>
  <c r="C105" i="38"/>
  <c r="C103" i="38"/>
  <c r="L103" i="38" s="1"/>
  <c r="C101" i="38"/>
  <c r="L101" i="38" s="1"/>
  <c r="H98" i="33"/>
  <c r="AG97" i="33"/>
  <c r="G167" i="33"/>
  <c r="G166" i="33"/>
  <c r="K149" i="33" s="1"/>
  <c r="B2" i="39" s="1"/>
  <c r="B31" i="39"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K159" i="33" l="1"/>
  <c r="B13" i="39" s="1"/>
  <c r="K137" i="33"/>
  <c r="K93" i="33"/>
  <c r="B8" i="39" s="1"/>
  <c r="B40" i="39" s="1"/>
  <c r="B9" i="39"/>
  <c r="B41" i="39" s="1"/>
  <c r="B30" i="39"/>
  <c r="K134" i="33"/>
  <c r="B3" i="39" s="1"/>
  <c r="E142" i="38"/>
  <c r="H145" i="33"/>
  <c r="I145" i="33"/>
  <c r="AF109"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AM135" i="33"/>
  <c r="G13" i="42"/>
  <c r="H13" i="42" s="1"/>
  <c r="I13" i="42" s="1"/>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R7" i="38"/>
  <c r="S7" i="38"/>
  <c r="H144" i="33"/>
  <c r="H143" i="33"/>
  <c r="K183" i="33"/>
  <c r="K7" i="38"/>
  <c r="Q7" i="38"/>
  <c r="AE7" i="38"/>
  <c r="G7" i="38"/>
  <c r="AB7" i="38"/>
  <c r="AA7" i="38"/>
  <c r="H7" i="38"/>
  <c r="AQ7" i="38"/>
  <c r="AQ207" i="38" s="1"/>
  <c r="AQ208" i="38" s="1"/>
  <c r="V7" i="38"/>
  <c r="AP181" i="33"/>
  <c r="AP185" i="33" s="1"/>
  <c r="C21" i="42" s="1"/>
  <c r="AG181" i="33"/>
  <c r="AG185" i="33" s="1"/>
  <c r="C6" i="42" s="1"/>
  <c r="O6" i="42" s="1"/>
  <c r="M171" i="38"/>
  <c r="C99" i="38"/>
  <c r="AA99" i="38" s="1"/>
  <c r="H99" i="33"/>
  <c r="AH99" i="33" s="1"/>
  <c r="V86" i="38"/>
  <c r="C86" i="38"/>
  <c r="AF98" i="33"/>
  <c r="C96" i="38"/>
  <c r="AA96" i="38" s="1"/>
  <c r="H96" i="33"/>
  <c r="AH96" i="33" s="1"/>
  <c r="N47" i="2"/>
  <c r="J29" i="35"/>
  <c r="C86" i="35"/>
  <c r="C59" i="35"/>
  <c r="H157" i="33"/>
  <c r="AV157" i="33" s="1"/>
  <c r="AZ109" i="33"/>
  <c r="H149" i="33"/>
  <c r="H159" i="33"/>
  <c r="U159" i="33" s="1"/>
  <c r="H166" i="33"/>
  <c r="Q166" i="33" s="1"/>
  <c r="Q181" i="33" s="1"/>
  <c r="Q185" i="33" s="1"/>
  <c r="C60" i="42" s="1"/>
  <c r="O60" i="42" s="1"/>
  <c r="H115" i="33"/>
  <c r="G172" i="38"/>
  <c r="AH171" i="38"/>
  <c r="M173" i="38"/>
  <c r="G171" i="38"/>
  <c r="K171" i="38"/>
  <c r="S173" i="38"/>
  <c r="I171" i="38"/>
  <c r="F171" i="38"/>
  <c r="L170" i="38"/>
  <c r="T168" i="38"/>
  <c r="T207" i="38" s="1"/>
  <c r="T208" i="38" s="1"/>
  <c r="Q173" i="38"/>
  <c r="L171" i="38"/>
  <c r="AX151" i="33"/>
  <c r="BH151" i="33"/>
  <c r="C22" i="38"/>
  <c r="P22" i="38" s="1"/>
  <c r="AE83" i="38"/>
  <c r="AM174" i="33"/>
  <c r="AJ174" i="33"/>
  <c r="C145" i="38"/>
  <c r="E145" i="38" s="1"/>
  <c r="L145" i="38" s="1"/>
  <c r="C41" i="38"/>
  <c r="I41" i="38" s="1"/>
  <c r="C23" i="38"/>
  <c r="L23" i="38" s="1"/>
  <c r="AM170" i="33"/>
  <c r="AJ170" i="33"/>
  <c r="C154" i="38"/>
  <c r="K154" i="38" s="1"/>
  <c r="H154" i="33"/>
  <c r="C98" i="38"/>
  <c r="L98" i="38" s="1"/>
  <c r="C24" i="38"/>
  <c r="BS112" i="38"/>
  <c r="C25" i="38"/>
  <c r="C156" i="38"/>
  <c r="AD156" i="38" s="1"/>
  <c r="H156" i="33"/>
  <c r="P156" i="33" s="1"/>
  <c r="C26" i="38"/>
  <c r="BI26" i="33"/>
  <c r="N38" i="2"/>
  <c r="C160" i="38"/>
  <c r="Y160" i="38" s="1"/>
  <c r="H160" i="33"/>
  <c r="C161" i="38"/>
  <c r="Y161" i="38" s="1"/>
  <c r="H161" i="33"/>
  <c r="AF173" i="33"/>
  <c r="AE173" i="33"/>
  <c r="AE181" i="33" s="1"/>
  <c r="AE185" i="33" s="1"/>
  <c r="C4" i="42" s="1"/>
  <c r="O4" i="42" s="1"/>
  <c r="AD173" i="33"/>
  <c r="AD181" i="33" s="1"/>
  <c r="AD185" i="33" s="1"/>
  <c r="C3" i="42" s="1"/>
  <c r="O3" i="42" s="1"/>
  <c r="C162" i="38"/>
  <c r="AH162" i="38" s="1"/>
  <c r="H162" i="33"/>
  <c r="P162" i="33" s="1"/>
  <c r="C33" i="38"/>
  <c r="I33" i="38" s="1"/>
  <c r="C32" i="38"/>
  <c r="C36" i="38"/>
  <c r="I36" i="38" s="1"/>
  <c r="C29" i="38"/>
  <c r="BA29" i="33"/>
  <c r="F172" i="38"/>
  <c r="Q172" i="38"/>
  <c r="L174" i="38"/>
  <c r="AM171" i="33"/>
  <c r="AJ171" i="33"/>
  <c r="C165" i="38"/>
  <c r="V165" i="38" s="1"/>
  <c r="H165" i="33"/>
  <c r="C38" i="38"/>
  <c r="I38" i="38" s="1"/>
  <c r="C44" i="38"/>
  <c r="C95" i="38"/>
  <c r="V95" i="38" s="1"/>
  <c r="AR95" i="33"/>
  <c r="C39" i="38"/>
  <c r="I39" i="38" s="1"/>
  <c r="C21" i="38"/>
  <c r="V21" i="38" s="1"/>
  <c r="AW150" i="33"/>
  <c r="AF150" i="33"/>
  <c r="AX150" i="33"/>
  <c r="BA144" i="33"/>
  <c r="AB144" i="33"/>
  <c r="C40" i="38"/>
  <c r="O40" i="38" s="1"/>
  <c r="C153" i="38"/>
  <c r="AA153" i="38" s="1"/>
  <c r="Z128" i="38"/>
  <c r="C158" i="38"/>
  <c r="AM158" i="38" s="1"/>
  <c r="H158" i="33"/>
  <c r="AF158" i="33" s="1"/>
  <c r="C146" i="38"/>
  <c r="E146" i="38" s="1"/>
  <c r="AH146" i="38" s="1"/>
  <c r="C42" i="38"/>
  <c r="L42" i="38" s="1"/>
  <c r="AT42" i="33"/>
  <c r="C155" i="38"/>
  <c r="AS155" i="38" s="1"/>
  <c r="H155" i="33"/>
  <c r="C43" i="38"/>
  <c r="AN43" i="38" s="1"/>
  <c r="C48" i="38"/>
  <c r="F48" i="38" s="1"/>
  <c r="B11" i="39"/>
  <c r="B43" i="39" s="1"/>
  <c r="BO110" i="38"/>
  <c r="N51" i="2"/>
  <c r="Q170" i="38"/>
  <c r="N33" i="2"/>
  <c r="K170" i="38"/>
  <c r="C49" i="38"/>
  <c r="C28" i="38"/>
  <c r="AZ28" i="33"/>
  <c r="L23" i="2"/>
  <c r="C167" i="38"/>
  <c r="AO167" i="38" s="1"/>
  <c r="H167" i="33"/>
  <c r="O167" i="33" s="1"/>
  <c r="O181" i="33" s="1"/>
  <c r="C31" i="38"/>
  <c r="C27" i="38"/>
  <c r="AZ27" i="33"/>
  <c r="Q174" i="38"/>
  <c r="S79" i="38"/>
  <c r="C163" i="38"/>
  <c r="M163" i="38" s="1"/>
  <c r="H163" i="33"/>
  <c r="C136" i="38"/>
  <c r="C30" i="38"/>
  <c r="M172" i="38"/>
  <c r="S172" i="38"/>
  <c r="K174" i="38"/>
  <c r="C164" i="38"/>
  <c r="J164" i="38" s="1"/>
  <c r="H164" i="33"/>
  <c r="AO164" i="33" s="1"/>
  <c r="C37" i="38"/>
  <c r="Q37" i="38" s="1"/>
  <c r="C143" i="38"/>
  <c r="E143" i="38" s="1"/>
  <c r="L143" i="38" s="1"/>
  <c r="R143" i="33"/>
  <c r="R181" i="33" s="1"/>
  <c r="R185" i="33" s="1"/>
  <c r="C61" i="42" s="1"/>
  <c r="O61" i="42" s="1"/>
  <c r="C47" i="38"/>
  <c r="I47" i="38" s="1"/>
  <c r="C97" i="38"/>
  <c r="H97" i="38" s="1"/>
  <c r="BG207" i="38"/>
  <c r="BG208" i="38" s="1"/>
  <c r="C34" i="38"/>
  <c r="I34" i="38" s="1"/>
  <c r="C150" i="38"/>
  <c r="C93" i="38"/>
  <c r="C102" i="38"/>
  <c r="C151" i="38"/>
  <c r="AN151" i="38" s="1"/>
  <c r="C104" i="38"/>
  <c r="R104" i="38" s="1"/>
  <c r="C152" i="38"/>
  <c r="AV152" i="38" s="1"/>
  <c r="C144" i="38"/>
  <c r="E144" i="38" s="1"/>
  <c r="AU144" i="38" s="1"/>
  <c r="C157" i="38"/>
  <c r="AR157" i="38" s="1"/>
  <c r="C159" i="38"/>
  <c r="L159" i="38" s="1"/>
  <c r="C166" i="38"/>
  <c r="AO166" i="38" s="1"/>
  <c r="L100" i="38"/>
  <c r="BQ68" i="38"/>
  <c r="C134" i="38"/>
  <c r="U134" i="38" s="1"/>
  <c r="N116" i="38"/>
  <c r="BP116" i="38"/>
  <c r="I35" i="38"/>
  <c r="BR35" i="38"/>
  <c r="C135" i="38"/>
  <c r="L68" i="38"/>
  <c r="AJ68" i="38"/>
  <c r="AG74" i="38"/>
  <c r="AG207" i="38" s="1"/>
  <c r="AG208" i="38" s="1"/>
  <c r="AJ74" i="38"/>
  <c r="L71" i="38"/>
  <c r="AF71" i="38"/>
  <c r="AF207" i="38" s="1"/>
  <c r="AF208" i="38" s="1"/>
  <c r="AB69" i="38"/>
  <c r="L69" i="38"/>
  <c r="K109" i="33"/>
  <c r="I100" i="38"/>
  <c r="S100" i="38"/>
  <c r="H100" i="38"/>
  <c r="G100" i="38"/>
  <c r="AA100" i="38"/>
  <c r="F100" i="38"/>
  <c r="V100" i="38"/>
  <c r="Q100" i="38"/>
  <c r="R100" i="38"/>
  <c r="K100" i="38"/>
  <c r="J100" i="38"/>
  <c r="H71" i="38"/>
  <c r="AB71" i="38"/>
  <c r="X77" i="38"/>
  <c r="U77" i="38"/>
  <c r="AB77" i="38"/>
  <c r="X74" i="38"/>
  <c r="AB74" i="38"/>
  <c r="AB78" i="38"/>
  <c r="U78" i="38"/>
  <c r="AA78" i="38"/>
  <c r="X78" i="38"/>
  <c r="I78" i="38"/>
  <c r="F78" i="38"/>
  <c r="I90" i="38"/>
  <c r="S90" i="38"/>
  <c r="J90" i="38"/>
  <c r="R90" i="38"/>
  <c r="G90" i="38"/>
  <c r="Q90" i="38"/>
  <c r="H90" i="38"/>
  <c r="F90" i="38"/>
  <c r="C149" i="38"/>
  <c r="Y149" i="38" s="1"/>
  <c r="X68" i="38"/>
  <c r="AB68" i="38"/>
  <c r="W68" i="38"/>
  <c r="U68" i="38"/>
  <c r="H68" i="38"/>
  <c r="N69" i="38"/>
  <c r="X69" i="38"/>
  <c r="Q71" i="38"/>
  <c r="K103" i="38"/>
  <c r="C94" i="38"/>
  <c r="K96" i="33"/>
  <c r="L96" i="33" s="1"/>
  <c r="L73" i="33"/>
  <c r="F35" i="38"/>
  <c r="O69" i="38"/>
  <c r="F74" i="38"/>
  <c r="I74" i="38"/>
  <c r="S103" i="38"/>
  <c r="V103" i="38"/>
  <c r="R68" i="38"/>
  <c r="O68" i="38"/>
  <c r="F68" i="38"/>
  <c r="Z68" i="38"/>
  <c r="S68" i="38"/>
  <c r="Q68" i="38"/>
  <c r="AA68" i="38"/>
  <c r="V68" i="38"/>
  <c r="O71" i="38"/>
  <c r="AA71" i="38"/>
  <c r="K71" i="38"/>
  <c r="N71" i="38"/>
  <c r="M71" i="38"/>
  <c r="I71" i="38"/>
  <c r="J71" i="38"/>
  <c r="F71" i="38"/>
  <c r="S71" i="38"/>
  <c r="F70" i="38"/>
  <c r="I70" i="38"/>
  <c r="J68" i="38"/>
  <c r="AH109" i="33"/>
  <c r="K68" i="38"/>
  <c r="AQ109" i="33"/>
  <c r="AR109" i="33"/>
  <c r="N68" i="38"/>
  <c r="V101" i="38"/>
  <c r="P68" i="38"/>
  <c r="R71" i="38"/>
  <c r="M69" i="38"/>
  <c r="I69" i="38"/>
  <c r="S69" i="38"/>
  <c r="R69" i="38"/>
  <c r="P69" i="38"/>
  <c r="F69" i="38"/>
  <c r="Z69" i="38"/>
  <c r="AA69" i="38"/>
  <c r="Q69" i="38"/>
  <c r="V69" i="38"/>
  <c r="J103" i="38"/>
  <c r="I103" i="38"/>
  <c r="G103" i="38"/>
  <c r="R103" i="38"/>
  <c r="Q103" i="38"/>
  <c r="AA77" i="38"/>
  <c r="I77" i="38"/>
  <c r="M68" i="38"/>
  <c r="R101" i="38"/>
  <c r="Z70" i="38"/>
  <c r="J69" i="38"/>
  <c r="I68" i="38"/>
  <c r="V71" i="38"/>
  <c r="S109" i="33"/>
  <c r="S101" i="38"/>
  <c r="K101" i="38"/>
  <c r="I101" i="38"/>
  <c r="Q101" i="38"/>
  <c r="J101" i="38"/>
  <c r="G101" i="38"/>
  <c r="F101" i="38"/>
  <c r="AA74" i="38"/>
  <c r="BJ109" i="33"/>
  <c r="K69" i="38"/>
  <c r="P71" i="38"/>
  <c r="F77" i="38"/>
  <c r="F103" i="38"/>
  <c r="L52" i="35"/>
  <c r="M19" i="35"/>
  <c r="L19" i="35"/>
  <c r="H33" i="35"/>
  <c r="J41" i="35" s="1"/>
  <c r="O6" i="35"/>
  <c r="E73" i="35"/>
  <c r="G264" i="21"/>
  <c r="B31" i="27" s="1"/>
  <c r="G261" i="21"/>
  <c r="B30" i="27" s="1"/>
  <c r="G273" i="21"/>
  <c r="G270" i="21"/>
  <c r="B28" i="27" s="1"/>
  <c r="G267" i="21"/>
  <c r="B25" i="27" s="1"/>
  <c r="G258" i="21"/>
  <c r="G143" i="21"/>
  <c r="C39" i="40" l="1"/>
  <c r="AM137" i="33"/>
  <c r="AJ137" i="33"/>
  <c r="AL207" i="38"/>
  <c r="AL208" i="38" s="1"/>
  <c r="AJ135" i="33"/>
  <c r="G22" i="42"/>
  <c r="H22" i="42" s="1"/>
  <c r="I22" i="42" s="1"/>
  <c r="J22" i="42" s="1"/>
  <c r="O22" i="42"/>
  <c r="P22" i="42" s="1"/>
  <c r="AL139" i="33"/>
  <c r="AL181" i="33" s="1"/>
  <c r="AL185" i="33" s="1"/>
  <c r="C41" i="42" s="1"/>
  <c r="O41" i="42" s="1"/>
  <c r="AK139" i="33"/>
  <c r="AF139" i="33"/>
  <c r="K185" i="33"/>
  <c r="K186" i="33" s="1"/>
  <c r="K187" i="33" s="1"/>
  <c r="B146" i="28" s="1"/>
  <c r="AM109" i="33"/>
  <c r="AJ109" i="33"/>
  <c r="O185" i="33"/>
  <c r="C57" i="42" s="1"/>
  <c r="O57" i="42" s="1"/>
  <c r="AO155" i="33"/>
  <c r="AO181" i="33" s="1"/>
  <c r="AO185" i="33" s="1"/>
  <c r="K164" i="33"/>
  <c r="G21" i="42"/>
  <c r="CH21" i="38" s="1"/>
  <c r="G61" i="42"/>
  <c r="H61" i="42" s="1"/>
  <c r="I61" i="42" s="1"/>
  <c r="J61" i="42" s="1"/>
  <c r="P61" i="42"/>
  <c r="G48" i="42"/>
  <c r="M48" i="42" s="1"/>
  <c r="N48" i="42" s="1"/>
  <c r="P48" i="42"/>
  <c r="G60" i="42"/>
  <c r="H60" i="42" s="1"/>
  <c r="I60" i="42" s="1"/>
  <c r="J60" i="42" s="1"/>
  <c r="P60" i="42"/>
  <c r="G43" i="42"/>
  <c r="M43" i="42" s="1"/>
  <c r="N43" i="42" s="1"/>
  <c r="P43" i="42"/>
  <c r="G3" i="42"/>
  <c r="H3" i="42" s="1"/>
  <c r="I3" i="42" s="1"/>
  <c r="J3" i="42" s="1"/>
  <c r="P3" i="42"/>
  <c r="G64" i="42"/>
  <c r="H64" i="42" s="1"/>
  <c r="I64" i="42" s="1"/>
  <c r="J64" i="42" s="1"/>
  <c r="P64" i="42"/>
  <c r="G4" i="42"/>
  <c r="H4" i="42" s="1"/>
  <c r="I4" i="42" s="1"/>
  <c r="P4" i="42"/>
  <c r="G6" i="42"/>
  <c r="CH6" i="38" s="1"/>
  <c r="P6" i="42"/>
  <c r="M13" i="42"/>
  <c r="N13" i="42" s="1"/>
  <c r="CE13" i="38"/>
  <c r="V96" i="38"/>
  <c r="BE110" i="33"/>
  <c r="BB110" i="33"/>
  <c r="AZ110" i="33"/>
  <c r="BD110" i="33"/>
  <c r="BA110" i="33"/>
  <c r="BM110" i="33"/>
  <c r="BL110" i="33"/>
  <c r="BK110" i="33"/>
  <c r="BH110" i="33"/>
  <c r="BF110" i="33"/>
  <c r="AS181" i="33"/>
  <c r="AS185" i="33" s="1"/>
  <c r="C35" i="42" s="1"/>
  <c r="O35" i="42" s="1"/>
  <c r="AT181" i="33"/>
  <c r="AT185" i="33" s="1"/>
  <c r="C36" i="42" s="1"/>
  <c r="O36" i="42" s="1"/>
  <c r="J13" i="42"/>
  <c r="P21" i="38"/>
  <c r="U181" i="33"/>
  <c r="U185" i="33" s="1"/>
  <c r="C63" i="42" s="1"/>
  <c r="O63" i="42" s="1"/>
  <c r="AA21" i="38"/>
  <c r="V99" i="38"/>
  <c r="K21" i="38"/>
  <c r="R99" i="38"/>
  <c r="H96" i="38"/>
  <c r="K96" i="38"/>
  <c r="Q96" i="38"/>
  <c r="G96" i="38"/>
  <c r="T159" i="33"/>
  <c r="T181" i="33" s="1"/>
  <c r="T185" i="33" s="1"/>
  <c r="C62" i="42" s="1"/>
  <c r="O62" i="42" s="1"/>
  <c r="R96" i="38"/>
  <c r="I96" i="38"/>
  <c r="AR181" i="33"/>
  <c r="AR185" i="33" s="1"/>
  <c r="C19" i="42" s="1"/>
  <c r="S96" i="38"/>
  <c r="J96" i="38"/>
  <c r="L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R21" i="38"/>
  <c r="J165" i="38"/>
  <c r="H21" i="38"/>
  <c r="Q99" i="38"/>
  <c r="X163" i="38"/>
  <c r="I165" i="38"/>
  <c r="K99" i="38"/>
  <c r="N167" i="38"/>
  <c r="AU157" i="33"/>
  <c r="S99" i="38"/>
  <c r="L162" i="38"/>
  <c r="F99" i="38"/>
  <c r="X162" i="38"/>
  <c r="X165" i="38"/>
  <c r="R162" i="38"/>
  <c r="M162" i="38"/>
  <c r="S21" i="38"/>
  <c r="AA165" i="38"/>
  <c r="Q162" i="38"/>
  <c r="F38" i="38"/>
  <c r="AU165" i="38"/>
  <c r="O165" i="38"/>
  <c r="P163" i="38"/>
  <c r="AA162" i="38"/>
  <c r="U167" i="38"/>
  <c r="G167" i="38"/>
  <c r="AH207" i="38"/>
  <c r="Q167" i="38"/>
  <c r="AN207" i="38"/>
  <c r="AN208" i="38" s="1"/>
  <c r="Z163" i="38"/>
  <c r="R163" i="38"/>
  <c r="F43" i="38"/>
  <c r="I162" i="38"/>
  <c r="J162" i="38"/>
  <c r="I167" i="38"/>
  <c r="BM109" i="33"/>
  <c r="S167" i="38"/>
  <c r="AA163" i="38"/>
  <c r="S162" i="38"/>
  <c r="F167" i="38"/>
  <c r="K163" i="38"/>
  <c r="K162" i="38"/>
  <c r="X167" i="38"/>
  <c r="Z43" i="38"/>
  <c r="N30" i="2"/>
  <c r="Q163" i="38"/>
  <c r="N23" i="2"/>
  <c r="V163" i="38"/>
  <c r="AB21" i="38"/>
  <c r="F41" i="38"/>
  <c r="S165" i="38"/>
  <c r="AB22" i="38"/>
  <c r="O83" i="38"/>
  <c r="V167" i="38"/>
  <c r="O160" i="38"/>
  <c r="Q83" i="38"/>
  <c r="F36" i="38"/>
  <c r="R22" i="38"/>
  <c r="I48" i="38"/>
  <c r="L22" i="38"/>
  <c r="S22" i="38"/>
  <c r="I43" i="38"/>
  <c r="H143" i="38"/>
  <c r="I143" i="38"/>
  <c r="M160" i="38"/>
  <c r="P164" i="38"/>
  <c r="J22" i="38"/>
  <c r="I22" i="38"/>
  <c r="M21" i="38"/>
  <c r="Q164" i="38"/>
  <c r="L21" i="38"/>
  <c r="K22" i="38"/>
  <c r="F158" i="38"/>
  <c r="I21" i="38"/>
  <c r="AA164" i="38"/>
  <c r="N23" i="38"/>
  <c r="M164" i="38"/>
  <c r="G21" i="38"/>
  <c r="Q21" i="38"/>
  <c r="I163" i="38"/>
  <c r="K23" i="38"/>
  <c r="L163" i="38"/>
  <c r="R158" i="38"/>
  <c r="AB164" i="38"/>
  <c r="AA160" i="38"/>
  <c r="S161" i="38"/>
  <c r="I83" i="38"/>
  <c r="J158" i="38"/>
  <c r="S158" i="38"/>
  <c r="F22" i="38"/>
  <c r="M161" i="38"/>
  <c r="K158" i="38"/>
  <c r="F160" i="38"/>
  <c r="M83" i="38"/>
  <c r="Q79" i="38"/>
  <c r="F95" i="38"/>
  <c r="I95" i="38"/>
  <c r="L155" i="38"/>
  <c r="I154" i="38"/>
  <c r="H22" i="38"/>
  <c r="L154" i="38"/>
  <c r="F164" i="38"/>
  <c r="M23" i="38"/>
  <c r="AA22" i="38"/>
  <c r="K37" i="38"/>
  <c r="J79" i="38"/>
  <c r="S164" i="38"/>
  <c r="G163" i="38"/>
  <c r="AA98" i="38"/>
  <c r="Q22" i="38"/>
  <c r="S143" i="38"/>
  <c r="P95" i="38"/>
  <c r="M145" i="38"/>
  <c r="V156" i="38"/>
  <c r="I145" i="38"/>
  <c r="Q160" i="38"/>
  <c r="AA95" i="38"/>
  <c r="K42" i="38"/>
  <c r="AM156" i="38"/>
  <c r="X48" i="38"/>
  <c r="R164" i="38"/>
  <c r="BA95" i="38"/>
  <c r="BA207" i="38" s="1"/>
  <c r="BA208" i="38" s="1"/>
  <c r="F21" i="38"/>
  <c r="Z160" i="38"/>
  <c r="I158" i="38"/>
  <c r="I164" i="38"/>
  <c r="J163" i="38"/>
  <c r="Q155" i="38"/>
  <c r="G98" i="38"/>
  <c r="G143" i="38"/>
  <c r="L160" i="38"/>
  <c r="L95" i="38"/>
  <c r="AH181" i="33"/>
  <c r="AH185" i="33" s="1"/>
  <c r="C2" i="42" s="1"/>
  <c r="O2" i="42" s="1"/>
  <c r="AV145" i="33"/>
  <c r="AV181" i="33" s="1"/>
  <c r="AV185" i="33" s="1"/>
  <c r="C38" i="42" s="1"/>
  <c r="O38" i="42" s="1"/>
  <c r="AU145" i="33"/>
  <c r="M155" i="38"/>
  <c r="L156" i="38"/>
  <c r="R156" i="38"/>
  <c r="S98" i="38"/>
  <c r="K145" i="38"/>
  <c r="X156" i="38"/>
  <c r="X79" i="38"/>
  <c r="H98" i="38"/>
  <c r="F145" i="38"/>
  <c r="H95" i="38"/>
  <c r="AW153" i="38"/>
  <c r="AW207" i="38" s="1"/>
  <c r="AW208" i="38" s="1"/>
  <c r="I161" i="38"/>
  <c r="P145" i="38"/>
  <c r="AM146" i="33"/>
  <c r="AJ146" i="33"/>
  <c r="AK33" i="33"/>
  <c r="AF33" i="33"/>
  <c r="G156" i="38"/>
  <c r="L72" i="33"/>
  <c r="J98" i="38"/>
  <c r="N143" i="38"/>
  <c r="K95" i="38"/>
  <c r="S155" i="38"/>
  <c r="I156" i="38"/>
  <c r="R160" i="38"/>
  <c r="AA79" i="38"/>
  <c r="K98" i="38"/>
  <c r="Q95" i="38"/>
  <c r="X37" i="38"/>
  <c r="AM136" i="33"/>
  <c r="AJ136" i="33"/>
  <c r="Q156" i="38"/>
  <c r="N79" i="38"/>
  <c r="K79" i="38"/>
  <c r="P160" i="38"/>
  <c r="F39" i="38"/>
  <c r="Q146" i="38"/>
  <c r="M40" i="38"/>
  <c r="AB79" i="38"/>
  <c r="X161" i="38"/>
  <c r="AS164" i="38"/>
  <c r="AS207" i="38" s="1"/>
  <c r="AS208" i="38" s="1"/>
  <c r="G126" i="38"/>
  <c r="AQ181" i="33"/>
  <c r="AQ185" i="33" s="1"/>
  <c r="C20" i="42" s="1"/>
  <c r="AA161" i="38"/>
  <c r="K155" i="38"/>
  <c r="O79" i="38"/>
  <c r="Y113" i="38"/>
  <c r="I37" i="38"/>
  <c r="F33" i="38"/>
  <c r="J21" i="38"/>
  <c r="V160" i="38"/>
  <c r="V161" i="38"/>
  <c r="G164" i="38"/>
  <c r="F163" i="38"/>
  <c r="F40" i="38"/>
  <c r="J155" i="38"/>
  <c r="V98" i="38"/>
  <c r="O22" i="38"/>
  <c r="V40" i="38"/>
  <c r="AA154" i="38"/>
  <c r="I42" i="38"/>
  <c r="AY83" i="38"/>
  <c r="AY207" i="38" s="1"/>
  <c r="AY208" i="38" s="1"/>
  <c r="L146" i="38"/>
  <c r="AU160" i="38"/>
  <c r="BB165" i="33"/>
  <c r="AA165" i="33"/>
  <c r="AA181" i="33" s="1"/>
  <c r="AA185" i="33" s="1"/>
  <c r="C16" i="42" s="1"/>
  <c r="O16" i="42" s="1"/>
  <c r="Z165" i="33"/>
  <c r="Z181" i="33" s="1"/>
  <c r="Z185" i="33" s="1"/>
  <c r="C15" i="42" s="1"/>
  <c r="O15" i="42" s="1"/>
  <c r="K156" i="38"/>
  <c r="G155" i="38"/>
  <c r="BA40" i="33"/>
  <c r="S40" i="33"/>
  <c r="Y161" i="33"/>
  <c r="Y181" i="33" s="1"/>
  <c r="Y185" i="33" s="1"/>
  <c r="X161" i="33"/>
  <c r="X181" i="33" s="1"/>
  <c r="X185" i="33" s="1"/>
  <c r="C14" i="42" s="1"/>
  <c r="O14" i="42" s="1"/>
  <c r="AB161" i="33"/>
  <c r="BA161" i="33"/>
  <c r="AA156" i="38"/>
  <c r="F156" i="38"/>
  <c r="F161" i="38"/>
  <c r="P79" i="38"/>
  <c r="I98" i="38"/>
  <c r="K143" i="38"/>
  <c r="J95" i="38"/>
  <c r="AB160" i="33"/>
  <c r="BA160" i="33"/>
  <c r="M79" i="38"/>
  <c r="Q145" i="38"/>
  <c r="G145" i="38"/>
  <c r="F42" i="38"/>
  <c r="V145" i="38"/>
  <c r="X160" i="38"/>
  <c r="H145" i="38"/>
  <c r="AZ22" i="33"/>
  <c r="BA22" i="33"/>
  <c r="BL22" i="33"/>
  <c r="BK22" i="33"/>
  <c r="BH22" i="33"/>
  <c r="BG22" i="33"/>
  <c r="BG181" i="33" s="1"/>
  <c r="BF22" i="33"/>
  <c r="BE22" i="33"/>
  <c r="BD22" i="33"/>
  <c r="BC22" i="33"/>
  <c r="BC181" i="33" s="1"/>
  <c r="BB22" i="33"/>
  <c r="BI22" i="33"/>
  <c r="BI181" i="33" s="1"/>
  <c r="I155" i="38"/>
  <c r="I79" i="38"/>
  <c r="J156" i="38"/>
  <c r="K160" i="38"/>
  <c r="K146" i="38"/>
  <c r="H40" i="38"/>
  <c r="R95" i="38"/>
  <c r="I44" i="38"/>
  <c r="L79" i="38"/>
  <c r="AR145" i="38"/>
  <c r="AR207" i="38" s="1"/>
  <c r="AR208" i="38" s="1"/>
  <c r="AU161" i="38"/>
  <c r="L37" i="38"/>
  <c r="F155" i="38"/>
  <c r="S160" i="38"/>
  <c r="AA158" i="38"/>
  <c r="Q161" i="38"/>
  <c r="Q98" i="38"/>
  <c r="M22" i="38"/>
  <c r="G95" i="38"/>
  <c r="R79" i="38"/>
  <c r="AI142" i="38"/>
  <c r="R98" i="38"/>
  <c r="M146" i="38"/>
  <c r="Y22" i="38"/>
  <c r="I40" i="38"/>
  <c r="S95" i="38"/>
  <c r="V42" i="38"/>
  <c r="AX83" i="38"/>
  <c r="AX207" i="38" s="1"/>
  <c r="AX208" i="38" s="1"/>
  <c r="G158" i="38"/>
  <c r="Z79" i="38"/>
  <c r="V79" i="38"/>
  <c r="S156" i="38"/>
  <c r="J161" i="38"/>
  <c r="F44" i="38"/>
  <c r="AA155" i="38"/>
  <c r="F98" i="38"/>
  <c r="F83" i="38"/>
  <c r="Q143" i="38"/>
  <c r="M42" i="38"/>
  <c r="L158" i="38"/>
  <c r="AZ83" i="38"/>
  <c r="AZ207" i="38" s="1"/>
  <c r="AZ208" i="38" s="1"/>
  <c r="F143" i="38"/>
  <c r="F47" i="38"/>
  <c r="V97" i="38"/>
  <c r="F97" i="38"/>
  <c r="I97" i="38"/>
  <c r="J97" i="38"/>
  <c r="K97" i="38"/>
  <c r="Q97" i="38"/>
  <c r="R97" i="38"/>
  <c r="G97" i="38"/>
  <c r="L97" i="38"/>
  <c r="AA97" i="38"/>
  <c r="S97" i="38"/>
  <c r="AA152" i="38"/>
  <c r="AV207" i="38"/>
  <c r="AV208" i="38" s="1"/>
  <c r="AM150" i="38"/>
  <c r="AD150" i="38"/>
  <c r="J104" i="38"/>
  <c r="Q150" i="38"/>
  <c r="J34" i="38"/>
  <c r="F34" i="38"/>
  <c r="V104" i="38"/>
  <c r="G157" i="38"/>
  <c r="L104" i="38"/>
  <c r="M34" i="38"/>
  <c r="P150" i="38"/>
  <c r="S150" i="38"/>
  <c r="K104" i="38"/>
  <c r="I104" i="38"/>
  <c r="S104" i="38"/>
  <c r="I150" i="38"/>
  <c r="G104" i="38"/>
  <c r="J150" i="38"/>
  <c r="AA150" i="38"/>
  <c r="G166" i="38"/>
  <c r="Q104" i="38"/>
  <c r="R150" i="38"/>
  <c r="AA157" i="38"/>
  <c r="F150" i="38"/>
  <c r="F157" i="38"/>
  <c r="I157" i="38"/>
  <c r="S166" i="38"/>
  <c r="X166" i="38"/>
  <c r="M157" i="38"/>
  <c r="Q166" i="38"/>
  <c r="N166" i="38"/>
  <c r="V166" i="38"/>
  <c r="S159" i="38"/>
  <c r="X159" i="38"/>
  <c r="F151" i="38"/>
  <c r="AO159" i="38"/>
  <c r="AO207" i="38" s="1"/>
  <c r="AO208" i="38" s="1"/>
  <c r="I151" i="38"/>
  <c r="F159" i="38"/>
  <c r="F144" i="38"/>
  <c r="AP159" i="38"/>
  <c r="V159" i="38"/>
  <c r="K159" i="38"/>
  <c r="I159" i="38"/>
  <c r="AA159" i="38"/>
  <c r="H127" i="38"/>
  <c r="R151" i="38"/>
  <c r="I144" i="38"/>
  <c r="P157" i="38"/>
  <c r="Z151" i="38"/>
  <c r="Y144" i="38"/>
  <c r="U166" i="38"/>
  <c r="Q157" i="38"/>
  <c r="F104" i="38"/>
  <c r="AA151" i="38"/>
  <c r="I166" i="38"/>
  <c r="H104" i="38"/>
  <c r="S157" i="38"/>
  <c r="G150" i="38"/>
  <c r="F166" i="38"/>
  <c r="L94"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AA149" i="38"/>
  <c r="F149" i="38"/>
  <c r="J149" i="38"/>
  <c r="J94" i="38"/>
  <c r="K94" i="38"/>
  <c r="Q94" i="38"/>
  <c r="R94" i="38"/>
  <c r="G94" i="38"/>
  <c r="S94" i="38"/>
  <c r="V94" i="38"/>
  <c r="AA94" i="38"/>
  <c r="H94" i="38"/>
  <c r="I94" i="38"/>
  <c r="B5" i="39"/>
  <c r="B37" i="39" s="1"/>
  <c r="AT111" i="38"/>
  <c r="AT207" i="38" s="1"/>
  <c r="AT208" i="38" s="1"/>
  <c r="Y110" i="38"/>
  <c r="F94" i="38"/>
  <c r="L83" i="33"/>
  <c r="B7" i="39"/>
  <c r="B39" i="39" s="1"/>
  <c r="L81" i="33"/>
  <c r="B6" i="39"/>
  <c r="B38" i="39" s="1"/>
  <c r="H184" i="21"/>
  <c r="H176" i="21"/>
  <c r="H172" i="21"/>
  <c r="Z20" i="21"/>
  <c r="Z19" i="21"/>
  <c r="Y19" i="21"/>
  <c r="AO4" i="2" s="1"/>
  <c r="J254" i="21"/>
  <c r="B84" i="28" s="1"/>
  <c r="H252" i="21"/>
  <c r="H251" i="21"/>
  <c r="H250" i="21"/>
  <c r="B82" i="28"/>
  <c r="C2" i="40" l="1"/>
  <c r="CL22" i="38"/>
  <c r="CL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M21" i="42"/>
  <c r="N21" i="42" s="1"/>
  <c r="H21" i="42"/>
  <c r="I21" i="42" s="1"/>
  <c r="J21" i="42" s="1"/>
  <c r="P57" i="42"/>
  <c r="G57" i="42"/>
  <c r="BD181" i="33"/>
  <c r="BD185" i="33" s="1"/>
  <c r="C11" i="42" s="1"/>
  <c r="O11" i="42" s="1"/>
  <c r="G15" i="42"/>
  <c r="M15" i="42" s="1"/>
  <c r="N15" i="42" s="1"/>
  <c r="P15" i="42"/>
  <c r="G36" i="42"/>
  <c r="H36" i="42" s="1"/>
  <c r="I36" i="42" s="1"/>
  <c r="J36" i="42" s="1"/>
  <c r="P36" i="42"/>
  <c r="G2" i="42"/>
  <c r="M2" i="42" s="1"/>
  <c r="N2" i="42" s="1"/>
  <c r="P2" i="42"/>
  <c r="G16" i="42"/>
  <c r="M16" i="42" s="1"/>
  <c r="N16" i="42" s="1"/>
  <c r="P16" i="42"/>
  <c r="G47" i="42"/>
  <c r="H47" i="42" s="1"/>
  <c r="I47" i="42" s="1"/>
  <c r="P47" i="42"/>
  <c r="G35" i="42"/>
  <c r="P35" i="42"/>
  <c r="M64" i="42"/>
  <c r="N64" i="42" s="1"/>
  <c r="G7" i="42"/>
  <c r="M7" i="42" s="1"/>
  <c r="N7" i="42" s="1"/>
  <c r="P7" i="42"/>
  <c r="G14" i="42"/>
  <c r="H14" i="42" s="1"/>
  <c r="I14" i="42" s="1"/>
  <c r="P14" i="42"/>
  <c r="G46" i="42"/>
  <c r="M46" i="42" s="1"/>
  <c r="N46" i="42" s="1"/>
  <c r="P46" i="42"/>
  <c r="M4" i="42"/>
  <c r="N4" i="42" s="1"/>
  <c r="CH4" i="38"/>
  <c r="M3" i="42"/>
  <c r="N3" i="42" s="1"/>
  <c r="CH3" i="38"/>
  <c r="M61" i="42"/>
  <c r="N61" i="42" s="1"/>
  <c r="CK63" i="38"/>
  <c r="CH61" i="38"/>
  <c r="G38" i="42"/>
  <c r="M38" i="42" s="1"/>
  <c r="N38" i="42" s="1"/>
  <c r="P38" i="42"/>
  <c r="G49" i="42"/>
  <c r="M49" i="42" s="1"/>
  <c r="N49" i="42" s="1"/>
  <c r="P49" i="42"/>
  <c r="M60" i="42"/>
  <c r="N60" i="42" s="1"/>
  <c r="CD60" i="38"/>
  <c r="G41" i="42"/>
  <c r="M41" i="42" s="1"/>
  <c r="N41" i="42" s="1"/>
  <c r="P41" i="42"/>
  <c r="G62" i="42"/>
  <c r="H62" i="42" s="1"/>
  <c r="I62" i="42" s="1"/>
  <c r="P62" i="42"/>
  <c r="G58" i="42"/>
  <c r="H58" i="42" s="1"/>
  <c r="I58" i="42" s="1"/>
  <c r="G63" i="42"/>
  <c r="P63" i="42"/>
  <c r="BF181" i="33"/>
  <c r="BF185" i="33" s="1"/>
  <c r="C51" i="42" s="1"/>
  <c r="O51" i="42" s="1"/>
  <c r="AP207" i="38"/>
  <c r="AP208" i="38" s="1"/>
  <c r="C4" i="40"/>
  <c r="BG185" i="33"/>
  <c r="C53" i="42" s="1"/>
  <c r="O53" i="42" s="1"/>
  <c r="BI185" i="33"/>
  <c r="C45" i="42" s="1"/>
  <c r="O45" i="42" s="1"/>
  <c r="BC185" i="33"/>
  <c r="C10" i="42" s="1"/>
  <c r="O10" i="42" s="1"/>
  <c r="J4" i="42"/>
  <c r="BJ181" i="33"/>
  <c r="AF181" i="33"/>
  <c r="AF185" i="33" s="1"/>
  <c r="C5" i="42" s="1"/>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F142" i="38"/>
  <c r="AU207" i="38"/>
  <c r="AU208" i="38" s="1"/>
  <c r="S142" i="38"/>
  <c r="V142" i="38"/>
  <c r="G142" i="38"/>
  <c r="I142" i="38"/>
  <c r="J142" i="38"/>
  <c r="H142" i="38"/>
  <c r="Q142" i="38"/>
  <c r="R142" i="38"/>
  <c r="J252" i="21"/>
  <c r="B83" i="28" s="1"/>
  <c r="B81" i="28"/>
  <c r="B80" i="28"/>
  <c r="B78" i="28"/>
  <c r="B77" i="28"/>
  <c r="B76" i="28"/>
  <c r="B75" i="28"/>
  <c r="B74" i="28"/>
  <c r="H35" i="42" l="1"/>
  <c r="I35" i="42" s="1"/>
  <c r="J35" i="42" s="1"/>
  <c r="H57" i="42"/>
  <c r="I57" i="42" s="1"/>
  <c r="J57" i="42" s="1"/>
  <c r="M63" i="42"/>
  <c r="N63" i="42" s="1"/>
  <c r="B72" i="42"/>
  <c r="C72" i="42" s="1"/>
  <c r="B22" i="39" s="1"/>
  <c r="H63" i="42"/>
  <c r="I63" i="42" s="1"/>
  <c r="J63" i="42" s="1"/>
  <c r="M57" i="42"/>
  <c r="N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H41" i="42"/>
  <c r="I41" i="42" s="1"/>
  <c r="J41" i="42" s="1"/>
  <c r="H7" i="42"/>
  <c r="I7" i="42" s="1"/>
  <c r="J7" i="42" s="1"/>
  <c r="G56" i="42"/>
  <c r="H56" i="42" s="1"/>
  <c r="I56" i="42" s="1"/>
  <c r="J56" i="42" s="1"/>
  <c r="G17" i="42"/>
  <c r="H17" i="42" s="1"/>
  <c r="I17" i="42" s="1"/>
  <c r="J17" i="42" s="1"/>
  <c r="P17" i="42"/>
  <c r="G10" i="42"/>
  <c r="P10" i="42"/>
  <c r="G40" i="42"/>
  <c r="M40" i="42" s="1"/>
  <c r="N40" i="42" s="1"/>
  <c r="P40" i="42"/>
  <c r="G54" i="42"/>
  <c r="CD54" i="38" s="1"/>
  <c r="P54" i="42"/>
  <c r="M58" i="42"/>
  <c r="N58" i="42" s="1"/>
  <c r="CD58" i="38"/>
  <c r="G44" i="42"/>
  <c r="P44" i="42"/>
  <c r="G37" i="42"/>
  <c r="M37" i="42" s="1"/>
  <c r="N37" i="42" s="1"/>
  <c r="P37" i="42"/>
  <c r="G51" i="42"/>
  <c r="H51" i="42" s="1"/>
  <c r="I51" i="42" s="1"/>
  <c r="P51" i="42"/>
  <c r="G53" i="42"/>
  <c r="M53" i="42" s="1"/>
  <c r="N53" i="42" s="1"/>
  <c r="P53" i="42"/>
  <c r="M62" i="42"/>
  <c r="N62" i="42" s="1"/>
  <c r="CK62" i="38"/>
  <c r="M35" i="42"/>
  <c r="N35" i="42" s="1"/>
  <c r="CA35" i="38"/>
  <c r="BZ35" i="38"/>
  <c r="BX35" i="38"/>
  <c r="BY35" i="38"/>
  <c r="CB35" i="38"/>
  <c r="CA36" i="38"/>
  <c r="BZ36" i="38"/>
  <c r="CB36" i="38"/>
  <c r="BY36" i="38"/>
  <c r="BX36" i="38"/>
  <c r="M14" i="42"/>
  <c r="N14" i="42" s="1"/>
  <c r="CE14" i="38"/>
  <c r="G39" i="42"/>
  <c r="G45" i="42"/>
  <c r="P45" i="42"/>
  <c r="G50" i="42"/>
  <c r="P50" i="42"/>
  <c r="G42" i="42"/>
  <c r="M42" i="42" s="1"/>
  <c r="N42" i="42" s="1"/>
  <c r="P42" i="42"/>
  <c r="G11" i="42"/>
  <c r="H11" i="42" s="1"/>
  <c r="I11" i="42" s="1"/>
  <c r="J11" i="42" s="1"/>
  <c r="P11" i="42"/>
  <c r="M47" i="42"/>
  <c r="N47" i="42" s="1"/>
  <c r="CC47" i="38"/>
  <c r="C52" i="42"/>
  <c r="O52" i="42" s="1"/>
  <c r="J62" i="42"/>
  <c r="J47" i="42"/>
  <c r="BJ185" i="33"/>
  <c r="C34" i="42" s="1"/>
  <c r="O34" i="42" s="1"/>
  <c r="BA185" i="33"/>
  <c r="C8" i="42" s="1"/>
  <c r="O8" i="42" s="1"/>
  <c r="BB185" i="33"/>
  <c r="C9" i="42" s="1"/>
  <c r="O9" i="42" s="1"/>
  <c r="BL185" i="33"/>
  <c r="C55" i="42" s="1"/>
  <c r="J58" i="42"/>
  <c r="J14" i="42"/>
  <c r="L51" i="22"/>
  <c r="L50" i="22"/>
  <c r="B78" i="42" l="1"/>
  <c r="C78" i="42" s="1"/>
  <c r="B28" i="39" s="1"/>
  <c r="H10" i="42"/>
  <c r="I10" i="42" s="1"/>
  <c r="J10" i="42" s="1"/>
  <c r="M45" i="42"/>
  <c r="N45" i="42" s="1"/>
  <c r="B75" i="42"/>
  <c r="C75" i="42" s="1"/>
  <c r="B25" i="39" s="1"/>
  <c r="H39" i="42"/>
  <c r="I39" i="42" s="1"/>
  <c r="J39" i="42" s="1"/>
  <c r="B73" i="42"/>
  <c r="C73" i="42" s="1"/>
  <c r="B23" i="39" s="1"/>
  <c r="CJ50" i="38"/>
  <c r="CJ207" i="38" s="1"/>
  <c r="M54" i="42"/>
  <c r="N54" i="42" s="1"/>
  <c r="H54" i="42"/>
  <c r="I54" i="42" s="1"/>
  <c r="J54" i="42" s="1"/>
  <c r="M17" i="42"/>
  <c r="N17" i="42" s="1"/>
  <c r="BX207" i="38"/>
  <c r="H53" i="42"/>
  <c r="I53" i="42" s="1"/>
  <c r="J53" i="42" s="1"/>
  <c r="M50" i="42"/>
  <c r="N50" i="42" s="1"/>
  <c r="H50" i="42"/>
  <c r="I50" i="42" s="1"/>
  <c r="J50" i="42" s="1"/>
  <c r="CB207" i="38"/>
  <c r="H40" i="42"/>
  <c r="I40" i="42" s="1"/>
  <c r="J40" i="42" s="1"/>
  <c r="H37" i="42"/>
  <c r="I37" i="42" s="1"/>
  <c r="J37" i="42" s="1"/>
  <c r="BY207" i="38"/>
  <c r="M11" i="42"/>
  <c r="N11" i="42" s="1"/>
  <c r="CF11" i="38"/>
  <c r="M39" i="42"/>
  <c r="N39" i="42" s="1"/>
  <c r="CH39" i="38"/>
  <c r="G9" i="42"/>
  <c r="M9" i="42" s="1"/>
  <c r="N9" i="42" s="1"/>
  <c r="P9" i="42"/>
  <c r="M44" i="42"/>
  <c r="N44" i="42" s="1"/>
  <c r="CC44" i="38"/>
  <c r="CC207" i="38" s="1"/>
  <c r="G55" i="42"/>
  <c r="CF55" i="38" s="1"/>
  <c r="M10" i="42"/>
  <c r="N10" i="42" s="1"/>
  <c r="CE10" i="38"/>
  <c r="G8" i="42"/>
  <c r="P8" i="42"/>
  <c r="H44" i="42"/>
  <c r="I44" i="42" s="1"/>
  <c r="J44" i="42" s="1"/>
  <c r="BZ207" i="38"/>
  <c r="M51" i="42"/>
  <c r="N51" i="42" s="1"/>
  <c r="CK51" i="38"/>
  <c r="CK207" i="38" s="1"/>
  <c r="G34" i="42"/>
  <c r="M34" i="42" s="1"/>
  <c r="N34" i="42" s="1"/>
  <c r="P34" i="42"/>
  <c r="H42" i="42"/>
  <c r="I42" i="42" s="1"/>
  <c r="J42" i="42" s="1"/>
  <c r="G52" i="42"/>
  <c r="M52" i="42" s="1"/>
  <c r="N52" i="42" s="1"/>
  <c r="P52" i="42"/>
  <c r="CA207" i="38"/>
  <c r="M56" i="42"/>
  <c r="N56" i="42" s="1"/>
  <c r="CI56" i="38"/>
  <c r="CI207" i="38" s="1"/>
  <c r="H45" i="42"/>
  <c r="I45" i="42" s="1"/>
  <c r="J45" i="42" s="1"/>
  <c r="J51" i="42"/>
  <c r="H232" i="21"/>
  <c r="M8" i="42" l="1"/>
  <c r="N8" i="42" s="1"/>
  <c r="B76" i="42"/>
  <c r="C76" i="42" s="1"/>
  <c r="B26" i="39" s="1"/>
  <c r="B70" i="42"/>
  <c r="C70" i="42" s="1"/>
  <c r="B20" i="39" s="1"/>
  <c r="M55" i="42"/>
  <c r="N55" i="42" s="1"/>
  <c r="H55" i="42"/>
  <c r="I55" i="42" s="1"/>
  <c r="J55" i="42" s="1"/>
  <c r="H34" i="42"/>
  <c r="I34" i="42" s="1"/>
  <c r="J34" i="42" s="1"/>
  <c r="H52" i="42"/>
  <c r="I52" i="42" s="1"/>
  <c r="J52" i="42" s="1"/>
  <c r="H8" i="42"/>
  <c r="I8" i="42" s="1"/>
  <c r="J8" i="42" s="1"/>
  <c r="H9" i="42"/>
  <c r="I9" i="42" s="1"/>
  <c r="J9" i="42" s="1"/>
  <c r="CF207" i="38"/>
  <c r="H7" i="24"/>
  <c r="AU9" i="2"/>
  <c r="AU8" i="2"/>
  <c r="AU7" i="2"/>
  <c r="AU6" i="2"/>
  <c r="AU5" i="2"/>
  <c r="AU3" i="2"/>
  <c r="AE19" i="21"/>
  <c r="AU4" i="2" s="1"/>
  <c r="E22" i="2"/>
  <c r="D22" i="2"/>
  <c r="AU10" i="2" l="1"/>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34" i="22" s="1"/>
  <c r="D20" i="42" s="1"/>
  <c r="H7" i="22"/>
  <c r="B28" i="28"/>
  <c r="D9" i="22"/>
  <c r="G20" i="42" l="1"/>
  <c r="CH20" i="38" s="1"/>
  <c r="O20" i="42"/>
  <c r="P20" i="42" s="1"/>
  <c r="B71" i="28"/>
  <c r="C66" i="22"/>
  <c r="C67" i="22"/>
  <c r="B46" i="28"/>
  <c r="B44" i="28"/>
  <c r="B27" i="27"/>
  <c r="B26" i="27"/>
  <c r="H20" i="42" l="1"/>
  <c r="I20" i="42" s="1"/>
  <c r="J20" i="42" s="1"/>
  <c r="M20" i="42"/>
  <c r="N20" i="42" s="1"/>
  <c r="J4" i="22"/>
  <c r="J3" i="22"/>
  <c r="E57" i="22"/>
  <c r="B115" i="28" s="1"/>
  <c r="C10" i="40" s="1"/>
  <c r="B65" i="22"/>
  <c r="C65" i="22" s="1"/>
  <c r="K32" i="22"/>
  <c r="O4" i="22"/>
  <c r="B25" i="28"/>
  <c r="H26" i="22"/>
  <c r="B26" i="28" s="1"/>
  <c r="B19" i="28"/>
  <c r="B3" i="28"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B5" i="28"/>
  <c r="B6" i="28"/>
  <c r="C86" i="22"/>
  <c r="AG10" i="2"/>
  <c r="AO10" i="2"/>
  <c r="Q25" i="21"/>
  <c r="H8" i="24"/>
  <c r="M19" i="22"/>
  <c r="L19" i="22"/>
  <c r="L43" i="22"/>
  <c r="J39" i="22"/>
  <c r="P11" i="2"/>
  <c r="L29" i="22"/>
  <c r="G59" i="42" l="1"/>
  <c r="B71" i="42" s="1"/>
  <c r="C71" i="42" s="1"/>
  <c r="B21" i="39" s="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CD59" i="38" l="1"/>
  <c r="CD207" i="38" s="1"/>
  <c r="M59" i="42"/>
  <c r="N59" i="42" s="1"/>
  <c r="H59" i="42"/>
  <c r="I59" i="42" s="1"/>
  <c r="J59" i="42" s="1"/>
  <c r="G19" i="42"/>
  <c r="B79" i="42" s="1"/>
  <c r="C79" i="42" s="1"/>
  <c r="B29" i="39" s="1"/>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X24" i="21" l="1"/>
  <c r="W24" i="21" s="1"/>
  <c r="AM9" i="2" s="1"/>
  <c r="CH19" i="38"/>
  <c r="CH207" i="38" s="1"/>
  <c r="CE19" i="38"/>
  <c r="H19" i="42"/>
  <c r="I19" i="42" s="1"/>
  <c r="J19" i="42" s="1"/>
  <c r="M19" i="42"/>
  <c r="N19" i="42" s="1"/>
  <c r="K150" i="21"/>
  <c r="B17" i="28"/>
  <c r="B29" i="27"/>
  <c r="AB25" i="21"/>
  <c r="O20" i="2" s="1"/>
  <c r="AR8" i="2"/>
  <c r="AR10" i="2" s="1"/>
  <c r="AN9" i="2" l="1"/>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B4" i="28"/>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B86" i="28"/>
  <c r="B87" i="28"/>
  <c r="B89" i="28" s="1"/>
  <c r="L10" i="22"/>
  <c r="M16" i="22"/>
  <c r="M13" i="22" s="1"/>
  <c r="C18" i="40"/>
  <c r="C20" i="40" s="1"/>
  <c r="L13" i="35" l="1"/>
  <c r="B88" i="28"/>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S4" i="38" s="1"/>
  <c r="BS207" i="38" s="1"/>
  <c r="BS208" i="38" s="1"/>
  <c r="C11" i="40"/>
  <c r="C19" i="40"/>
  <c r="C21" i="40" s="1"/>
  <c r="K45" i="22"/>
  <c r="O3" i="35"/>
  <c r="B43" i="28"/>
  <c r="H58" i="35"/>
  <c r="G12" i="42" l="1"/>
  <c r="O12" i="42"/>
  <c r="P12" i="42" s="1"/>
  <c r="H31" i="35"/>
  <c r="B12" i="28"/>
  <c r="H31" i="22"/>
  <c r="N48" i="35"/>
  <c r="N50" i="35"/>
  <c r="N49" i="22"/>
  <c r="N50" i="22"/>
  <c r="C13" i="40"/>
  <c r="C12" i="40"/>
  <c r="E4" i="38"/>
  <c r="BN4" i="38"/>
  <c r="BO4" i="38"/>
  <c r="BB4" i="38"/>
  <c r="BB207" i="38" s="1"/>
  <c r="BB208" i="38" s="1"/>
  <c r="BP4" i="38"/>
  <c r="C7" i="40" l="1"/>
  <c r="M12" i="42"/>
  <c r="N12" i="42" s="1"/>
  <c r="B77" i="42"/>
  <c r="C77" i="42" s="1"/>
  <c r="B27" i="39" s="1"/>
  <c r="CE12" i="38"/>
  <c r="CE207" i="38" s="1"/>
  <c r="H12" i="42"/>
  <c r="I12" i="42" s="1"/>
  <c r="J12" i="42" s="1"/>
  <c r="BQ207" i="38"/>
  <c r="BQ208" i="38" s="1"/>
  <c r="AM3" i="38"/>
  <c r="AM207" i="38" s="1"/>
  <c r="AM208" i="38" s="1"/>
  <c r="C5" i="40" s="1"/>
  <c r="BN207" i="38"/>
  <c r="BN208" i="38" s="1"/>
  <c r="BP207" i="38"/>
  <c r="BP208" i="38" s="1"/>
  <c r="BO207" i="38"/>
  <c r="BO208" i="38" s="1"/>
  <c r="P16" i="2"/>
  <c r="P15" i="2" s="1"/>
  <c r="F5" i="42"/>
  <c r="N52" i="35"/>
  <c r="N52" i="22"/>
  <c r="V4" i="38"/>
  <c r="V207" i="38" s="1"/>
  <c r="V208" i="38" s="1"/>
  <c r="Q4" i="38"/>
  <c r="Q207" i="38" s="1"/>
  <c r="Q208" i="38" s="1"/>
  <c r="P4" i="38"/>
  <c r="P207" i="38" s="1"/>
  <c r="P208" i="38" s="1"/>
  <c r="H4" i="38"/>
  <c r="H207" i="38" s="1"/>
  <c r="H208" i="38" s="1"/>
  <c r="BR207" i="38"/>
  <c r="BR208" i="38" s="1"/>
  <c r="AB4" i="38"/>
  <c r="AB207" i="38" s="1"/>
  <c r="AB208" i="38" s="1"/>
  <c r="W4" i="38"/>
  <c r="W207" i="38" s="1"/>
  <c r="W208" i="38" s="1"/>
  <c r="L4" i="38"/>
  <c r="J4" i="38"/>
  <c r="J207" i="38" s="1"/>
  <c r="J208" i="38" s="1"/>
  <c r="G4" i="38"/>
  <c r="G207" i="38" s="1"/>
  <c r="G208" i="38" s="1"/>
  <c r="U4" i="38"/>
  <c r="U207" i="38" s="1"/>
  <c r="U208" i="38" s="1"/>
  <c r="Z4" i="38"/>
  <c r="Z207" i="38" s="1"/>
  <c r="Z208" i="38" s="1"/>
  <c r="N4" i="38"/>
  <c r="R4" i="38"/>
  <c r="R207" i="38" s="1"/>
  <c r="R208" i="38" s="1"/>
  <c r="M4" i="38"/>
  <c r="M207" i="38" s="1"/>
  <c r="M208" i="38" s="1"/>
  <c r="F4" i="38"/>
  <c r="S4" i="38"/>
  <c r="S207" i="38" s="1"/>
  <c r="S208" i="38" s="1"/>
  <c r="AA4" i="38"/>
  <c r="AA207" i="38" s="1"/>
  <c r="AA208" i="38" s="1"/>
  <c r="X4" i="38"/>
  <c r="X207" i="38" s="1"/>
  <c r="X208" i="38" s="1"/>
  <c r="K4" i="38"/>
  <c r="O4" i="38"/>
  <c r="O207" i="38" s="1"/>
  <c r="O208" i="38" s="1"/>
  <c r="I4" i="38"/>
  <c r="Y4" i="38"/>
  <c r="Y207" i="38" s="1"/>
  <c r="Y208" i="38" s="1"/>
  <c r="C6" i="40" l="1"/>
  <c r="B73" i="28"/>
  <c r="D5" i="42"/>
  <c r="O5" i="42" s="1"/>
  <c r="P5" i="42" s="1"/>
  <c r="I207" i="38"/>
  <c r="I208" i="38" s="1"/>
  <c r="F207" i="38"/>
  <c r="F208" i="38" s="1"/>
  <c r="N207" i="38"/>
  <c r="N208" i="38" s="1"/>
  <c r="K207" i="38"/>
  <c r="K208" i="38" s="1"/>
  <c r="L207" i="38"/>
  <c r="L208" i="38" s="1"/>
  <c r="S16" i="2"/>
  <c r="V16" i="2" s="1"/>
  <c r="W15" i="2" s="1"/>
  <c r="J16" i="25" s="1"/>
  <c r="K20" i="2"/>
  <c r="G5" i="42" l="1"/>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CG5" i="38" l="1"/>
  <c r="CG207" i="38" s="1"/>
  <c r="B74" i="42"/>
  <c r="C74" i="42" s="1"/>
  <c r="B24" i="39"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W20" i="2" l="1"/>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U208" i="38"/>
  <c r="CE208" i="38"/>
  <c r="CF208" i="38"/>
  <c r="BW208" i="38"/>
  <c r="CK208" i="38"/>
  <c r="CC208" i="38"/>
  <c r="BX208" i="38"/>
  <c r="BV208" i="38"/>
  <c r="BY208" i="38"/>
  <c r="CA208" i="38"/>
  <c r="CJ208" i="38"/>
  <c r="CD208" i="38"/>
  <c r="CI208" i="38"/>
  <c r="CB208" i="38"/>
  <c r="CL208" i="38"/>
  <c r="BZ208" i="38"/>
  <c r="CG208" i="38"/>
  <c r="CH208" i="38"/>
  <c r="C8" i="40" l="1"/>
</calcChain>
</file>

<file path=xl/sharedStrings.xml><?xml version="1.0" encoding="utf-8"?>
<sst xmlns="http://schemas.openxmlformats.org/spreadsheetml/2006/main" count="6290" uniqueCount="2750">
  <si>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</si>
  <si>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</si>
  <si>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</si>
  <si>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</si>
  <si>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</si>
  <si>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</si>
  <si>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</si>
  <si>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</si>
  <si>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</si>
  <si>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</si>
  <si>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</si>
  <si>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</si>
  <si>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</si>
  <si>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</si>
  <si>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</si>
  <si>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</si>
  <si>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</si>
  <si>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</si>
  <si>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</si>
  <si>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</si>
  <si>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</si>
  <si>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</si>
  <si>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</si>
  <si>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</si>
  <si>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</si>
  <si>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</si>
  <si>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</si>
  <si>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</si>
  <si>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</si>
  <si>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</si>
  <si>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</si>
  <si>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</si>
  <si>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</si>
  <si>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</si>
  <si>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</si>
  <si>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</si>
  <si>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</si>
  <si>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</si>
  <si>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</si>
  <si>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</si>
  <si>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</si>
  <si>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</si>
  <si>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</si>
  <si>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</si>
  <si>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</si>
  <si>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</si>
  <si>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</si>
  <si>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</si>
  <si>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</si>
  <si>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</si>
  <si>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</si>
  <si>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</si>
  <si>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</si>
  <si>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</si>
  <si>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</si>
  <si>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</si>
  <si>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</si>
  <si>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</si>
  <si>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</si>
  <si>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</si>
  <si>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</si>
  <si>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</si>
  <si>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</si>
  <si>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</si>
  <si>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</si>
  <si>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</si>
  <si>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</si>
  <si>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</si>
  <si>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</si>
  <si>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</si>
  <si>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</si>
  <si>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</si>
  <si>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</si>
  <si>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</si>
  <si>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</si>
  <si>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</si>
  <si>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</si>
  <si>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</si>
  <si>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</si>
  <si>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</si>
  <si>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</si>
  <si>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</si>
  <si>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</si>
  <si>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</si>
  <si>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</si>
  <si>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</si>
  <si>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</si>
  <si>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</si>
  <si>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</si>
  <si>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</si>
  <si>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</si>
  <si>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</si>
  <si>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</si>
  <si>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</si>
  <si>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</si>
  <si>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</si>
  <si>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</si>
  <si>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</si>
  <si>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</si>
  <si>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</si>
  <si>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</si>
  <si>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</si>
  <si>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</si>
  <si>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</si>
  <si>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</si>
  <si>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</si>
  <si>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</si>
  <si>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</si>
  <si>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</si>
  <si>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</si>
  <si>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</si>
  <si>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</si>
  <si>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</si>
  <si>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</si>
  <si>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</si>
  <si>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</si>
  <si>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</si>
  <si>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</si>
  <si>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</si>
  <si>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</si>
  <si>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</si>
  <si>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</si>
  <si>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</si>
  <si>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</si>
  <si>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</si>
  <si>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</si>
  <si>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</si>
  <si>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</si>
  <si>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</si>
  <si>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</si>
  <si>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</si>
  <si>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</si>
  <si>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</si>
  <si>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</si>
  <si>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</si>
  <si>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</si>
  <si>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</si>
  <si>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</si>
  <si>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</si>
  <si>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</si>
  <si>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</si>
  <si>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</si>
  <si>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</si>
  <si>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</si>
  <si>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</si>
  <si>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</si>
  <si>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</si>
  <si>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</si>
  <si>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</si>
  <si>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</si>
  <si>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</si>
  <si>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</si>
  <si>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</si>
  <si>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</si>
  <si>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</si>
  <si>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</si>
  <si>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</si>
  <si>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</si>
  <si>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</si>
  <si>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</si>
  <si>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</si>
  <si>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</si>
  <si>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</si>
  <si>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</si>
  <si>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</si>
  <si>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</si>
  <si>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</si>
  <si>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</si>
  <si>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</si>
  <si>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</si>
  <si>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</si>
  <si>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</si>
  <si>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</si>
  <si>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</si>
  <si>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</si>
  <si>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</si>
  <si>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</si>
  <si>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</si>
  <si>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</si>
  <si>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</si>
  <si>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</si>
  <si>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</si>
  <si>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</si>
  <si>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</si>
  <si>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</si>
  <si>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</si>
  <si>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</si>
  <si>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</si>
  <si>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</si>
  <si>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</si>
  <si>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</si>
  <si>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</si>
  <si>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</si>
  <si>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</si>
  <si>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</si>
  <si>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</si>
  <si>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</si>
  <si>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</si>
  <si>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</si>
  <si>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</si>
  <si>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</si>
  <si>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</si>
  <si>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</si>
  <si>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</si>
  <si>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</si>
  <si>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</si>
  <si>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</si>
  <si>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</si>
  <si>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</si>
  <si>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</si>
  <si>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</si>
  <si>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</si>
  <si>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</si>
  <si>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</si>
  <si>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</si>
  <si>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</si>
  <si>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</si>
  <si>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</si>
  <si>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</si>
  <si>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</si>
  <si>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</si>
  <si>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</si>
  <si>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</si>
  <si>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</si>
  <si>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</si>
  <si>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</si>
  <si>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</si>
  <si>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</si>
  <si>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</si>
  <si>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</si>
  <si>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</si>
  <si>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</si>
  <si>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</si>
  <si>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</si>
  <si>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</si>
  <si>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</si>
  <si>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</si>
  <si>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</si>
  <si>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</si>
  <si>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</si>
  <si>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</si>
  <si>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</si>
  <si>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</si>
  <si>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</si>
  <si>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</si>
  <si>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</si>
  <si>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</si>
  <si>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</si>
  <si>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</si>
  <si>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</si>
  <si>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</si>
  <si>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</si>
  <si>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</si>
  <si>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</si>
  <si>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</si>
  <si>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</si>
  <si>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</si>
  <si>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</si>
  <si>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</si>
  <si>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</si>
  <si>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</si>
  <si>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</si>
  <si>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</si>
  <si>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</si>
  <si>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</si>
  <si>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</si>
  <si>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</si>
  <si>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</si>
  <si>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</si>
  <si>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</si>
  <si>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</si>
  <si>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</si>
  <si>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</si>
  <si>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</si>
  <si>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</si>
  <si>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</si>
  <si>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</si>
  <si>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</si>
  <si>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</si>
  <si>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</si>
  <si>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</si>
  <si>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</si>
  <si>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</si>
  <si>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</si>
  <si>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</si>
  <si>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</si>
  <si>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</si>
  <si>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</si>
  <si>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</si>
  <si>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</si>
  <si>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</si>
  <si>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</si>
  <si>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</si>
  <si>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</si>
  <si>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</si>
  <si>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</si>
  <si>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</si>
  <si>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</si>
  <si>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</si>
  <si>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</si>
  <si>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</si>
  <si>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</si>
  <si>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</si>
  <si>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</si>
  <si>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</si>
  <si>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</si>
  <si>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</si>
  <si>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</si>
  <si>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</si>
  <si>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</si>
  <si>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</si>
  <si>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</si>
  <si>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</si>
  <si>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</si>
  <si>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</si>
  <si>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</si>
  <si>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</si>
  <si>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</si>
  <si>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</si>
  <si>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</si>
  <si>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</si>
  <si>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</si>
  <si>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</si>
  <si>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</si>
  <si>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</si>
  <si>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</si>
  <si>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</si>
  <si>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</si>
  <si>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</si>
  <si>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</si>
  <si>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</si>
  <si>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</si>
  <si>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</si>
  <si>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</si>
  <si>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</si>
  <si>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</si>
  <si>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</si>
  <si>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</si>
  <si>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</si>
  <si>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</si>
  <si>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</si>
  <si>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</si>
  <si>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</si>
  <si>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</si>
  <si>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</si>
  <si>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</si>
  <si>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</si>
  <si>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</si>
  <si>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</si>
  <si>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</si>
  <si>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</si>
  <si>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</si>
  <si>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</si>
  <si>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</si>
  <si>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</si>
  <si>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</si>
  <si>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</si>
  <si>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</si>
  <si>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</si>
  <si>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</si>
  <si>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</si>
  <si>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</si>
  <si>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</si>
  <si>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</si>
  <si>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</si>
  <si>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</si>
  <si>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</si>
  <si>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</si>
  <si>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</si>
  <si>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</si>
  <si>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</si>
  <si>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</si>
  <si>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</si>
  <si>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</si>
  <si>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</si>
  <si>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</si>
  <si>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</si>
  <si>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</si>
  <si>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</si>
  <si>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</si>
  <si>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</si>
  <si>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</si>
  <si>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</si>
  <si>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</si>
  <si>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</si>
  <si>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</si>
  <si>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</si>
  <si>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</si>
  <si>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</si>
  <si>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</si>
  <si>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</si>
  <si>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</si>
  <si>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</si>
  <si>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</si>
  <si>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</si>
  <si>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</si>
  <si>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</si>
  <si>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</si>
  <si>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</si>
  <si>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</si>
  <si>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</si>
  <si>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</si>
  <si>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</si>
  <si>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</si>
  <si>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</si>
  <si>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</si>
  <si>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</si>
  <si>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</si>
  <si>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</si>
  <si>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</si>
  <si>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</si>
  <si>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</si>
  <si>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</si>
  <si>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</si>
  <si>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</si>
  <si>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</si>
  <si>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</si>
  <si>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</si>
  <si>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</si>
  <si>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</si>
  <si>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</si>
  <si>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</si>
  <si>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</si>
  <si>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</si>
  <si>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</si>
  <si>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</si>
  <si>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</si>
  <si>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</si>
  <si>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</si>
  <si>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</si>
  <si>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</si>
  <si>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</si>
  <si>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</si>
  <si>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</si>
  <si>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</si>
  <si>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</si>
  <si>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</si>
  <si>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</si>
  <si>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</si>
  <si>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</si>
  <si>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</si>
  <si>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</si>
  <si>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</si>
  <si>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</si>
  <si>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</si>
  <si>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</si>
  <si>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</si>
  <si>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</si>
  <si>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</si>
  <si>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</si>
  <si>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</si>
  <si>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</si>
  <si>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</si>
  <si>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</si>
  <si>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</si>
  <si>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</si>
  <si>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</si>
  <si>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</si>
  <si>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</si>
  <si>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</si>
  <si>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</si>
  <si>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</si>
  <si>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</si>
  <si>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</si>
  <si>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</si>
  <si>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</si>
  <si>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</si>
  <si>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</si>
  <si>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</si>
  <si>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</si>
  <si>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</si>
  <si>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</si>
  <si>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</si>
  <si>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</si>
  <si>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</si>
  <si>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</si>
  <si>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</si>
  <si>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</si>
  <si>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</si>
  <si>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</si>
  <si>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</si>
  <si>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</si>
  <si>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</si>
  <si>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</si>
  <si>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</si>
  <si>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</si>
  <si>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</si>
  <si>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</si>
  <si>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</si>
  <si>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</si>
  <si>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</si>
  <si>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</si>
  <si>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</si>
  <si>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</si>
  <si>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</si>
  <si>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</si>
  <si>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</si>
  <si>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</si>
  <si>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</si>
  <si>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</si>
  <si>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</si>
  <si>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</si>
  <si>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</si>
  <si>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</si>
  <si>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</si>
  <si>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</si>
  <si>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</si>
  <si>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</si>
  <si>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</si>
  <si>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</si>
  <si>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</si>
  <si>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</si>
  <si>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</si>
  <si>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</si>
  <si>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</si>
  <si>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</si>
  <si>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</si>
  <si>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</si>
  <si>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</si>
  <si>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</si>
  <si>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</si>
  <si>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</si>
  <si>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</si>
  <si>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</si>
  <si>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</si>
  <si>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</si>
  <si>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</si>
  <si>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</si>
  <si>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</si>
  <si>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</si>
  <si>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</si>
  <si>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</si>
  <si>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</si>
  <si>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</si>
  <si>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</si>
  <si>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</si>
  <si>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</si>
  <si>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</si>
  <si>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</si>
  <si>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</si>
  <si>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</si>
  <si>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</si>
  <si>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</si>
  <si>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</si>
  <si>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</si>
  <si>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</si>
  <si>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</si>
  <si>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</si>
  <si>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</si>
  <si>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</si>
  <si>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</si>
  <si>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</si>
  <si>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</si>
  <si>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</si>
  <si>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</si>
  <si>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</si>
  <si>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</si>
  <si>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</si>
  <si>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</si>
  <si>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</si>
  <si>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</si>
  <si>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</si>
  <si>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</si>
  <si>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</si>
  <si>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</si>
  <si>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</si>
  <si>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</si>
  <si>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</si>
  <si>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</si>
  <si>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</si>
  <si>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</si>
  <si>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</si>
  <si>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</si>
  <si>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</si>
  <si>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</si>
  <si>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</si>
  <si>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</si>
  <si>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</si>
  <si>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</si>
  <si>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</si>
  <si>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</si>
  <si>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</si>
  <si>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</si>
  <si>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</si>
  <si>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</si>
  <si>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</si>
  <si>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</si>
  <si>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</si>
  <si>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</si>
  <si>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</si>
  <si>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</si>
  <si>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</si>
  <si>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</si>
  <si>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</si>
  <si>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</si>
  <si>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</si>
  <si>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</si>
  <si>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</si>
  <si>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</si>
  <si>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</si>
  <si>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</si>
  <si>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</si>
  <si>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</si>
  <si>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</si>
  <si>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</si>
  <si>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</si>
  <si>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</si>
  <si>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</si>
  <si>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</si>
  <si>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</si>
  <si>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</si>
  <si>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</si>
  <si>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</si>
  <si>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</si>
  <si>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</si>
  <si>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</si>
  <si>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</si>
  <si>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</si>
  <si>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</si>
  <si>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</si>
  <si>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</si>
  <si>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</si>
  <si>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</si>
  <si>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</si>
  <si>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</si>
  <si>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</si>
  <si>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</si>
  <si>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</si>
  <si>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</si>
  <si>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</si>
  <si>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</si>
  <si>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</si>
  <si>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</si>
  <si>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</si>
  <si>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</si>
  <si>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</si>
  <si>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</si>
  <si>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</si>
  <si>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</si>
  <si>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</si>
  <si>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</si>
  <si>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</si>
  <si>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</si>
  <si>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</si>
  <si>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</si>
  <si>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</si>
  <si>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</si>
  <si>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</si>
  <si>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</si>
  <si>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</si>
  <si>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</si>
  <si>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</si>
  <si>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</si>
  <si>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</si>
  <si>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</si>
  <si>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</si>
  <si>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</si>
  <si>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</si>
  <si>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</si>
  <si>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</si>
  <si>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</si>
  <si>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</si>
  <si>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</si>
  <si>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</si>
  <si>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</si>
  <si>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</si>
  <si>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</si>
  <si>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</si>
  <si>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</si>
  <si>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</si>
  <si>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</si>
  <si>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</si>
  <si>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</si>
  <si>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</si>
  <si>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</si>
  <si>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</si>
  <si>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</si>
  <si>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</si>
  <si>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</si>
  <si>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</si>
  <si>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</si>
  <si>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</si>
  <si>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</si>
  <si>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</si>
  <si>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</si>
  <si>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</si>
  <si>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</si>
  <si>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</si>
  <si>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</si>
  <si>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</si>
  <si>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</si>
  <si>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</si>
  <si>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</si>
  <si>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</si>
  <si>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</si>
  <si>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</si>
  <si>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</si>
  <si>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</si>
  <si>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</si>
  <si>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</si>
  <si>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</si>
  <si>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</si>
  <si>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</si>
  <si>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</si>
  <si>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</si>
  <si>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</si>
  <si>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</si>
  <si>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</si>
  <si>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</si>
  <si>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</si>
  <si>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</si>
  <si>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</si>
  <si>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</si>
  <si>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</si>
  <si>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</si>
  <si>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</si>
  <si>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</si>
  <si>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</si>
  <si>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</si>
  <si>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</si>
  <si>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</si>
  <si>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</si>
  <si>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</si>
  <si>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</si>
  <si>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</si>
  <si>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</si>
  <si>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</si>
  <si>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</si>
  <si>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</si>
  <si>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</si>
  <si>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</si>
  <si>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</si>
  <si>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</si>
  <si>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</si>
  <si>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</si>
  <si>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</si>
  <si>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</si>
  <si>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</si>
  <si>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</si>
  <si>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</si>
  <si>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</si>
  <si>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</si>
  <si>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</si>
  <si>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</si>
  <si>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</si>
  <si>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</si>
  <si>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</si>
  <si>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</si>
  <si>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</si>
  <si>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</si>
  <si>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</si>
  <si>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</si>
  <si>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</si>
  <si>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</si>
  <si>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</si>
  <si>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</si>
  <si>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</si>
  <si>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</si>
  <si>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</si>
  <si>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</si>
  <si>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</si>
  <si>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</si>
  <si>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</si>
  <si>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</si>
  <si>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</si>
  <si>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</si>
  <si>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</si>
  <si>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</si>
  <si>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</si>
  <si>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</si>
  <si>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</si>
  <si>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</si>
  <si>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</si>
  <si>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</si>
  <si>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</si>
  <si>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</si>
  <si>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</si>
  <si>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</si>
  <si>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</si>
  <si>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</si>
  <si>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</si>
  <si>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</si>
  <si>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</si>
  <si>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</si>
  <si>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</si>
  <si>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</si>
  <si>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</si>
  <si>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</si>
  <si>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</si>
  <si>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</si>
  <si>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</si>
  <si>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</si>
  <si>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</si>
  <si>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</si>
  <si>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</si>
  <si>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</si>
  <si>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</si>
  <si>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</si>
  <si>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</si>
  <si>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</si>
  <si>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</si>
  <si>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</si>
  <si>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</si>
  <si>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</si>
  <si>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</si>
  <si>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</si>
  <si>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</si>
  <si>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</si>
  <si>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</si>
  <si>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</si>
  <si>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</si>
  <si>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</si>
  <si>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</si>
  <si>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</si>
  <si>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</si>
  <si>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</si>
  <si>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</si>
  <si>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</si>
  <si>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</si>
  <si>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</si>
  <si>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</si>
  <si>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</si>
  <si>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</si>
  <si>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</si>
  <si>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</si>
  <si>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</si>
  <si>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</si>
  <si>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</si>
  <si>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</si>
  <si>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</si>
  <si>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</si>
  <si>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</si>
  <si>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</si>
  <si>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</si>
  <si>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</si>
  <si>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</si>
  <si>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</si>
  <si>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</si>
  <si>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</si>
  <si>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</si>
  <si>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</si>
  <si>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</si>
  <si>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</si>
  <si>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</si>
  <si>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</si>
  <si>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</si>
  <si>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</si>
  <si>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</si>
  <si>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</si>
  <si>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</si>
  <si>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</si>
  <si>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</si>
  <si>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</si>
  <si>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</si>
  <si>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</si>
  <si>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</si>
  <si>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</si>
  <si>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</si>
  <si>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</si>
  <si>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</si>
  <si>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</si>
  <si>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</si>
  <si>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</si>
  <si>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</si>
  <si>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</si>
  <si>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</si>
  <si>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</si>
  <si>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</si>
  <si>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</si>
  <si>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</si>
  <si>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</si>
  <si>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</si>
  <si>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</si>
  <si>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</si>
  <si>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</si>
  <si>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</si>
  <si>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</si>
  <si>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</si>
  <si>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</si>
  <si>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</si>
  <si>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</si>
  <si>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</si>
  <si>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</si>
  <si>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</si>
  <si>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</si>
  <si>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</si>
  <si>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</si>
  <si>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</si>
  <si>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</si>
  <si>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</si>
  <si>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</si>
  <si>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</si>
  <si>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</si>
  <si>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</si>
  <si>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</si>
  <si>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</si>
  <si>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</si>
  <si>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</si>
  <si>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</si>
  <si>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</si>
  <si>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</si>
  <si>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</si>
  <si>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</si>
  <si>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</si>
  <si>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</si>
  <si>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</si>
  <si>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</si>
  <si>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</si>
  <si>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</si>
  <si>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</si>
  <si>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</si>
  <si>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</si>
  <si>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</si>
  <si>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</si>
  <si>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</si>
  <si>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</si>
  <si>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</si>
  <si>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</si>
  <si>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</si>
  <si>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</si>
  <si>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</si>
  <si>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</si>
  <si>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</si>
  <si>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</si>
  <si>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</si>
  <si>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</si>
  <si>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</si>
  <si>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</si>
  <si>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</si>
  <si>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</si>
  <si>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</si>
  <si>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</si>
  <si>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</si>
  <si>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</si>
  <si>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</si>
  <si>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</si>
  <si>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</si>
  <si>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</si>
  <si>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</si>
  <si>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</si>
  <si>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</si>
  <si>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</si>
  <si>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</si>
  <si>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</si>
  <si>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</si>
  <si>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</si>
  <si>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</si>
  <si>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</si>
  <si>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</si>
  <si>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</si>
  <si>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</si>
  <si>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</si>
  <si>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</si>
  <si>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</si>
  <si>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</si>
  <si>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</si>
  <si>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</si>
  <si>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</si>
  <si>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</si>
  <si>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</si>
  <si>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</si>
  <si>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</si>
  <si>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</si>
  <si>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</si>
  <si>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</si>
  <si>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</si>
  <si>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</si>
  <si>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</si>
  <si>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</si>
  <si>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</si>
  <si>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</si>
  <si>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</si>
  <si>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</si>
  <si>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</si>
  <si>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</si>
  <si>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</si>
  <si>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</si>
  <si>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</si>
  <si>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</si>
  <si>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</si>
  <si>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</si>
  <si>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</si>
  <si>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</si>
  <si>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</si>
  <si>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</si>
  <si>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</si>
  <si>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</si>
  <si>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</si>
  <si>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</si>
  <si>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</si>
  <si>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</si>
  <si>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</si>
  <si>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</si>
  <si>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</si>
  <si>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</si>
  <si>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</si>
  <si>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</si>
  <si>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</si>
  <si>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</si>
  <si>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</si>
  <si>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</si>
  <si>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</si>
  <si>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</si>
  <si>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</si>
  <si>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</si>
  <si>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</si>
  <si>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</si>
  <si>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</si>
  <si>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</si>
  <si>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</si>
  <si>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</si>
  <si>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</si>
  <si>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</si>
  <si>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</si>
  <si>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</si>
  <si>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</si>
  <si>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</si>
  <si>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</si>
  <si>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</si>
  <si>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</si>
  <si>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</si>
  <si>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</si>
  <si>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</si>
  <si>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</si>
  <si>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</si>
  <si>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</si>
  <si>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</si>
  <si>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</si>
  <si>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</si>
  <si>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</si>
  <si>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</si>
  <si>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</si>
  <si>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</si>
  <si>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</si>
  <si>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</si>
  <si>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</si>
  <si>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</si>
  <si>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</si>
  <si>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</si>
  <si>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</si>
  <si>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</si>
  <si>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</si>
  <si>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</si>
  <si>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</si>
  <si>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</si>
  <si>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</si>
  <si>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</si>
  <si>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</si>
  <si>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</si>
  <si>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</si>
  <si>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</si>
  <si>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</si>
  <si>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</si>
  <si>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</si>
  <si>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</si>
  <si>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</si>
  <si>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</si>
  <si>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</si>
  <si>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</si>
  <si>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</si>
  <si>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</si>
  <si>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</si>
  <si>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</si>
  <si>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</si>
  <si>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</si>
  <si>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</si>
  <si>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</si>
  <si>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</si>
  <si>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</si>
  <si>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</si>
  <si>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</si>
  <si>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</si>
  <si>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</si>
  <si>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</si>
  <si>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</si>
  <si>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</si>
  <si>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</si>
  <si>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</si>
  <si>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</si>
  <si>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</si>
  <si>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</si>
  <si>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</si>
  <si>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</si>
  <si>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</si>
  <si>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</si>
  <si>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</si>
  <si>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</si>
  <si>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</si>
  <si>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</si>
  <si>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</si>
  <si>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</si>
  <si>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</si>
  <si>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</si>
  <si>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</si>
  <si>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</si>
  <si>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</si>
  <si>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</si>
  <si>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</si>
  <si>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</si>
  <si>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</si>
  <si>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</si>
  <si>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</si>
  <si>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</si>
  <si>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</si>
  <si>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</si>
  <si>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</si>
  <si>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</si>
  <si>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</si>
  <si>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</si>
  <si>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</si>
  <si>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</si>
  <si>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</si>
  <si>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</si>
  <si>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</si>
  <si>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</si>
  <si>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</si>
  <si>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</si>
  <si>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</si>
  <si>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</si>
  <si>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</si>
  <si>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</si>
  <si>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</si>
  <si>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</si>
  <si>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</si>
  <si>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</si>
  <si>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</si>
  <si>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</si>
  <si>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</si>
  <si>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</si>
  <si>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</si>
  <si>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</si>
  <si>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</si>
  <si>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</si>
  <si>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</si>
  <si>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</si>
  <si>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</si>
  <si>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</si>
  <si>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</si>
  <si>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</si>
  <si>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</si>
  <si>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</si>
  <si>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</si>
  <si>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</si>
  <si>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</si>
  <si>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</si>
  <si>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</si>
  <si>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</si>
  <si>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</si>
  <si>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</si>
  <si>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</si>
  <si>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</si>
  <si>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</si>
  <si>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</si>
  <si>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</si>
  <si>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</si>
  <si>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</si>
  <si>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</si>
  <si>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</si>
  <si>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</si>
  <si>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</si>
  <si>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</si>
  <si>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</si>
  <si>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</si>
  <si>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</si>
  <si>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</si>
  <si>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</si>
  <si>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</si>
  <si>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</si>
  <si>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</si>
  <si>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</si>
  <si>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</si>
  <si>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</si>
  <si>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</si>
  <si>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</si>
  <si>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</si>
  <si>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</si>
  <si>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</si>
  <si>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</si>
  <si>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</si>
  <si>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</si>
  <si>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</si>
  <si>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</si>
  <si>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</si>
  <si>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</si>
  <si>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</si>
  <si>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</si>
  <si>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cardiaque</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</si>
  <si>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</si>
  <si>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</si>
  <si>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</si>
  <si>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</si>
  <si>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</si>
  <si>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</si>
  <si>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</si>
  <si>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</si>
  <si>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</si>
  <si>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</si>
  <si>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</si>
  <si>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</si>
  <si>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</si>
  <si>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</si>
  <si>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</si>
  <si>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</si>
  <si>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</si>
  <si>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</si>
  <si>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</si>
  <si>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</si>
  <si>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</si>
  <si>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</si>
  <si>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</si>
  <si>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</si>
  <si>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</si>
  <si>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</si>
  <si>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</si>
  <si>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</si>
  <si>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</si>
  <si>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</si>
  <si>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</si>
  <si>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</si>
  <si>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</si>
  <si>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</si>
  <si>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</si>
  <si>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</si>
  <si>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</si>
  <si>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</si>
  <si>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</si>
  <si>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</si>
  <si>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</si>
  <si>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</si>
  <si>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</si>
  <si>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</si>
  <si>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</si>
  <si>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</si>
  <si>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</si>
  <si>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</si>
  <si>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</si>
  <si>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</si>
  <si>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</si>
  <si>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</si>
  <si>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</si>
  <si>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</si>
  <si>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</si>
  <si>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</si>
  <si>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</si>
  <si>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</si>
  <si>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</si>
  <si>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</si>
  <si>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</si>
  <si>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</si>
  <si>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</si>
  <si>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</si>
  <si>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</si>
  <si>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</si>
  <si>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</si>
  <si>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</si>
  <si>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</si>
  <si>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</si>
  <si>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</si>
  <si>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</si>
  <si>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</si>
  <si>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</si>
  <si>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</si>
  <si>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</si>
  <si>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</si>
  <si>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</si>
  <si>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</si>
  <si>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</si>
  <si>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</si>
  <si>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</si>
  <si>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</si>
  <si>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</si>
  <si>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</si>
  <si>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</si>
  <si>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</si>
  <si>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</si>
  <si>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</si>
  <si>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</si>
  <si>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</si>
  <si>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</si>
  <si>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</si>
  <si>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</si>
  <si>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</si>
  <si>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</si>
  <si>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</si>
  <si>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</si>
  <si>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</si>
  <si>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</si>
  <si>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</si>
  <si>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</si>
  <si>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</si>
  <si>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</si>
  <si>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</si>
  <si>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</si>
  <si>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</si>
  <si>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</si>
  <si>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</si>
  <si>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</si>
  <si>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</si>
  <si>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</si>
  <si>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</si>
  <si>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</si>
  <si>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</si>
  <si>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</si>
  <si>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</si>
  <si>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</si>
  <si>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</si>
  <si>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</si>
  <si>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</si>
  <si>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</si>
  <si>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</si>
  <si>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</si>
  <si>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</si>
  <si>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</si>
  <si>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</si>
  <si>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</si>
  <si>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</si>
  <si>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</si>
  <si>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</si>
  <si>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</si>
  <si>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</si>
  <si>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</si>
  <si>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</si>
  <si>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</si>
  <si>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</si>
  <si>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</si>
  <si>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</si>
  <si>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</si>
  <si>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</si>
  <si>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</si>
  <si>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</si>
  <si>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</si>
  <si>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</si>
  <si>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</si>
  <si>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</si>
  <si>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</si>
  <si>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</si>
  <si>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</si>
  <si>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</si>
  <si>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</si>
  <si>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</si>
  <si>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</si>
  <si>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</si>
  <si>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</si>
  <si>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</si>
  <si>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</si>
  <si>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</si>
  <si>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</si>
  <si>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</si>
  <si>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</si>
  <si>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</si>
  <si>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</si>
  <si>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</si>
  <si>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</si>
  <si>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</si>
  <si>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</si>
  <si>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</si>
  <si>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</si>
  <si>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</si>
  <si>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</si>
  <si>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</si>
  <si>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</si>
  <si>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</si>
  <si>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</si>
  <si>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</si>
  <si>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</si>
  <si>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</si>
  <si>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</si>
  <si>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</si>
  <si>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</si>
  <si>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</si>
  <si>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</si>
  <si>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</si>
  <si>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</si>
  <si>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</si>
  <si>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</si>
  <si>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</si>
  <si>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</si>
  <si>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</si>
  <si>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</si>
  <si>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</si>
  <si>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</si>
  <si>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</si>
  <si>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</si>
  <si>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</si>
  <si>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</si>
  <si>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</si>
  <si>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</si>
  <si>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</si>
  <si>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</si>
  <si>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</si>
  <si>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</si>
  <si>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</si>
  <si>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</si>
  <si>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</si>
  <si>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</si>
  <si>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</si>
  <si>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</si>
  <si>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</si>
  <si>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</si>
  <si>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</si>
  <si>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</si>
  <si>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</si>
  <si>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</si>
  <si>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</si>
  <si>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</si>
  <si>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</si>
  <si>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</si>
  <si>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</si>
  <si>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</si>
  <si>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</si>
  <si>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</si>
  <si>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</si>
  <si>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</si>
  <si>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</si>
  <si>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</si>
  <si>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</si>
  <si>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</si>
  <si>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</si>
  <si>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</si>
  <si>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</si>
  <si>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</si>
  <si>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</si>
  <si>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</si>
  <si>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</si>
  <si>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</si>
  <si>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</si>
  <si>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</si>
  <si>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</si>
  <si>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</si>
  <si>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</si>
  <si>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</si>
  <si>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</si>
  <si>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</si>
  <si>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</si>
  <si>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</si>
  <si>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</si>
  <si>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</si>
  <si>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</si>
  <si>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</si>
  <si>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</si>
  <si>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</si>
  <si>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</si>
  <si>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</si>
  <si>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</si>
  <si>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</si>
  <si>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</si>
  <si>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</si>
  <si>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</si>
  <si>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</si>
  <si>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</si>
  <si>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</si>
  <si>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</si>
  <si>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</si>
  <si>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</si>
  <si>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</si>
  <si>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</si>
  <si>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</si>
  <si>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</si>
  <si>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</si>
  <si>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</si>
  <si>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</si>
  <si>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</si>
  <si>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</si>
  <si>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</si>
  <si>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</si>
  <si>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</si>
  <si>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</si>
  <si>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</si>
  <si>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</si>
  <si>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</si>
  <si>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</si>
  <si>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</si>
  <si>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</si>
  <si>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</si>
  <si>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</si>
  <si>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</si>
  <si>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</si>
  <si>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BNP</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</si>
  <si>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</si>
  <si>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</si>
  <si>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</si>
  <si>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</si>
  <si>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</si>
  <si>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</si>
  <si>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</si>
  <si>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</si>
  <si>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</si>
  <si>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</si>
  <si>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</si>
  <si>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</si>
  <si>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</si>
  <si>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</si>
  <si>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</si>
  <si>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</si>
  <si>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</si>
  <si>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</si>
  <si>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</si>
  <si>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</si>
  <si>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</si>
  <si>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</si>
  <si>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</si>
  <si>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</si>
  <si>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</si>
  <si>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</si>
  <si>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</si>
  <si>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</si>
  <si>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</si>
  <si>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</si>
  <si>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</si>
  <si>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</si>
  <si>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</si>
  <si>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</si>
  <si>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</si>
  <si>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</si>
  <si>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</si>
  <si>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</si>
  <si>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</si>
  <si>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</si>
  <si>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</si>
  <si>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</si>
  <si>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</si>
  <si>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</si>
  <si>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</si>
  <si>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</si>
  <si>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</si>
  <si>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</si>
  <si>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</si>
  <si>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</si>
  <si>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</si>
  <si>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</si>
  <si>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</si>
  <si>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</si>
  <si>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</si>
  <si>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</si>
  <si>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</si>
  <si>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</si>
  <si>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</si>
  <si>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</si>
  <si>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</si>
  <si>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</si>
  <si>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</si>
  <si>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</si>
  <si>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</si>
  <si>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</si>
  <si>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</si>
  <si>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</si>
  <si>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</si>
  <si>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</si>
  <si>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</si>
  <si>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</si>
  <si>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</si>
  <si>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</si>
  <si>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</si>
  <si>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</si>
  <si>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</si>
  <si>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</si>
  <si>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</si>
  <si>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</si>
  <si>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</si>
  <si>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</si>
  <si>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</si>
  <si>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</si>
  <si>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</si>
  <si>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</si>
  <si>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</si>
  <si>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</si>
  <si>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</si>
  <si>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</si>
  <si>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</si>
  <si>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</si>
  <si>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</si>
  <si>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</si>
  <si>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</si>
  <si>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</si>
  <si>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</si>
  <si>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</si>
  <si>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</si>
  <si>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</si>
  <si>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</si>
  <si>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</si>
  <si>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</si>
  <si>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</si>
  <si>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</si>
  <si>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</si>
  <si>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</si>
  <si>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</si>
  <si>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</si>
  <si>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</si>
  <si>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</si>
  <si>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</si>
  <si>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</si>
  <si>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</si>
  <si>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</si>
  <si>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</si>
  <si>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</si>
  <si>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</si>
  <si>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</si>
  <si>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</si>
  <si>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</si>
  <si>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</si>
  <si>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</si>
  <si>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</si>
  <si>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</si>
  <si>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</si>
  <si>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</si>
  <si>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</si>
  <si>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</si>
  <si>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</si>
  <si>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</si>
  <si>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</si>
  <si>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</si>
  <si>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</si>
  <si>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</si>
  <si>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</si>
  <si>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</si>
  <si>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</si>
  <si>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</si>
  <si>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</si>
  <si>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</si>
  <si>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</si>
  <si>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</si>
  <si>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</si>
  <si>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</si>
  <si>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</si>
  <si>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</si>
  <si>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</si>
  <si>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</si>
  <si>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</si>
  <si>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</si>
  <si>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</si>
  <si>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</si>
  <si>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</si>
  <si>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</si>
  <si>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</si>
  <si>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</si>
  <si>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</si>
  <si>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</si>
  <si>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</si>
  <si>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</si>
  <si>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</si>
  <si>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</si>
  <si>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</si>
  <si>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</si>
  <si>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</si>
  <si>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</si>
  <si>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</si>
  <si>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</si>
  <si>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</si>
  <si>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</si>
  <si>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</si>
  <si>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</si>
  <si>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</si>
  <si>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</si>
  <si>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</si>
  <si>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</si>
  <si>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</si>
  <si>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</si>
  <si>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</si>
  <si>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</si>
  <si>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</si>
  <si>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</si>
  <si>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</si>
  <si>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</si>
  <si>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</si>
  <si>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</si>
  <si>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</si>
  <si>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</si>
  <si>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</si>
  <si>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</si>
  <si>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</si>
  <si>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</si>
  <si>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</si>
  <si>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</si>
  <si>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</si>
  <si>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</si>
  <si>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</si>
  <si>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</si>
  <si>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</si>
  <si>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</si>
  <si>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</si>
  <si>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</si>
  <si>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</si>
  <si>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</si>
  <si>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</si>
  <si>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</si>
  <si>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</si>
  <si>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</si>
  <si>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</si>
  <si>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</si>
  <si>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</si>
  <si>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</si>
  <si>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</si>
  <si>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</si>
  <si>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</si>
  <si>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</si>
  <si>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</si>
  <si>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</si>
  <si>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</si>
  <si>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</si>
  <si>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</si>
  <si>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</si>
  <si>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</si>
  <si>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</si>
  <si>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</si>
  <si>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</si>
  <si>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</si>
  <si>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</si>
  <si>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</si>
  <si>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</si>
  <si>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</si>
  <si>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</si>
  <si>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</si>
  <si>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</si>
  <si>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</si>
  <si>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</si>
  <si>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</si>
  <si>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</si>
  <si>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</si>
  <si>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</si>
  <si>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</si>
  <si>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</si>
  <si>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</si>
  <si>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</si>
  <si>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</si>
  <si>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</si>
  <si>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</si>
  <si>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</si>
  <si>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</si>
  <si>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</si>
  <si>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</si>
  <si>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</si>
  <si>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</si>
  <si>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</si>
  <si>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</si>
  <si>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</si>
  <si>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</si>
  <si>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</si>
  <si>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</si>
  <si>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</si>
  <si>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</si>
  <si>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</si>
  <si>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</si>
  <si>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</si>
  <si>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</si>
  <si>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</si>
  <si>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</si>
  <si>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</si>
  <si>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</si>
  <si>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</si>
  <si>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</si>
  <si>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</si>
  <si>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</si>
  <si>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</si>
  <si>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</si>
  <si>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</si>
  <si>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</si>
  <si>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</si>
  <si>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</si>
  <si>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</si>
  <si>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</si>
  <si>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</si>
  <si>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</si>
  <si>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</si>
  <si>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</si>
  <si>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</si>
  <si>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</si>
  <si>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</si>
  <si>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</si>
  <si>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</si>
  <si>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</si>
  <si>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</si>
  <si>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</si>
  <si>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</si>
  <si>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</si>
  <si>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</si>
  <si>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</si>
  <si>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</si>
  <si>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</si>
  <si>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</si>
  <si>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</si>
  <si>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</si>
  <si>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</si>
  <si>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</si>
  <si>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</si>
  <si>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</si>
  <si>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</si>
  <si>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</si>
  <si>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</si>
  <si>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</si>
  <si>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</si>
  <si>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</si>
  <si>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</si>
  <si>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</si>
  <si>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</si>
  <si>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</si>
  <si>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</si>
  <si>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</si>
  <si>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</si>
  <si>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</si>
  <si>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</si>
  <si>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</si>
  <si>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</si>
  <si>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</si>
  <si>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</si>
  <si>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</si>
  <si>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</si>
  <si>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</si>
  <si>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</si>
  <si>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</si>
  <si>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</si>
  <si>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</si>
  <si>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</si>
  <si>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</si>
  <si>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</si>
  <si>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</si>
  <si>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</si>
  <si>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</si>
  <si>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</si>
  <si>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</si>
  <si>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</si>
  <si>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</si>
  <si>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</si>
  <si>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</si>
  <si>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</si>
  <si>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</si>
  <si>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</si>
  <si>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</si>
  <si>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</si>
  <si>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</si>
  <si>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</si>
  <si>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</si>
  <si>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</si>
  <si>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</si>
  <si>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</si>
  <si>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</si>
  <si>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</si>
  <si>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</si>
  <si>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</si>
  <si>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</si>
  <si>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</si>
  <si>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</si>
  <si>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</si>
  <si>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</si>
  <si>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</si>
  <si>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</si>
  <si>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</si>
  <si>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</si>
  <si>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</si>
  <si>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</si>
  <si>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</si>
  <si>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</si>
  <si>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</si>
  <si>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</si>
  <si>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</si>
  <si>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</si>
  <si>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</si>
  <si>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</si>
  <si>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</si>
  <si>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</si>
  <si>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</si>
  <si>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</si>
  <si>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</si>
  <si>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</si>
  <si>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</si>
  <si>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</si>
  <si>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</si>
  <si>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</si>
  <si>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</si>
  <si>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</si>
  <si>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</si>
  <si>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</si>
  <si>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</si>
  <si>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</si>
  <si>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</si>
  <si>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</si>
  <si>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</si>
  <si>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</si>
  <si>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</si>
  <si>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</si>
  <si>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</si>
  <si>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</si>
  <si>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</si>
  <si>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</si>
  <si>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</si>
  <si>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</si>
  <si>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</si>
  <si>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</si>
  <si>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</si>
  <si>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</si>
  <si>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</si>
  <si>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</si>
  <si>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</si>
  <si>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</si>
  <si>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</si>
  <si>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</si>
  <si>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</si>
  <si>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</si>
  <si>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</si>
  <si>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</si>
  <si>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</si>
  <si>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</si>
  <si>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</si>
  <si>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</si>
  <si>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</si>
  <si>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</si>
  <si>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</si>
  <si>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</si>
  <si>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</si>
  <si>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</si>
  <si>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</si>
  <si>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</si>
  <si>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</si>
  <si>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</si>
  <si>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</si>
  <si>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</si>
  <si>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</si>
  <si>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</si>
  <si>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</si>
  <si>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</si>
  <si>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</si>
  <si>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</si>
  <si>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</si>
  <si>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</si>
  <si>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</si>
  <si>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</si>
  <si>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</si>
  <si>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</si>
  <si>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</si>
  <si>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</si>
  <si>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</si>
  <si>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</si>
  <si>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</si>
  <si>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</si>
  <si>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</si>
  <si>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</si>
  <si>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</si>
  <si>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</si>
  <si>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</si>
  <si>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</si>
  <si>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</si>
  <si>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</si>
  <si>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</si>
  <si>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</si>
  <si>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</si>
  <si>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</si>
  <si>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</si>
  <si>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</si>
  <si>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</si>
  <si>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</si>
  <si>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</si>
  <si>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</si>
  <si>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</si>
  <si>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</si>
  <si>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</si>
  <si>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</si>
  <si>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</si>
  <si>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</si>
  <si>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</si>
  <si>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</si>
  <si>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</si>
  <si>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</si>
  <si>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</si>
  <si>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</si>
  <si>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</si>
  <si>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</si>
  <si>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</si>
  <si>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</si>
  <si>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</si>
  <si>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</si>
  <si>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</si>
  <si>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</si>
  <si>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</si>
  <si>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</si>
  <si>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</si>
  <si>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</si>
  <si>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</si>
  <si>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</si>
  <si>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</si>
  <si>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</si>
  <si>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</si>
  <si>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</si>
  <si>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</si>
  <si>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</si>
  <si>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</si>
  <si>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</si>
  <si>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</si>
  <si>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</si>
  <si>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</si>
  <si>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</si>
  <si>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</si>
  <si>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</si>
  <si>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</si>
  <si>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</si>
  <si>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</si>
  <si>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</si>
  <si>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</si>
  <si>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</si>
  <si>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</si>
  <si>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</si>
  <si>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</si>
  <si>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</si>
  <si>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</si>
  <si>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</si>
  <si>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</si>
  <si>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</si>
  <si>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</si>
  <si>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</si>
  <si>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</si>
  <si>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</si>
  <si>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</si>
  <si>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</si>
  <si>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</si>
  <si>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</si>
  <si>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</si>
  <si>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</si>
  <si>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</si>
  <si>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</si>
  <si>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</si>
  <si>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</si>
  <si>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</si>
  <si>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</si>
  <si>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</si>
  <si>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</si>
  <si>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</si>
  <si>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</si>
  <si>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</si>
  <si>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</si>
  <si>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</si>
  <si>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</si>
  <si>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</si>
  <si>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</si>
  <si>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</si>
  <si>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</si>
  <si>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</si>
  <si>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</si>
  <si>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</si>
  <si>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</si>
  <si>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</si>
  <si>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</si>
  <si>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</si>
  <si>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</si>
  <si>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</si>
  <si>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</si>
  <si>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</si>
  <si>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</si>
  <si>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</si>
  <si>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</si>
  <si>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</si>
  <si>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</si>
  <si>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</si>
  <si>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</si>
  <si>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</si>
  <si>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</si>
  <si>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</si>
  <si>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</si>
  <si>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</si>
  <si>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</si>
  <si>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</si>
  <si>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</si>
  <si>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</si>
  <si>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</si>
  <si>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</si>
  <si>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</si>
  <si>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</si>
  <si>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</si>
  <si>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</si>
  <si>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</si>
  <si>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</si>
  <si>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</si>
  <si>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</si>
  <si>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</si>
  <si>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</si>
  <si>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</si>
  <si>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</si>
  <si>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</si>
  <si>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</si>
  <si>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</si>
  <si>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</si>
  <si>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</si>
  <si>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</si>
  <si>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</si>
  <si>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</si>
  <si>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</si>
  <si>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</si>
  <si>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</si>
  <si>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</si>
  <si>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</si>
  <si>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</si>
  <si>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</si>
  <si>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</si>
  <si>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</si>
  <si>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</si>
  <si>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</si>
  <si>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</si>
  <si>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</si>
  <si>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</si>
  <si>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</si>
  <si>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</si>
  <si>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</si>
  <si>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</si>
  <si>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</si>
  <si>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</si>
  <si>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</si>
  <si>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</si>
  <si>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</si>
  <si>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</si>
  <si>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</si>
  <si>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</si>
  <si>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</si>
  <si>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</si>
  <si>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</si>
  <si>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</si>
  <si>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</si>
  <si>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</si>
  <si>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</si>
  <si>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</si>
  <si>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</si>
  <si>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</si>
  <si>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</si>
  <si>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</si>
  <si>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</si>
  <si>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</si>
  <si>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</si>
  <si>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</si>
  <si>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</si>
  <si>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</si>
  <si>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</si>
  <si>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</si>
  <si>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</si>
  <si>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</si>
  <si>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</si>
  <si>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</si>
  <si>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</si>
  <si>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</si>
  <si>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</si>
  <si>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</si>
  <si>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</si>
  <si>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</si>
  <si>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</si>
  <si>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</si>
  <si>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</si>
  <si>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</si>
  <si>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</si>
  <si>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</si>
  <si>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</si>
  <si>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</si>
  <si>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</si>
  <si>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</si>
  <si>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</si>
  <si>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</si>
  <si>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</si>
  <si>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</si>
  <si>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</si>
  <si>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</si>
  <si>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</si>
  <si>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</si>
  <si>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</si>
  <si>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</si>
  <si>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</si>
  <si>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</si>
  <si>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</si>
  <si>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</si>
  <si>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</si>
  <si>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</si>
  <si>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</si>
  <si>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</si>
  <si>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</si>
  <si>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</si>
  <si>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</si>
  <si>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</si>
  <si>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</si>
  <si>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</si>
  <si>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</si>
  <si>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</si>
  <si>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</si>
  <si>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</si>
  <si>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</si>
  <si>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</si>
  <si>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</si>
  <si>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</si>
  <si>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</si>
  <si>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</si>
  <si>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</si>
  <si>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</si>
  <si>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</si>
  <si>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</si>
  <si>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</si>
  <si>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</si>
  <si>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</si>
  <si>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</si>
  <si>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</si>
  <si>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</si>
  <si>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Hormone thyroïdienne active valeurs normales usuelles 3,1–6,8 pmol/L valeurs normales usuelles 3,1–6,8 pmol/L</t>
  </si>
  <si>
    <t>Prohormone thyroïdienne valeurs normales usuelles 12–22 pmol/L valeurs normales usuelles 12–22 pmol/L</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</si>
  <si>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</si>
  <si>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</si>
  <si>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</si>
  <si>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</si>
  <si>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</si>
  <si>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</si>
  <si>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</si>
  <si>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</si>
  <si>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</si>
  <si>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</si>
  <si>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</si>
  <si>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</si>
  <si>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</si>
  <si>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</si>
  <si>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</si>
  <si>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</si>
  <si>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</si>
  <si>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</si>
  <si>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</si>
  <si>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</si>
  <si>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</si>
  <si>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</si>
  <si>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</si>
  <si>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</si>
  <si>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</si>
  <si>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</si>
  <si>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</si>
  <si>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</si>
  <si>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</si>
  <si>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</si>
  <si>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</si>
  <si>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</si>
  <si>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</si>
  <si>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</si>
  <si>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</si>
  <si>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</si>
  <si>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</si>
  <si>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</si>
  <si>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</si>
  <si>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</si>
  <si>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</si>
  <si>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</si>
  <si>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</si>
  <si>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</si>
  <si>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</si>
  <si>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</si>
  <si>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</si>
  <si>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</si>
  <si>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</si>
  <si>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</si>
  <si>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</si>
  <si>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</si>
  <si>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</si>
  <si>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</si>
  <si>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</si>
  <si>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</si>
  <si>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</si>
  <si>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</si>
  <si>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</si>
  <si>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</si>
  <si>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</si>
  <si>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</si>
  <si>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</si>
  <si>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</si>
  <si>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</si>
  <si>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</si>
  <si>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</si>
  <si>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</si>
  <si>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</si>
  <si>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</si>
  <si>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</si>
  <si>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</si>
  <si>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</si>
  <si>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</si>
  <si>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</si>
  <si>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</si>
  <si>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</si>
  <si>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</si>
  <si>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</si>
  <si>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</si>
  <si>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</si>
  <si>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</si>
  <si>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</si>
  <si>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</si>
  <si>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</si>
  <si>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</si>
  <si>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</si>
  <si>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</si>
  <si>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</si>
  <si>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</si>
  <si>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</si>
  <si>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</si>
  <si>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</si>
  <si>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</si>
  <si>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</si>
  <si>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</si>
  <si>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</si>
  <si>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</si>
  <si>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</si>
  <si>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</si>
  <si>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</si>
  <si>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</si>
  <si>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</si>
  <si>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</si>
  <si>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</si>
  <si>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</si>
  <si>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</si>
  <si>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</si>
  <si>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</si>
  <si>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</si>
  <si>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</si>
  <si>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</si>
  <si>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</si>
  <si>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</si>
  <si>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</si>
  <si>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</si>
  <si>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</si>
  <si>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</si>
  <si>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</si>
  <si>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</si>
  <si>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</si>
  <si>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</si>
  <si>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</si>
  <si>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</si>
  <si>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</si>
  <si>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</si>
  <si>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</si>
  <si>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</si>
  <si>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</si>
  <si>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</si>
  <si>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</si>
  <si>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</si>
  <si>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</si>
  <si>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</si>
  <si>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</si>
  <si>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</si>
  <si>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</si>
  <si>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</si>
  <si>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</si>
  <si>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</si>
  <si>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</si>
  <si>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</si>
  <si>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</si>
  <si>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</si>
  <si>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</si>
  <si>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</si>
  <si>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</si>
  <si>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</si>
  <si>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</si>
  <si>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</si>
  <si>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</si>
  <si>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</si>
  <si>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</si>
  <si>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</si>
  <si>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</si>
  <si>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</si>
  <si>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</si>
  <si>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</si>
  <si>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</si>
  <si>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</si>
  <si>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</si>
  <si>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</si>
  <si>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</si>
  <si>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</si>
  <si>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</si>
  <si>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</si>
  <si>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</si>
  <si>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</si>
  <si>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</si>
  <si>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</si>
  <si>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</si>
  <si>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</si>
  <si>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</si>
  <si>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</si>
  <si>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</si>
  <si>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</si>
  <si>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</si>
  <si>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</si>
  <si>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</si>
  <si>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</si>
  <si>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</si>
  <si>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</si>
  <si>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</si>
  <si>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</si>
  <si>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</si>
  <si>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</si>
  <si>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</si>
  <si>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</si>
  <si>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</si>
  <si>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</si>
  <si>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</si>
  <si>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</si>
  <si>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</si>
  <si>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</si>
  <si>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</si>
  <si>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</si>
  <si>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</si>
  <si>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</si>
  <si>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</si>
  <si>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</si>
  <si>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</si>
  <si>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</si>
  <si>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</si>
  <si>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</si>
  <si>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</si>
  <si>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</si>
  <si>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</si>
  <si>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</si>
  <si>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</si>
  <si>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</si>
  <si>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</si>
  <si>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</si>
  <si>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</si>
  <si>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</si>
  <si>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</si>
  <si>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</si>
  <si>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</si>
  <si>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</si>
  <si>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</si>
  <si>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</si>
  <si>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</si>
  <si>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</si>
  <si>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</si>
  <si>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</si>
  <si>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</si>
  <si>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</si>
  <si>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</si>
  <si>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</si>
  <si>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</si>
  <si>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</si>
  <si>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</si>
  <si>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</si>
  <si>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</si>
  <si>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</si>
  <si>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</si>
  <si>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</si>
  <si>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</si>
  <si>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</si>
  <si>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</si>
  <si>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</si>
  <si>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</si>
  <si>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</si>
  <si>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</si>
  <si>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</si>
  <si>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</si>
  <si>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</si>
  <si>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</si>
  <si>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</si>
  <si>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</si>
  <si>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</si>
  <si>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</si>
  <si>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</si>
  <si>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Avez-vous déjà réalisé un test de dépistage d’infections sexuellement transmissibles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</si>
  <si>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</si>
  <si>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</si>
  <si>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</si>
  <si>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</si>
  <si>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</si>
  <si>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</si>
  <si>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</si>
  <si>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</si>
  <si>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</si>
  <si>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</si>
  <si>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</si>
  <si>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</si>
  <si>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</si>
  <si>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</si>
  <si>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</si>
  <si>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</si>
  <si>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</si>
  <si>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</si>
  <si>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</si>
  <si>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</si>
  <si>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</si>
  <si>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</si>
  <si>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</si>
  <si>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</si>
  <si>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</si>
  <si>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</si>
  <si>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</si>
  <si>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</si>
  <si>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</si>
  <si>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</si>
  <si>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</si>
  <si>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</si>
  <si>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</si>
  <si>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</si>
  <si>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</si>
  <si>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</si>
  <si>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</si>
  <si>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</si>
  <si>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</si>
  <si>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</si>
  <si>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</si>
  <si>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</si>
  <si>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</si>
  <si>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</si>
  <si>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</si>
  <si>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</si>
  <si>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</si>
  <si>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</si>
  <si>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</si>
  <si>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</si>
  <si>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</si>
  <si>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</si>
  <si>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</si>
  <si>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</si>
  <si>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</si>
  <si>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</si>
  <si>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</si>
  <si>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</si>
  <si>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</si>
  <si>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</si>
  <si>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</si>
  <si>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</si>
  <si>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</si>
  <si>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</si>
  <si>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</si>
  <si>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</si>
  <si>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</si>
  <si>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</si>
  <si>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</si>
  <si>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</si>
  <si>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</si>
  <si>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</si>
  <si>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</si>
  <si>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</si>
  <si>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</si>
  <si>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</si>
  <si>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</si>
  <si>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</si>
  <si>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</si>
  <si>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</si>
  <si>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</si>
  <si>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</si>
  <si>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</si>
  <si>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</si>
  <si>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</si>
  <si>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</si>
  <si>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</si>
  <si>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</si>
  <si>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</si>
  <si>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</si>
  <si>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</si>
  <si>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</si>
  <si>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</si>
  <si>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</si>
  <si>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</si>
  <si>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</si>
  <si>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</si>
  <si>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</si>
  <si>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</si>
  <si>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</si>
  <si>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</si>
  <si>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</si>
  <si>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</si>
  <si>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</si>
  <si>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</si>
  <si>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</si>
  <si>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</si>
  <si>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</si>
  <si>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</si>
  <si>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</si>
  <si>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</si>
  <si>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</si>
  <si>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</si>
  <si>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</si>
  <si>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</si>
  <si>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</si>
  <si>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</si>
  <si>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</si>
  <si>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</si>
  <si>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</si>
  <si>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</si>
  <si>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</si>
  <si>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</si>
  <si>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</si>
  <si>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</si>
  <si>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</si>
  <si>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</si>
  <si>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</si>
  <si>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</si>
  <si>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</si>
  <si>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</si>
  <si>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</si>
  <si>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</si>
  <si>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</si>
  <si>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</si>
  <si>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</si>
  <si>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</si>
  <si>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</si>
  <si>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</si>
  <si>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</si>
  <si>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</si>
  <si>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</si>
  <si>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</si>
  <si>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</si>
  <si>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</si>
  <si>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</si>
  <si>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</si>
  <si>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</si>
  <si>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</si>
  <si>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</si>
  <si>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</si>
  <si>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</si>
  <si>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</si>
  <si>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</si>
  <si>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</si>
  <si>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</si>
  <si>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</si>
  <si>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</si>
  <si>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</si>
  <si>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</si>
  <si>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</si>
  <si>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</si>
  <si>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</si>
  <si>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</si>
  <si>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</si>
  <si>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</si>
  <si>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</si>
  <si>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</si>
  <si>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</si>
  <si>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</si>
  <si>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</si>
  <si>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</si>
  <si>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</si>
  <si>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</si>
  <si>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</si>
  <si>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</si>
  <si>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</si>
  <si>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</si>
  <si>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</si>
  <si>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</si>
  <si>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</si>
  <si>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</si>
  <si>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</si>
  <si>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</si>
  <si>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</si>
  <si>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</si>
  <si>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</si>
  <si>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</si>
  <si>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</si>
  <si>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</si>
  <si>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</si>
  <si>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</si>
  <si>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</si>
  <si>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</si>
  <si>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</si>
  <si>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</si>
  <si>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</si>
  <si>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</si>
  <si>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</si>
  <si>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</si>
  <si>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</si>
  <si>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</si>
  <si>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</si>
  <si>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</si>
  <si>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</si>
  <si>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</si>
  <si>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</si>
  <si>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</si>
  <si>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</si>
  <si>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</si>
  <si>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</si>
  <si>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</si>
  <si>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</si>
  <si>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</si>
  <si>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</si>
  <si>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</si>
  <si>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</si>
  <si>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</si>
  <si>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</si>
  <si>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</si>
  <si>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</si>
  <si>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</si>
  <si>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</si>
  <si>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</si>
  <si>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</si>
  <si>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</si>
  <si>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</si>
  <si>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</si>
  <si>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</si>
  <si>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</si>
  <si>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</si>
  <si>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</si>
  <si>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</si>
  <si>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</si>
  <si>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</si>
  <si>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</si>
  <si>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</si>
  <si>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</si>
  <si>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</si>
  <si>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</si>
  <si>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</si>
  <si>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</si>
  <si>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</si>
  <si>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</si>
  <si>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</si>
  <si>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</si>
  <si>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</si>
  <si>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</si>
  <si>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</si>
  <si>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</si>
  <si>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</si>
  <si>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</si>
  <si>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</si>
  <si>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</si>
  <si>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</si>
  <si>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</si>
  <si>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</si>
  <si>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</si>
  <si>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</si>
  <si>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</si>
  <si>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</si>
  <si>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&gt;50ans IST</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</si>
  <si>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</si>
  <si>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</si>
  <si>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</si>
  <si>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</si>
  <si>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</si>
  <si>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</si>
  <si>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</si>
  <si>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</si>
  <si>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</si>
  <si>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</si>
  <si>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</si>
  <si>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</si>
  <si>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</si>
  <si>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</si>
  <si>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</si>
  <si>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</si>
  <si>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</si>
  <si>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</si>
  <si>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</si>
  <si>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</si>
  <si>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</si>
  <si>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</si>
  <si>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t>Détection valvulopathieau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</si>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</sst>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0\x"/>
    <numFmt numFmtId="166" formatCode="m/d/yyyy\ h:mm:ss"/>
    <numFmt numFmtId="167" formatCode="0.000"/>
  </numFmts>
  <fonts count="16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s>
  <fills count="9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904">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1" fontId="100" fillId="0" borderId="10" xfId="0" applyNumberFormat="1" applyFont="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34" borderId="10" xfId="0" applyFont="1" applyFill="1" applyBorder="1" applyAlignment="1">
      <alignment horizontal="center" vertical="center"/>
    </xf>
    <xf numFmtId="0" fontId="116" fillId="0" borderId="10" xfId="0" applyFont="1" applyBorder="1" applyAlignment="1">
      <alignment vertical="center" wrapText="1"/>
    </xf>
    <xf numFmtId="0" fontId="117" fillId="0" borderId="10" xfId="0" applyFont="1" applyBorder="1" applyAlignment="1">
      <alignment vertical="center"/>
    </xf>
    <xf numFmtId="0" fontId="30" fillId="53" borderId="10" xfId="0" applyFont="1" applyFill="1" applyBorder="1" applyAlignment="1">
      <alignment horizontal="center" vertical="center" wrapText="1"/>
    </xf>
    <xf numFmtId="9" fontId="38" fillId="66" borderId="10" xfId="0" applyNumberFormat="1" applyFont="1" applyFill="1" applyBorder="1" applyAlignment="1">
      <alignment horizontal="center" vertical="center" wrapText="1"/>
    </xf>
    <xf numFmtId="0" fontId="38" fillId="69" borderId="10" xfId="0"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6" borderId="10" xfId="0" applyFont="1" applyFill="1" applyBorder="1" applyAlignment="1">
      <alignment horizontal="center" wrapText="1"/>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7" fillId="0" borderId="10" xfId="0" applyFont="1" applyBorder="1" applyAlignment="1">
      <alignment horizontal="center" vertical="center" wrapText="1"/>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24" fillId="77" borderId="10" xfId="0" applyFont="1" applyFill="1" applyBorder="1" applyAlignment="1">
      <alignment horizontal="center"/>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90">
    <dxf>
      <fill>
        <patternFill>
          <bgColor rgb="FFFFC000"/>
        </patternFill>
      </fill>
    </dxf>
    <dxf>
      <fill>
        <patternFill>
          <bgColor rgb="FFFF0000"/>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
      <font>
        <color rgb="FF9C0006"/>
      </font>
      <fill>
        <patternFill>
          <bgColor rgb="FFFFC7CE"/>
        </patternFill>
      </fill>
    </dxf>
  </dxfs>
  <tableStyles count="1" defaultTableStyle="TableStyleMedium2" defaultPivotStyle="PivotStyleLight16">
    <tableStyle name="Invisible" pivot="0" table="0" count="0" xr9:uid="{36ACC6AA-6285-41BA-81CA-4F089CF21105}"/>
  </tableStyles>
  <colors>
    <mruColors>
      <color rgb="FFFF66FF"/>
      <color rgb="FF9966FF"/>
      <color rgb="FFCC66FF"/>
      <color rgb="FF00FF99"/>
      <color rgb="FFFF99FF"/>
      <color rgb="FF66FF33"/>
      <color rgb="FF43E957"/>
      <color rgb="FFCC99FF"/>
      <color rgb="FF00FF0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2.5</c:v>
                </c:pt>
                <c:pt idx="1">
                  <c:v>0.9</c:v>
                </c:pt>
                <c:pt idx="2">
                  <c:v>0.8</c:v>
                </c:pt>
                <c:pt idx="3">
                  <c:v>0.9</c:v>
                </c:pt>
                <c:pt idx="4">
                  <c:v>0.9</c:v>
                </c:pt>
                <c:pt idx="5">
                  <c:v>3</c:v>
                </c:pt>
                <c:pt idx="6">
                  <c:v>2.5</c:v>
                </c:pt>
                <c:pt idx="7">
                  <c:v>1.2</c:v>
                </c:pt>
                <c:pt idx="8">
                  <c:v>0.9</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2.5</c:v>
                </c:pt>
                <c:pt idx="1">
                  <c:v>0.9</c:v>
                </c:pt>
                <c:pt idx="2">
                  <c:v>0.8</c:v>
                </c:pt>
                <c:pt idx="3">
                  <c:v>0.9</c:v>
                </c:pt>
                <c:pt idx="4">
                  <c:v>0.9</c:v>
                </c:pt>
                <c:pt idx="5">
                  <c:v>3</c:v>
                </c:pt>
                <c:pt idx="6">
                  <c:v>2.5</c:v>
                </c:pt>
                <c:pt idx="7">
                  <c:v>1.2</c:v>
                </c:pt>
                <c:pt idx="8">
                  <c:v>0.9</c:v>
                </c:pt>
                <c:pt idx="9">
                  <c:v>3</c:v>
                </c:pt>
                <c:pt idx="10">
                  <c:v>1.25</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0.16071428571428581</c:v>
                </c:pt>
                <c:pt idx="1">
                  <c:v>0.73529411764705888</c:v>
                </c:pt>
                <c:pt idx="2">
                  <c:v>0.75</c:v>
                </c:pt>
                <c:pt idx="3">
                  <c:v>0.9</c:v>
                </c:pt>
                <c:pt idx="4">
                  <c:v>0.94736842105263164</c:v>
                </c:pt>
                <c:pt idx="5">
                  <c:v>1</c:v>
                </c:pt>
                <c:pt idx="6">
                  <c:v>0.9</c:v>
                </c:pt>
                <c:pt idx="7">
                  <c:v>0</c:v>
                </c:pt>
                <c:pt idx="8">
                  <c:v>1</c:v>
                </c:pt>
                <c:pt idx="9">
                  <c:v>1</c:v>
                </c:pt>
                <c:pt idx="10">
                  <c:v>1</c:v>
                </c:pt>
                <c:pt idx="11">
                  <c:v>1</c:v>
                </c:pt>
                <c:pt idx="12">
                  <c:v>0.77777777777777779</c:v>
                </c:pt>
                <c:pt idx="13">
                  <c:v>0.8</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0.25</c:v>
                </c:pt>
                <c:pt idx="1">
                  <c:v>9.9999999999999978E-2</c:v>
                </c:pt>
                <c:pt idx="2">
                  <c:v>5.2631578947368363E-2</c:v>
                </c:pt>
                <c:pt idx="3">
                  <c:v>0</c:v>
                </c:pt>
                <c:pt idx="4">
                  <c:v>9.9999999999999978E-2</c:v>
                </c:pt>
                <c:pt idx="5">
                  <c:v>1</c:v>
                </c:pt>
                <c:pt idx="6">
                  <c:v>0</c:v>
                </c:pt>
                <c:pt idx="7">
                  <c:v>0</c:v>
                </c:pt>
                <c:pt idx="8">
                  <c:v>0</c:v>
                </c:pt>
                <c:pt idx="9">
                  <c:v>0.22222222222222221</c:v>
                </c:pt>
                <c:pt idx="10">
                  <c:v>1</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1.1019283746556474</c:v>
                </c:pt>
                <c:pt idx="1">
                  <c:v>0.7857142857142857</c:v>
                </c:pt>
                <c:pt idx="2">
                  <c:v>0.72222222222222221</c:v>
                </c:pt>
                <c:pt idx="3">
                  <c:v>0.875</c:v>
                </c:pt>
                <c:pt idx="4">
                  <c:v>0.33333333333333331</c:v>
                </c:pt>
                <c:pt idx="5">
                  <c:v>2</c:v>
                </c:pt>
                <c:pt idx="6">
                  <c:v>1.0421052631578946</c:v>
                </c:pt>
                <c:pt idx="7">
                  <c:v>1</c:v>
                </c:pt>
                <c:pt idx="8">
                  <c:v>1</c:v>
                </c:pt>
                <c:pt idx="9">
                  <c:v>3</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2.9070000000000002E-2</c:v>
                </c:pt>
                <c:pt idx="1">
                  <c:v>1.7762057142857102E-2</c:v>
                </c:pt>
                <c:pt idx="2">
                  <c:v>9.0720000000001771E-2</c:v>
                </c:pt>
                <c:pt idx="3">
                  <c:v>8.0845714285713976E-3</c:v>
                </c:pt>
                <c:pt idx="4">
                  <c:v>4.0561613858835855E-3</c:v>
                </c:pt>
                <c:pt idx="5">
                  <c:v>0</c:v>
                </c:pt>
                <c:pt idx="6">
                  <c:v>5.2000000000000005E-2</c:v>
                </c:pt>
                <c:pt idx="7">
                  <c:v>1</c:v>
                </c:pt>
                <c:pt idx="8">
                  <c:v>2.0149714285714281E-2</c:v>
                </c:pt>
                <c:pt idx="9">
                  <c:v>7.3642857142857149E-2</c:v>
                </c:pt>
                <c:pt idx="10">
                  <c:v>1.8000000000000002E-2</c:v>
                </c:pt>
                <c:pt idx="11">
                  <c:v>4.3200000000000002E-2</c:v>
                </c:pt>
                <c:pt idx="12">
                  <c:v>7.3186666666666721E-3</c:v>
                </c:pt>
                <c:pt idx="13">
                  <c:v>2.1956000000000017E-2</c:v>
                </c:pt>
                <c:pt idx="14">
                  <c:v>1.0000000000000001E-5</c:v>
                </c:pt>
                <c:pt idx="15">
                  <c:v>1.0276969368271926E-4</c:v>
                </c:pt>
                <c:pt idx="16">
                  <c:v>5.3999999999999999E-2</c:v>
                </c:pt>
                <c:pt idx="17">
                  <c:v>2.1306052203319986E-3</c:v>
                </c:pt>
                <c:pt idx="18">
                  <c:v>2.2882404155844289E-4</c:v>
                </c:pt>
                <c:pt idx="19">
                  <c:v>1.1457993972338216E-4</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1.4148000000000001E-2</c:v>
                </c:pt>
                <c:pt idx="1">
                  <c:v>1.4801714285714251E-2</c:v>
                </c:pt>
                <c:pt idx="2">
                  <c:v>6.0480000000001179E-2</c:v>
                </c:pt>
                <c:pt idx="3">
                  <c:v>8.0845714285713976E-3</c:v>
                </c:pt>
                <c:pt idx="4">
                  <c:v>2.4336968315301511E-3</c:v>
                </c:pt>
                <c:pt idx="5">
                  <c:v>0.11289600000000004</c:v>
                </c:pt>
                <c:pt idx="6">
                  <c:v>5.2000000000000005E-2</c:v>
                </c:pt>
                <c:pt idx="7">
                  <c:v>1</c:v>
                </c:pt>
                <c:pt idx="8">
                  <c:v>1.0746514285714286E-2</c:v>
                </c:pt>
                <c:pt idx="9">
                  <c:v>4.7131428571428581E-2</c:v>
                </c:pt>
                <c:pt idx="10">
                  <c:v>1.4400000000000003E-2</c:v>
                </c:pt>
                <c:pt idx="11">
                  <c:v>2.8800000000000006E-2</c:v>
                </c:pt>
                <c:pt idx="12">
                  <c:v>7.3186666666666721E-3</c:v>
                </c:pt>
                <c:pt idx="13">
                  <c:v>1.4051840000000013E-2</c:v>
                </c:pt>
                <c:pt idx="14">
                  <c:v>1.0000000000000001E-5</c:v>
                </c:pt>
                <c:pt idx="15">
                  <c:v>1.0276969368271927E-3</c:v>
                </c:pt>
                <c:pt idx="16">
                  <c:v>5.3999999999999999E-2</c:v>
                </c:pt>
                <c:pt idx="17">
                  <c:v>2.1306052203319986E-3</c:v>
                </c:pt>
                <c:pt idx="18">
                  <c:v>1.5254936103896192E-4</c:v>
                </c:pt>
                <c:pt idx="19">
                  <c:v>1.1457993972338216E-4</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0.48668730650154796</c:v>
                </c:pt>
                <c:pt idx="1">
                  <c:v>0.66666666666666674</c:v>
                </c:pt>
                <c:pt idx="2">
                  <c:v>0.83333333333333326</c:v>
                </c:pt>
                <c:pt idx="3">
                  <c:v>0.66666666666666663</c:v>
                </c:pt>
                <c:pt idx="4">
                  <c:v>1</c:v>
                </c:pt>
                <c:pt idx="5">
                  <c:v>0.6</c:v>
                </c:pt>
                <c:pt idx="6">
                  <c:v>0</c:v>
                </c:pt>
                <c:pt idx="7">
                  <c:v>1</c:v>
                </c:pt>
                <c:pt idx="8">
                  <c:v>1</c:v>
                </c:pt>
                <c:pt idx="9">
                  <c:v>0.53333333333333344</c:v>
                </c:pt>
                <c:pt idx="10">
                  <c:v>0.64000000000000012</c:v>
                </c:pt>
                <c:pt idx="11">
                  <c:v>0.8</c:v>
                </c:pt>
                <c:pt idx="12">
                  <c:v>0.66666666666666674</c:v>
                </c:pt>
                <c:pt idx="13">
                  <c:v>1</c:v>
                </c:pt>
                <c:pt idx="14">
                  <c:v>0.64000000000000012</c:v>
                </c:pt>
                <c:pt idx="15">
                  <c:v>1</c:v>
                </c:pt>
                <c:pt idx="16">
                  <c:v>1</c:v>
                </c:pt>
                <c:pt idx="17">
                  <c:v>1</c:v>
                </c:pt>
                <c:pt idx="18">
                  <c:v>1</c:v>
                </c:pt>
                <c:pt idx="19">
                  <c:v>0.66666666666666663</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0.66888176530797572</c:v>
                </c:pt>
                <c:pt idx="1">
                  <c:v>1.44</c:v>
                </c:pt>
                <c:pt idx="2">
                  <c:v>1.2</c:v>
                </c:pt>
                <c:pt idx="3">
                  <c:v>1.08</c:v>
                </c:pt>
                <c:pt idx="4">
                  <c:v>0.80000000000000016</c:v>
                </c:pt>
                <c:pt idx="5">
                  <c:v>1.08</c:v>
                </c:pt>
                <c:pt idx="6">
                  <c:v>0</c:v>
                </c:pt>
                <c:pt idx="7">
                  <c:v>1</c:v>
                </c:pt>
                <c:pt idx="8">
                  <c:v>3</c:v>
                </c:pt>
                <c:pt idx="9">
                  <c:v>1.08</c:v>
                </c:pt>
                <c:pt idx="10">
                  <c:v>0.5</c:v>
                </c:pt>
                <c:pt idx="11">
                  <c:v>0.90000000000000013</c:v>
                </c:pt>
                <c:pt idx="12">
                  <c:v>1.08</c:v>
                </c:pt>
                <c:pt idx="13">
                  <c:v>0.13410909202576257</c:v>
                </c:pt>
                <c:pt idx="14">
                  <c:v>0.15287686463448555</c:v>
                </c:pt>
                <c:pt idx="15">
                  <c:v>0.01</c:v>
                </c:pt>
                <c:pt idx="16">
                  <c:v>1.0000000000000002E-2</c:v>
                </c:pt>
                <c:pt idx="17">
                  <c:v>0.9</c:v>
                </c:pt>
                <c:pt idx="18">
                  <c:v>0.89999999999999991</c:v>
                </c:pt>
                <c:pt idx="19">
                  <c:v>1.08</c:v>
                </c:pt>
                <c:pt idx="20">
                  <c:v>9.0000000000000011E-2</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tabSelected="1" zoomScale="73" zoomScaleNormal="73" workbookViewId="0">
      <pane xSplit="4" ySplit="1" topLeftCell="E183" activePane="bottomRight" state="frozen"/>
      <selection pane="topRight" activeCell="E1" sqref="E1"/>
      <selection pane="bottomLeft" activeCell="A2" sqref="A2"/>
      <selection pane="bottomRight" activeCell="D193" sqref="D193"/>
    </sheetView>
  </sheetViews>
  <sheetFormatPr defaultColWidth="97.5546875" defaultRowHeight="18"/>
  <cols>
    <col min="1" max="1" width="4.21875" style="329" customWidth="1"/>
    <col min="2" max="2" width="27" style="329" customWidth="1"/>
    <col min="3" max="3" width="17.109375" style="448" customWidth="1"/>
    <col min="4" max="4" width="127.88671875" style="541" customWidth="1"/>
    <col min="5" max="5" width="10.88671875" style="449" customWidth="1"/>
    <col min="6" max="6" width="15.33203125" style="324" customWidth="1"/>
    <col min="7" max="7" width="12.21875" style="329" bestFit="1" customWidth="1"/>
    <col min="8" max="8" width="9.109375" style="329" customWidth="1"/>
    <col min="9" max="9" width="8.44140625" style="329" bestFit="1" customWidth="1"/>
    <col min="10" max="10" width="23.5546875" style="329" customWidth="1"/>
    <col min="11" max="11" width="9.21875" style="329" customWidth="1"/>
    <col min="12" max="12" width="22.88671875" style="329" bestFit="1" customWidth="1"/>
    <col min="13" max="13" width="22.88671875" style="329" customWidth="1"/>
    <col min="14" max="14" width="5.44140625" style="525" bestFit="1" customWidth="1"/>
    <col min="15" max="15" width="6.109375" style="329" customWidth="1"/>
    <col min="16" max="16" width="6.6640625" style="525" bestFit="1" customWidth="1"/>
    <col min="17" max="17" width="8.33203125" style="329" bestFit="1" customWidth="1"/>
    <col min="18" max="18" width="8.5546875" style="525" bestFit="1" customWidth="1"/>
    <col min="19" max="19" width="9" style="329" bestFit="1" customWidth="1"/>
    <col min="20" max="20" width="9.44140625" style="525" bestFit="1" customWidth="1"/>
    <col min="21" max="21" width="6" style="329" bestFit="1" customWidth="1"/>
    <col min="22" max="22" width="6.109375" style="525" bestFit="1" customWidth="1"/>
    <col min="23" max="23" width="9.21875" style="329" bestFit="1" customWidth="1"/>
    <col min="24" max="24" width="8.77734375" style="525" bestFit="1" customWidth="1"/>
    <col min="25" max="25" width="12" style="329" bestFit="1" customWidth="1"/>
    <col min="26" max="26" width="7.44140625" style="525" bestFit="1" customWidth="1"/>
    <col min="27" max="27" width="7.5546875" style="329" customWidth="1"/>
    <col min="28" max="28" width="8.44140625" style="525" bestFit="1" customWidth="1"/>
    <col min="29" max="29" width="11.44140625" style="329" bestFit="1" customWidth="1"/>
    <col min="30" max="30" width="10.109375" style="525" bestFit="1" customWidth="1"/>
    <col min="31" max="31" width="12.6640625" style="329" bestFit="1" customWidth="1"/>
    <col min="32" max="32" width="9.77734375" style="525" bestFit="1" customWidth="1"/>
    <col min="33" max="33" width="5.44140625" style="329" bestFit="1" customWidth="1"/>
    <col min="34" max="34" width="11.77734375" style="525" bestFit="1" customWidth="1"/>
    <col min="35" max="35" width="5.77734375" style="329" bestFit="1" customWidth="1"/>
    <col min="36" max="36" width="11.77734375" style="525" bestFit="1" customWidth="1"/>
    <col min="37" max="37" width="5.44140625" style="329" bestFit="1" customWidth="1"/>
    <col min="38" max="38" width="7" style="525" bestFit="1" customWidth="1"/>
    <col min="39" max="39" width="8.44140625" style="329" bestFit="1" customWidth="1"/>
    <col min="40" max="40" width="9.77734375" style="525" bestFit="1" customWidth="1"/>
    <col min="41" max="41" width="10.77734375" style="329" bestFit="1" customWidth="1"/>
    <col min="42" max="42" width="17.44140625" style="525" bestFit="1" customWidth="1"/>
    <col min="43" max="43" width="8.44140625" style="329" bestFit="1" customWidth="1"/>
    <col min="44" max="44" width="7.33203125" style="525" bestFit="1" customWidth="1"/>
    <col min="45" max="45" width="8.88671875" style="329" bestFit="1" customWidth="1"/>
    <col min="46" max="46" width="6.6640625" style="525" bestFit="1" customWidth="1"/>
    <col min="47" max="47" width="6.88671875" style="329" bestFit="1" customWidth="1"/>
    <col min="48" max="48" width="7.6640625" style="525" bestFit="1" customWidth="1"/>
    <col min="49" max="49" width="8.21875" style="329" bestFit="1" customWidth="1"/>
    <col min="50" max="50" width="6.109375" style="525" bestFit="1" customWidth="1"/>
    <col min="51" max="51" width="9.77734375" style="329" bestFit="1" customWidth="1"/>
    <col min="52" max="52" width="9.77734375" style="331" bestFit="1" customWidth="1"/>
    <col min="53" max="53" width="7.21875" style="329" bestFit="1" customWidth="1"/>
    <col min="54" max="54" width="7.21875" style="331" bestFit="1" customWidth="1"/>
    <col min="55" max="55" width="6.77734375" style="329" bestFit="1" customWidth="1"/>
    <col min="56" max="56" width="7.77734375" style="331" bestFit="1" customWidth="1"/>
    <col min="57" max="57" width="7.109375" style="329" bestFit="1" customWidth="1"/>
    <col min="58" max="58" width="8.88671875" style="331" bestFit="1" customWidth="1"/>
    <col min="59" max="59" width="6.109375" style="329" bestFit="1" customWidth="1"/>
    <col min="60" max="60" width="10.77734375" style="331" bestFit="1" customWidth="1"/>
    <col min="61" max="61" width="9.5546875" style="329" customWidth="1"/>
    <col min="62" max="62" width="8.33203125" style="331" bestFit="1" customWidth="1"/>
    <col min="63" max="63" width="6.109375" style="329" bestFit="1" customWidth="1"/>
    <col min="64" max="64" width="5.44140625" style="331" bestFit="1" customWidth="1"/>
    <col min="65" max="65" width="5.44140625" style="329" customWidth="1"/>
    <col min="66" max="66" width="6.44140625" style="331" bestFit="1" customWidth="1"/>
    <col min="67" max="67" width="9.109375" style="329" bestFit="1" customWidth="1"/>
    <col min="68" max="16384" width="97.5546875" style="329"/>
  </cols>
  <sheetData>
    <row r="1" spans="1:67">
      <c r="A1" s="329" t="s">
        <v>2378</v>
      </c>
      <c r="B1" s="334" t="s">
        <v>1159</v>
      </c>
      <c r="D1" s="335" t="s">
        <v>1160</v>
      </c>
      <c r="E1" s="449" t="s">
        <v>1496</v>
      </c>
      <c r="F1" s="319" t="s">
        <v>85</v>
      </c>
      <c r="G1" s="329" t="s">
        <v>1204</v>
      </c>
      <c r="H1" s="329" t="s">
        <v>1205</v>
      </c>
      <c r="I1" s="329" t="s">
        <v>1646</v>
      </c>
      <c r="J1" s="336" t="s">
        <v>1161</v>
      </c>
      <c r="N1" s="307" t="s">
        <v>1198</v>
      </c>
      <c r="O1" s="303" t="s">
        <v>1189</v>
      </c>
      <c r="P1" s="307" t="s">
        <v>1640</v>
      </c>
      <c r="Q1" s="303" t="s">
        <v>1617</v>
      </c>
      <c r="R1" s="307" t="s">
        <v>1195</v>
      </c>
      <c r="S1" s="303" t="s">
        <v>1618</v>
      </c>
      <c r="T1" s="307" t="s">
        <v>1619</v>
      </c>
      <c r="U1" s="303" t="s">
        <v>1597</v>
      </c>
      <c r="V1" s="307" t="s">
        <v>1598</v>
      </c>
      <c r="W1" s="303" t="s">
        <v>1593</v>
      </c>
      <c r="X1" s="307" t="s">
        <v>1620</v>
      </c>
      <c r="Y1" s="303" t="s">
        <v>1621</v>
      </c>
      <c r="Z1" s="307" t="s">
        <v>1599</v>
      </c>
      <c r="AA1" s="303" t="s">
        <v>1600</v>
      </c>
      <c r="AB1" s="307" t="s">
        <v>1622</v>
      </c>
      <c r="AC1" s="303" t="s">
        <v>1623</v>
      </c>
      <c r="AD1" s="307" t="s">
        <v>1624</v>
      </c>
      <c r="AE1" s="303" t="s">
        <v>1625</v>
      </c>
      <c r="AF1" s="307" t="s">
        <v>1626</v>
      </c>
      <c r="AG1" s="303" t="s">
        <v>124</v>
      </c>
      <c r="AH1" s="307" t="s">
        <v>1601</v>
      </c>
      <c r="AI1" s="303" t="s">
        <v>1602</v>
      </c>
      <c r="AJ1" s="307" t="s">
        <v>1594</v>
      </c>
      <c r="AK1" s="303" t="s">
        <v>1190</v>
      </c>
      <c r="AL1" s="307" t="s">
        <v>1603</v>
      </c>
      <c r="AM1" s="303" t="s">
        <v>1595</v>
      </c>
      <c r="AN1" s="307" t="s">
        <v>1604</v>
      </c>
      <c r="AO1" s="303" t="s">
        <v>1605</v>
      </c>
      <c r="AP1" s="307" t="s">
        <v>1606</v>
      </c>
      <c r="AQ1" s="303" t="s">
        <v>1607</v>
      </c>
      <c r="AR1" s="317" t="s">
        <v>1627</v>
      </c>
      <c r="AS1" s="303" t="s">
        <v>1628</v>
      </c>
      <c r="AT1" s="307" t="s">
        <v>1629</v>
      </c>
      <c r="AU1" s="303" t="s">
        <v>1630</v>
      </c>
      <c r="AV1" s="307" t="s">
        <v>1631</v>
      </c>
      <c r="AW1" s="303" t="s">
        <v>1596</v>
      </c>
      <c r="AX1" s="307" t="s">
        <v>1608</v>
      </c>
      <c r="AY1" s="303" t="s">
        <v>1609</v>
      </c>
      <c r="AZ1" s="302" t="s">
        <v>1610</v>
      </c>
      <c r="BA1" s="303" t="s">
        <v>1632</v>
      </c>
      <c r="BB1" s="302" t="s">
        <v>1633</v>
      </c>
      <c r="BC1" s="303" t="s">
        <v>1634</v>
      </c>
      <c r="BD1" s="302" t="s">
        <v>1635</v>
      </c>
      <c r="BE1" s="303" t="s">
        <v>1636</v>
      </c>
      <c r="BF1" s="302" t="s">
        <v>1611</v>
      </c>
      <c r="BG1" s="303" t="s">
        <v>1612</v>
      </c>
      <c r="BH1" s="302" t="s">
        <v>1613</v>
      </c>
      <c r="BI1" s="303" t="s">
        <v>1637</v>
      </c>
      <c r="BJ1" s="302" t="s">
        <v>1638</v>
      </c>
      <c r="BK1" s="284" t="s">
        <v>1614</v>
      </c>
      <c r="BL1" s="150" t="s">
        <v>1615</v>
      </c>
      <c r="BM1" s="25" t="s">
        <v>1696</v>
      </c>
      <c r="BN1" s="302" t="s">
        <v>1639</v>
      </c>
      <c r="BO1" s="303" t="s">
        <v>1616</v>
      </c>
    </row>
    <row r="2" spans="1:67">
      <c r="B2" s="533"/>
      <c r="D2" s="534" t="s">
        <v>1151</v>
      </c>
      <c r="F2" s="375">
        <f ca="1">TODAY()</f>
        <v>46126</v>
      </c>
    </row>
    <row r="3" spans="1:67" ht="36">
      <c r="A3" s="535">
        <v>1</v>
      </c>
      <c r="B3" s="360" t="s">
        <v>1041</v>
      </c>
      <c r="D3" s="534" t="s">
        <v>2700</v>
      </c>
      <c r="E3" s="449" t="s">
        <v>1495</v>
      </c>
      <c r="F3" s="320">
        <v>1</v>
      </c>
      <c r="H3" s="329">
        <f>IF(F3=1,1,0)</f>
        <v>1</v>
      </c>
      <c r="I3" s="329">
        <f>IF(F3=0,1,0)</f>
        <v>0</v>
      </c>
    </row>
    <row r="4" spans="1:67" ht="36">
      <c r="A4" s="535">
        <v>1</v>
      </c>
      <c r="B4" s="360" t="s">
        <v>1041</v>
      </c>
      <c r="D4" s="534" t="s">
        <v>2355</v>
      </c>
      <c r="E4" s="449" t="s">
        <v>1497</v>
      </c>
      <c r="F4" s="321">
        <v>51</v>
      </c>
    </row>
    <row r="5" spans="1:67" ht="54">
      <c r="A5" s="535">
        <v>1</v>
      </c>
      <c r="B5" s="360" t="s">
        <v>1041</v>
      </c>
      <c r="D5" s="534" t="s">
        <v>2680</v>
      </c>
      <c r="E5" s="449" t="s">
        <v>1498</v>
      </c>
      <c r="F5" s="320">
        <v>0</v>
      </c>
      <c r="H5" s="337"/>
      <c r="I5" s="337"/>
      <c r="J5" s="337"/>
    </row>
    <row r="6" spans="1:67" s="330" customFormat="1">
      <c r="A6" s="535">
        <v>1</v>
      </c>
      <c r="B6" s="329" t="s">
        <v>1456</v>
      </c>
      <c r="C6" s="448"/>
      <c r="D6" s="534" t="s">
        <v>1986</v>
      </c>
      <c r="E6" s="449" t="s">
        <v>1499</v>
      </c>
      <c r="F6" s="326">
        <v>165</v>
      </c>
      <c r="G6" s="567" t="s">
        <v>0</v>
      </c>
      <c r="H6" s="337">
        <f>(F7*100)/(F6*F6)</f>
        <v>0.27548209366391185</v>
      </c>
      <c r="I6" s="598"/>
      <c r="J6" s="598"/>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F6" si="0">IF($H$6&gt;0.3,1.2,0.8)</f>
        <v>0.8</v>
      </c>
      <c r="AF6" s="346">
        <f t="shared" si="0"/>
        <v>0.8</v>
      </c>
      <c r="AG6" s="346"/>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5">
        <v>1</v>
      </c>
      <c r="B7" s="329" t="s">
        <v>1456</v>
      </c>
      <c r="C7" s="448"/>
      <c r="D7" s="534" t="s">
        <v>1987</v>
      </c>
      <c r="E7" s="449" t="s">
        <v>1500</v>
      </c>
      <c r="F7" s="326">
        <v>75</v>
      </c>
      <c r="H7" s="337"/>
      <c r="I7" s="337"/>
      <c r="J7" s="337"/>
      <c r="K7" s="329"/>
      <c r="N7" s="525"/>
      <c r="O7" s="329"/>
      <c r="P7" s="525"/>
      <c r="Q7" s="329"/>
      <c r="R7" s="525"/>
      <c r="S7" s="329"/>
      <c r="T7" s="525"/>
      <c r="U7" s="329"/>
      <c r="V7" s="525"/>
      <c r="W7" s="329"/>
      <c r="X7" s="525"/>
      <c r="Y7" s="329"/>
      <c r="Z7" s="525"/>
      <c r="AA7" s="329"/>
      <c r="AB7" s="525"/>
      <c r="AC7" s="329"/>
      <c r="AD7" s="525"/>
      <c r="AE7" s="329"/>
      <c r="AF7" s="525"/>
      <c r="AG7" s="329"/>
      <c r="AH7" s="525"/>
      <c r="AI7" s="329"/>
      <c r="AJ7" s="525"/>
      <c r="AK7" s="329"/>
      <c r="AL7" s="525"/>
      <c r="AM7" s="329"/>
      <c r="AN7" s="525"/>
      <c r="AO7" s="329"/>
      <c r="AP7" s="525"/>
      <c r="AQ7" s="329"/>
      <c r="AR7" s="525"/>
      <c r="AS7" s="329"/>
      <c r="AT7" s="525"/>
      <c r="AU7" s="329"/>
      <c r="AV7" s="525"/>
      <c r="AW7" s="329"/>
      <c r="AX7" s="525"/>
      <c r="AY7" s="329"/>
      <c r="AZ7" s="331"/>
      <c r="BA7" s="329"/>
      <c r="BB7" s="331"/>
      <c r="BC7" s="329"/>
      <c r="BD7" s="331"/>
      <c r="BE7" s="329"/>
      <c r="BF7" s="331"/>
      <c r="BG7" s="329"/>
      <c r="BH7" s="331"/>
      <c r="BI7" s="329"/>
      <c r="BJ7" s="331"/>
      <c r="BK7" s="329"/>
      <c r="BL7" s="331"/>
      <c r="BM7" s="329"/>
      <c r="BN7" s="331"/>
      <c r="BO7" s="329"/>
    </row>
    <row r="8" spans="1:67" s="323" customFormat="1" ht="36">
      <c r="B8" s="536" t="s">
        <v>1125</v>
      </c>
      <c r="C8" s="448"/>
      <c r="D8" s="537" t="s">
        <v>2398</v>
      </c>
      <c r="E8" s="449"/>
      <c r="F8" s="559">
        <v>1</v>
      </c>
      <c r="G8" s="331">
        <f>F8</f>
        <v>1</v>
      </c>
      <c r="N8" s="526"/>
      <c r="P8" s="526"/>
      <c r="R8" s="526"/>
      <c r="T8" s="526"/>
      <c r="V8" s="526"/>
      <c r="X8" s="526"/>
      <c r="Z8" s="526"/>
      <c r="AB8" s="526"/>
      <c r="AD8" s="526"/>
      <c r="AF8" s="526"/>
      <c r="AH8" s="526"/>
      <c r="AJ8" s="526"/>
      <c r="AL8" s="526"/>
      <c r="AN8" s="526"/>
      <c r="AP8" s="526"/>
      <c r="AR8" s="526"/>
      <c r="AT8" s="526"/>
      <c r="AV8" s="526"/>
      <c r="AX8" s="526"/>
      <c r="AZ8" s="341"/>
      <c r="BB8" s="341"/>
      <c r="BD8" s="341"/>
      <c r="BF8" s="341"/>
      <c r="BH8" s="341"/>
      <c r="BJ8" s="341"/>
      <c r="BL8" s="341"/>
      <c r="BN8" s="341"/>
    </row>
    <row r="9" spans="1:67" s="323" customFormat="1">
      <c r="B9" s="536" t="s">
        <v>1125</v>
      </c>
      <c r="C9" s="448"/>
      <c r="D9" s="537" t="s">
        <v>2399</v>
      </c>
      <c r="E9" s="593"/>
      <c r="F9" s="559">
        <v>1</v>
      </c>
      <c r="G9" s="331">
        <f>F9</f>
        <v>1</v>
      </c>
      <c r="N9" s="526"/>
      <c r="P9" s="526"/>
      <c r="R9" s="526"/>
      <c r="T9" s="526"/>
      <c r="V9" s="526"/>
      <c r="X9" s="526"/>
      <c r="Z9" s="526"/>
      <c r="AB9" s="526"/>
      <c r="AD9" s="526"/>
      <c r="AF9" s="526"/>
      <c r="AH9" s="526"/>
      <c r="AJ9" s="526"/>
      <c r="AL9" s="526"/>
      <c r="AN9" s="526"/>
      <c r="AP9" s="526"/>
      <c r="AR9" s="526"/>
      <c r="AT9" s="526"/>
      <c r="AV9" s="526"/>
      <c r="AX9" s="526"/>
      <c r="AZ9" s="341"/>
      <c r="BB9" s="341"/>
      <c r="BD9" s="341"/>
      <c r="BF9" s="341"/>
      <c r="BH9" s="341"/>
      <c r="BJ9" s="341"/>
      <c r="BL9" s="341"/>
      <c r="BN9" s="341"/>
    </row>
    <row r="10" spans="1:67" s="323" customFormat="1" ht="54">
      <c r="B10" s="536" t="s">
        <v>1125</v>
      </c>
      <c r="C10" s="448"/>
      <c r="D10" s="537" t="s">
        <v>2701</v>
      </c>
      <c r="E10" s="449"/>
      <c r="F10" s="323">
        <v>2</v>
      </c>
      <c r="G10" s="331">
        <f>IF(F10=2,0.5,0)</f>
        <v>0.5</v>
      </c>
      <c r="N10" s="526"/>
      <c r="P10" s="526"/>
      <c r="R10" s="526"/>
      <c r="T10" s="526"/>
      <c r="V10" s="526"/>
      <c r="X10" s="526"/>
      <c r="Z10" s="526"/>
      <c r="AB10" s="526"/>
      <c r="AD10" s="526"/>
      <c r="AF10" s="526"/>
      <c r="AH10" s="526"/>
      <c r="AJ10" s="526"/>
      <c r="AL10" s="526"/>
      <c r="AN10" s="526"/>
      <c r="AP10" s="526"/>
      <c r="AR10" s="526"/>
      <c r="AT10" s="526"/>
      <c r="AV10" s="526"/>
      <c r="AX10" s="526"/>
      <c r="AZ10" s="341"/>
      <c r="BB10" s="341"/>
      <c r="BD10" s="341"/>
      <c r="BF10" s="341"/>
      <c r="BH10" s="341"/>
      <c r="BJ10" s="341"/>
      <c r="BL10" s="341"/>
      <c r="BN10" s="341"/>
    </row>
    <row r="11" spans="1:67" s="323" customFormat="1" ht="54">
      <c r="A11" s="535">
        <v>1</v>
      </c>
      <c r="B11" s="536" t="s">
        <v>1125</v>
      </c>
      <c r="C11" s="448"/>
      <c r="D11" s="537" t="s">
        <v>2606</v>
      </c>
      <c r="E11" s="449"/>
      <c r="F11" s="323">
        <v>0</v>
      </c>
      <c r="G11" s="331">
        <f>IF(F11=0,0.5,0)</f>
        <v>0.5</v>
      </c>
      <c r="N11" s="526"/>
      <c r="P11" s="526"/>
      <c r="R11" s="526"/>
      <c r="T11" s="526"/>
      <c r="V11" s="526"/>
      <c r="X11" s="526"/>
      <c r="Z11" s="526"/>
      <c r="AB11" s="526"/>
      <c r="AD11" s="526"/>
      <c r="AF11" s="526"/>
      <c r="AH11" s="526"/>
      <c r="AJ11" s="526"/>
      <c r="AL11" s="526"/>
      <c r="AN11" s="526"/>
      <c r="AP11" s="526"/>
      <c r="AR11" s="526"/>
      <c r="AT11" s="526"/>
      <c r="AV11" s="526"/>
      <c r="AX11" s="526"/>
      <c r="AZ11" s="341"/>
      <c r="BB11" s="341"/>
      <c r="BD11" s="341"/>
      <c r="BF11" s="341"/>
      <c r="BH11" s="341"/>
      <c r="BJ11" s="341"/>
      <c r="BL11" s="341"/>
      <c r="BN11" s="341"/>
    </row>
    <row r="12" spans="1:67" s="323" customFormat="1">
      <c r="B12" s="536" t="s">
        <v>1125</v>
      </c>
      <c r="C12" s="448" t="s">
        <v>2253</v>
      </c>
      <c r="D12" s="537" t="s">
        <v>2400</v>
      </c>
      <c r="E12" s="593"/>
      <c r="F12" s="322">
        <v>1</v>
      </c>
      <c r="G12" s="331"/>
      <c r="N12" s="526"/>
      <c r="P12" s="526"/>
      <c r="R12" s="526"/>
      <c r="T12" s="526"/>
      <c r="V12" s="526"/>
      <c r="X12" s="526"/>
      <c r="Z12" s="526"/>
      <c r="AB12" s="526"/>
      <c r="AD12" s="526"/>
      <c r="AF12" s="526"/>
      <c r="AH12" s="526"/>
      <c r="AJ12" s="526"/>
      <c r="AL12" s="526"/>
      <c r="AN12" s="526"/>
      <c r="AP12" s="526"/>
      <c r="AR12" s="526"/>
      <c r="AT12" s="526"/>
      <c r="AV12" s="526"/>
      <c r="AX12" s="526"/>
      <c r="AZ12" s="341"/>
      <c r="BB12" s="341"/>
      <c r="BD12" s="341"/>
      <c r="BF12" s="341"/>
      <c r="BH12" s="341"/>
      <c r="BJ12" s="341"/>
      <c r="BL12" s="341"/>
      <c r="BN12" s="341"/>
    </row>
    <row r="13" spans="1:67" s="323" customFormat="1">
      <c r="B13" s="536" t="s">
        <v>1125</v>
      </c>
      <c r="C13" s="448"/>
      <c r="D13" s="537" t="s">
        <v>2401</v>
      </c>
      <c r="E13" s="593"/>
      <c r="F13" s="559">
        <v>0</v>
      </c>
      <c r="G13" s="331">
        <f>IF(F13=0,1,0)</f>
        <v>1</v>
      </c>
      <c r="N13" s="526"/>
      <c r="P13" s="526"/>
      <c r="R13" s="526"/>
      <c r="T13" s="526"/>
      <c r="V13" s="526"/>
      <c r="X13" s="526"/>
      <c r="Z13" s="526"/>
      <c r="AB13" s="526"/>
      <c r="AD13" s="526"/>
      <c r="AF13" s="526"/>
      <c r="AH13" s="526"/>
      <c r="AJ13" s="526"/>
      <c r="AL13" s="526"/>
      <c r="AN13" s="526"/>
      <c r="AP13" s="526"/>
      <c r="AR13" s="526"/>
      <c r="AT13" s="526"/>
      <c r="AV13" s="526"/>
      <c r="AX13" s="526"/>
      <c r="AZ13" s="341"/>
      <c r="BB13" s="341"/>
      <c r="BD13" s="341"/>
      <c r="BF13" s="341"/>
      <c r="BH13" s="341"/>
      <c r="BJ13" s="341"/>
      <c r="BL13" s="341"/>
      <c r="BN13" s="341"/>
    </row>
    <row r="14" spans="1:67" s="323" customFormat="1">
      <c r="B14" s="536" t="s">
        <v>1125</v>
      </c>
      <c r="C14" s="448" t="s">
        <v>2250</v>
      </c>
      <c r="D14" s="537" t="s">
        <v>2402</v>
      </c>
      <c r="E14" s="593"/>
      <c r="F14" s="559">
        <v>1</v>
      </c>
      <c r="G14" s="331">
        <f t="shared" ref="G14:G15" si="3">F14</f>
        <v>1</v>
      </c>
      <c r="N14" s="526"/>
      <c r="P14" s="526"/>
      <c r="R14" s="526"/>
      <c r="T14" s="526"/>
      <c r="V14" s="526"/>
      <c r="X14" s="526"/>
      <c r="Z14" s="526"/>
      <c r="AB14" s="526"/>
      <c r="AD14" s="526"/>
      <c r="AF14" s="526"/>
      <c r="AH14" s="526"/>
      <c r="AJ14" s="526"/>
      <c r="AL14" s="526"/>
      <c r="AN14" s="526"/>
      <c r="AP14" s="526"/>
      <c r="AR14" s="526"/>
      <c r="AT14" s="526"/>
      <c r="AV14" s="526"/>
      <c r="AX14" s="526"/>
      <c r="AZ14" s="341"/>
      <c r="BB14" s="341"/>
      <c r="BD14" s="341"/>
      <c r="BF14" s="341"/>
      <c r="BH14" s="341"/>
      <c r="BJ14" s="341"/>
      <c r="BL14" s="341"/>
      <c r="BN14" s="341"/>
    </row>
    <row r="15" spans="1:67" s="323" customFormat="1" ht="36">
      <c r="B15" s="536" t="s">
        <v>1125</v>
      </c>
      <c r="C15" s="448" t="s">
        <v>2254</v>
      </c>
      <c r="D15" s="537" t="s">
        <v>2403</v>
      </c>
      <c r="E15" s="593"/>
      <c r="F15" s="559">
        <v>1</v>
      </c>
      <c r="G15" s="331">
        <f t="shared" si="3"/>
        <v>1</v>
      </c>
      <c r="N15" s="526"/>
      <c r="P15" s="526"/>
      <c r="R15" s="526"/>
      <c r="T15" s="526"/>
      <c r="V15" s="526"/>
      <c r="X15" s="526"/>
      <c r="Z15" s="526"/>
      <c r="AB15" s="526"/>
      <c r="AD15" s="526"/>
      <c r="AF15" s="526"/>
      <c r="AH15" s="526"/>
      <c r="AJ15" s="526"/>
      <c r="AL15" s="526"/>
      <c r="AN15" s="526"/>
      <c r="AP15" s="526"/>
      <c r="AR15" s="526"/>
      <c r="AT15" s="526"/>
      <c r="AV15" s="526"/>
      <c r="AX15" s="526"/>
      <c r="AZ15" s="341"/>
      <c r="BB15" s="341"/>
      <c r="BD15" s="341"/>
      <c r="BF15" s="341"/>
      <c r="BH15" s="341"/>
      <c r="BJ15" s="341"/>
      <c r="BL15" s="341"/>
      <c r="BN15" s="341"/>
    </row>
    <row r="16" spans="1:67" ht="54">
      <c r="B16" s="536" t="s">
        <v>1125</v>
      </c>
      <c r="C16" s="448" t="s">
        <v>2251</v>
      </c>
      <c r="D16" s="841" t="s">
        <v>2404</v>
      </c>
      <c r="F16" s="559">
        <v>0</v>
      </c>
      <c r="G16" s="331">
        <f>IF(F16=0,1,0)</f>
        <v>1</v>
      </c>
    </row>
    <row r="17" spans="1:67" s="323" customFormat="1" ht="36">
      <c r="B17" s="536" t="s">
        <v>1125</v>
      </c>
      <c r="C17" s="448" t="s">
        <v>2252</v>
      </c>
      <c r="D17" s="537" t="s">
        <v>2625</v>
      </c>
      <c r="E17" s="449"/>
      <c r="F17" s="322">
        <v>0</v>
      </c>
      <c r="G17" s="341">
        <f>IF(F17=0,0.5,0)</f>
        <v>0.5</v>
      </c>
      <c r="N17" s="526"/>
      <c r="P17" s="526"/>
      <c r="R17" s="526"/>
      <c r="T17" s="526"/>
      <c r="V17" s="526"/>
      <c r="X17" s="526"/>
      <c r="Z17" s="526"/>
      <c r="AB17" s="526"/>
      <c r="AD17" s="526"/>
      <c r="AF17" s="526"/>
      <c r="AH17" s="526"/>
      <c r="AJ17" s="526"/>
      <c r="AL17" s="526"/>
      <c r="AN17" s="526"/>
      <c r="AP17" s="526"/>
      <c r="AR17" s="526"/>
      <c r="AT17" s="526"/>
      <c r="AV17" s="526"/>
      <c r="AX17" s="526"/>
      <c r="AZ17" s="341"/>
      <c r="BB17" s="341"/>
      <c r="BD17" s="341"/>
      <c r="BF17" s="341"/>
      <c r="BH17" s="341"/>
      <c r="BJ17" s="341"/>
      <c r="BL17" s="341"/>
      <c r="BN17" s="341"/>
    </row>
    <row r="18" spans="1:67" s="323" customFormat="1" ht="36">
      <c r="A18" s="535">
        <v>1</v>
      </c>
      <c r="B18" s="536" t="s">
        <v>1125</v>
      </c>
      <c r="C18" s="448"/>
      <c r="D18" s="704" t="s">
        <v>2405</v>
      </c>
      <c r="E18" s="593"/>
      <c r="F18" s="559">
        <v>1</v>
      </c>
      <c r="G18" s="331">
        <f t="shared" ref="G18:G19" si="4">F18</f>
        <v>1</v>
      </c>
      <c r="J18" s="896" t="s">
        <v>2737</v>
      </c>
      <c r="K18" s="897">
        <f>1-(G16+G18+F337+F338+F340)/5</f>
        <v>0</v>
      </c>
      <c r="N18" s="526"/>
      <c r="P18" s="526"/>
      <c r="R18" s="526"/>
      <c r="T18" s="526"/>
      <c r="V18" s="526"/>
      <c r="X18" s="526"/>
      <c r="Z18" s="526"/>
      <c r="AB18" s="526"/>
      <c r="AD18" s="526"/>
      <c r="AF18" s="526"/>
      <c r="AH18" s="526"/>
      <c r="AJ18" s="526"/>
      <c r="AL18" s="526"/>
      <c r="AN18" s="526"/>
      <c r="AP18" s="526"/>
      <c r="AR18" s="526"/>
      <c r="AT18" s="526"/>
      <c r="AV18" s="526"/>
      <c r="AX18" s="526"/>
      <c r="AZ18" s="341"/>
      <c r="BB18" s="341"/>
      <c r="BD18" s="341"/>
      <c r="BF18" s="341"/>
      <c r="BH18" s="341"/>
      <c r="BJ18" s="341"/>
      <c r="BL18" s="341"/>
      <c r="BN18" s="341"/>
    </row>
    <row r="19" spans="1:67" s="327" customFormat="1" ht="36">
      <c r="B19" s="536" t="s">
        <v>1125</v>
      </c>
      <c r="C19" s="448"/>
      <c r="D19" s="858" t="s">
        <v>2406</v>
      </c>
      <c r="E19" s="449"/>
      <c r="F19" s="559">
        <v>1</v>
      </c>
      <c r="G19" s="331">
        <f t="shared" si="4"/>
        <v>1</v>
      </c>
      <c r="H19" s="323"/>
      <c r="I19" s="323"/>
      <c r="J19" s="341" t="s">
        <v>1162</v>
      </c>
      <c r="K19" s="369">
        <f>1-((G8+G9+G10+G11+G13+G13+G14+G15+G17+G19))/8.5</f>
        <v>0</v>
      </c>
      <c r="N19" s="526"/>
      <c r="O19" s="323"/>
      <c r="P19" s="526"/>
      <c r="Q19" s="323"/>
      <c r="R19" s="526"/>
      <c r="S19" s="323"/>
      <c r="T19" s="526"/>
      <c r="U19" s="323"/>
      <c r="V19" s="526"/>
      <c r="W19" s="323"/>
      <c r="X19" s="526"/>
      <c r="Y19" s="323"/>
      <c r="Z19" s="526"/>
      <c r="AA19" s="323"/>
      <c r="AB19" s="526"/>
      <c r="AC19" s="323"/>
      <c r="AD19" s="526"/>
      <c r="AE19" s="323"/>
      <c r="AF19" s="526"/>
      <c r="AG19" s="323"/>
      <c r="AH19" s="526"/>
      <c r="AI19" s="323"/>
      <c r="AJ19" s="526"/>
      <c r="AK19" s="323"/>
      <c r="AL19" s="526"/>
      <c r="AM19" s="323"/>
      <c r="AN19" s="526"/>
      <c r="AO19" s="323"/>
      <c r="AP19" s="526"/>
      <c r="AQ19" s="323"/>
      <c r="AR19" s="526"/>
      <c r="AS19" s="323"/>
      <c r="AT19" s="526"/>
      <c r="AU19" s="323"/>
      <c r="AV19" s="526"/>
      <c r="AW19" s="323"/>
      <c r="AX19" s="526"/>
      <c r="AY19" s="323"/>
      <c r="AZ19" s="341"/>
      <c r="BA19" s="323"/>
      <c r="BB19" s="341"/>
      <c r="BC19" s="323"/>
      <c r="BD19" s="341"/>
      <c r="BE19" s="323"/>
      <c r="BF19" s="341"/>
      <c r="BG19" s="323"/>
      <c r="BH19" s="341"/>
      <c r="BI19" s="323"/>
      <c r="BJ19" s="341"/>
      <c r="BK19" s="323"/>
      <c r="BL19" s="341"/>
      <c r="BM19" s="323"/>
      <c r="BN19" s="341"/>
      <c r="BO19" s="323"/>
    </row>
    <row r="20" spans="1:67" s="560" customFormat="1">
      <c r="C20" s="561"/>
      <c r="D20" s="867"/>
      <c r="E20" s="449"/>
      <c r="M20" s="561" t="s">
        <v>1194</v>
      </c>
      <c r="N20" s="526"/>
      <c r="P20" s="526"/>
      <c r="R20" s="526"/>
      <c r="T20" s="526"/>
      <c r="V20" s="526"/>
      <c r="X20" s="526"/>
      <c r="Z20" s="526"/>
      <c r="AB20" s="526"/>
      <c r="AD20" s="526"/>
      <c r="AF20" s="526"/>
      <c r="AH20" s="526"/>
      <c r="AJ20" s="526"/>
      <c r="AL20" s="526"/>
      <c r="AN20" s="526"/>
      <c r="AP20" s="526"/>
      <c r="AR20" s="526"/>
      <c r="AT20" s="526"/>
      <c r="AV20" s="526"/>
      <c r="AX20" s="526"/>
      <c r="AZ20" s="341"/>
      <c r="BB20" s="341"/>
      <c r="BD20" s="341"/>
      <c r="BF20" s="341"/>
      <c r="BH20" s="341"/>
      <c r="BJ20" s="341"/>
      <c r="BL20" s="341"/>
      <c r="BM20" s="323"/>
      <c r="BN20" s="341"/>
      <c r="BO20" s="323"/>
    </row>
    <row r="21" spans="1:67" s="323" customFormat="1">
      <c r="A21" s="535">
        <v>1</v>
      </c>
      <c r="B21" s="538" t="s">
        <v>1042</v>
      </c>
      <c r="C21" s="448" t="s">
        <v>2283</v>
      </c>
      <c r="D21" s="539" t="s">
        <v>2407</v>
      </c>
      <c r="E21" s="593"/>
      <c r="F21" s="559">
        <v>0</v>
      </c>
      <c r="G21" s="331">
        <f t="shared" ref="G21:G50" si="5">F21</f>
        <v>0</v>
      </c>
      <c r="H21" s="329">
        <f>IF(F21=1,1.2,0.9)</f>
        <v>0.9</v>
      </c>
      <c r="N21" s="526"/>
      <c r="P21" s="526"/>
      <c r="R21" s="526"/>
      <c r="T21" s="526"/>
      <c r="V21" s="526"/>
      <c r="X21" s="526"/>
      <c r="Z21" s="526"/>
      <c r="AB21" s="526"/>
      <c r="AD21" s="526"/>
      <c r="AF21" s="526"/>
      <c r="AH21" s="526"/>
      <c r="AJ21" s="526"/>
      <c r="AL21" s="526"/>
      <c r="AN21" s="526"/>
      <c r="AP21" s="526"/>
      <c r="AR21" s="526"/>
      <c r="AT21" s="526"/>
      <c r="AV21" s="526"/>
      <c r="AX21" s="526"/>
      <c r="AZ21" s="341"/>
      <c r="BB21" s="341"/>
      <c r="BD21" s="341"/>
      <c r="BF21" s="341"/>
      <c r="BH21" s="341"/>
      <c r="BJ21" s="341"/>
      <c r="BL21" s="341"/>
      <c r="BN21" s="341"/>
    </row>
    <row r="22" spans="1:67">
      <c r="A22" s="535">
        <v>1</v>
      </c>
      <c r="B22" s="538" t="s">
        <v>1042</v>
      </c>
      <c r="D22" s="539" t="s">
        <v>2408</v>
      </c>
      <c r="E22" s="449" t="s">
        <v>1501</v>
      </c>
      <c r="F22" s="559">
        <v>1</v>
      </c>
      <c r="G22" s="331">
        <f t="shared" si="5"/>
        <v>1</v>
      </c>
      <c r="H22" s="329">
        <f>IF(F22=1,1.2,0.9)</f>
        <v>1.2</v>
      </c>
      <c r="I22" s="329">
        <f>F22</f>
        <v>1</v>
      </c>
      <c r="K22" s="338"/>
      <c r="L22" s="323"/>
      <c r="M22" s="323"/>
      <c r="N22" s="526"/>
      <c r="O22" s="323"/>
      <c r="P22" s="526"/>
      <c r="Q22" s="323"/>
      <c r="R22" s="526"/>
      <c r="S22" s="323"/>
      <c r="T22" s="526"/>
      <c r="U22" s="323"/>
      <c r="V22" s="526"/>
      <c r="W22" s="323"/>
      <c r="X22" s="526"/>
      <c r="Y22" s="323"/>
      <c r="Z22" s="526"/>
      <c r="AA22" s="323"/>
      <c r="AB22" s="526"/>
      <c r="AC22" s="323"/>
      <c r="AD22" s="526"/>
      <c r="AE22" s="323"/>
      <c r="AF22" s="526"/>
      <c r="AZ22" s="331">
        <f>$H22</f>
        <v>1.2</v>
      </c>
      <c r="BA22" s="329">
        <f>$H22</f>
        <v>1.2</v>
      </c>
      <c r="BB22" s="331">
        <f t="shared" ref="BB22:BL22" si="6">$H22</f>
        <v>1.2</v>
      </c>
      <c r="BC22" s="329">
        <f t="shared" si="6"/>
        <v>1.2</v>
      </c>
      <c r="BD22" s="331">
        <f t="shared" si="6"/>
        <v>1.2</v>
      </c>
      <c r="BE22" s="329">
        <f t="shared" si="6"/>
        <v>1.2</v>
      </c>
      <c r="BF22" s="331">
        <f t="shared" si="6"/>
        <v>1.2</v>
      </c>
      <c r="BG22" s="329">
        <f t="shared" si="6"/>
        <v>1.2</v>
      </c>
      <c r="BH22" s="331">
        <f t="shared" si="6"/>
        <v>1.2</v>
      </c>
      <c r="BI22" s="329">
        <f t="shared" si="6"/>
        <v>1.2</v>
      </c>
      <c r="BJ22" s="331">
        <f t="shared" si="6"/>
        <v>1.2</v>
      </c>
      <c r="BK22" s="329">
        <f t="shared" si="6"/>
        <v>1.2</v>
      </c>
      <c r="BL22" s="331">
        <f t="shared" si="6"/>
        <v>1.2</v>
      </c>
    </row>
    <row r="23" spans="1:67" s="333" customFormat="1">
      <c r="A23" s="535">
        <v>1</v>
      </c>
      <c r="B23" s="538" t="s">
        <v>1042</v>
      </c>
      <c r="C23" s="448" t="s">
        <v>2255</v>
      </c>
      <c r="D23" s="544" t="s">
        <v>2409</v>
      </c>
      <c r="E23" s="449" t="s">
        <v>1502</v>
      </c>
      <c r="F23" s="559">
        <v>0</v>
      </c>
      <c r="G23" s="331">
        <f t="shared" si="5"/>
        <v>0</v>
      </c>
      <c r="H23" s="329">
        <f t="shared" ref="H23:H51" si="7">IF(F23=1,1.2,0.9)</f>
        <v>0.9</v>
      </c>
      <c r="I23" s="329">
        <f t="shared" ref="I23:I51" si="8">F23</f>
        <v>0</v>
      </c>
      <c r="N23" s="368"/>
      <c r="O23" s="338"/>
      <c r="P23" s="368"/>
      <c r="Q23" s="338"/>
      <c r="R23" s="368"/>
      <c r="S23" s="338"/>
      <c r="T23" s="525"/>
      <c r="U23" s="329"/>
      <c r="V23" s="525"/>
      <c r="W23" s="329"/>
      <c r="X23" s="525"/>
      <c r="Y23" s="329"/>
      <c r="Z23" s="368"/>
      <c r="AA23" s="329"/>
      <c r="AB23" s="525"/>
      <c r="AC23" s="329"/>
      <c r="AD23" s="525"/>
      <c r="AE23" s="338"/>
      <c r="AF23" s="368"/>
      <c r="AG23" s="329"/>
      <c r="AH23" s="368"/>
      <c r="AI23" s="329"/>
      <c r="AJ23" s="525"/>
      <c r="AK23" s="338"/>
      <c r="AL23" s="525"/>
      <c r="AM23" s="329"/>
      <c r="AN23" s="525"/>
      <c r="AO23" s="329"/>
      <c r="AP23" s="368"/>
      <c r="AQ23" s="329"/>
      <c r="AR23" s="525"/>
      <c r="AS23" s="338"/>
      <c r="AT23" s="368"/>
      <c r="AU23" s="329"/>
      <c r="AV23" s="525"/>
      <c r="AW23" s="338"/>
      <c r="AX23" s="525"/>
      <c r="AY23" s="329"/>
      <c r="AZ23" s="331"/>
      <c r="BA23" s="329"/>
      <c r="BB23" s="331"/>
      <c r="BC23" s="329"/>
      <c r="BD23" s="331"/>
      <c r="BE23" s="329"/>
      <c r="BF23" s="331"/>
      <c r="BG23" s="329"/>
      <c r="BH23" s="331"/>
      <c r="BI23" s="329"/>
      <c r="BJ23" s="331"/>
      <c r="BK23" s="338"/>
      <c r="BL23" s="331"/>
      <c r="BM23" s="329"/>
      <c r="BN23" s="331"/>
      <c r="BO23" s="329"/>
    </row>
    <row r="24" spans="1:67">
      <c r="A24" s="535">
        <v>1</v>
      </c>
      <c r="B24" s="538" t="s">
        <v>1042</v>
      </c>
      <c r="C24" s="448" t="s">
        <v>2257</v>
      </c>
      <c r="D24" s="544" t="s">
        <v>2410</v>
      </c>
      <c r="E24" s="449" t="s">
        <v>1503</v>
      </c>
      <c r="F24" s="559">
        <v>0</v>
      </c>
      <c r="G24" s="331">
        <f t="shared" si="5"/>
        <v>0</v>
      </c>
      <c r="H24" s="329">
        <f t="shared" si="7"/>
        <v>0.9</v>
      </c>
      <c r="I24" s="329">
        <f t="shared" si="8"/>
        <v>0</v>
      </c>
      <c r="K24" s="149"/>
      <c r="AD24" s="542"/>
      <c r="AG24" s="149"/>
      <c r="BA24" s="525"/>
      <c r="BB24" s="583"/>
    </row>
    <row r="25" spans="1:67">
      <c r="A25" s="535">
        <v>1</v>
      </c>
      <c r="B25" s="538" t="s">
        <v>1042</v>
      </c>
      <c r="C25" s="448" t="s">
        <v>2257</v>
      </c>
      <c r="D25" s="544" t="s">
        <v>2411</v>
      </c>
      <c r="E25" s="449" t="s">
        <v>1504</v>
      </c>
      <c r="F25" s="559">
        <v>0</v>
      </c>
      <c r="G25" s="331">
        <f t="shared" si="5"/>
        <v>0</v>
      </c>
      <c r="H25" s="329">
        <f t="shared" si="7"/>
        <v>0.9</v>
      </c>
      <c r="I25" s="329">
        <f t="shared" si="8"/>
        <v>0</v>
      </c>
      <c r="K25" s="149"/>
      <c r="AD25" s="542"/>
      <c r="AG25" s="149"/>
      <c r="BA25" s="543"/>
      <c r="BB25" s="583"/>
    </row>
    <row r="26" spans="1:67">
      <c r="A26" s="535">
        <v>1</v>
      </c>
      <c r="B26" s="538" t="s">
        <v>1042</v>
      </c>
      <c r="C26" s="448" t="s">
        <v>2257</v>
      </c>
      <c r="D26" s="544" t="s">
        <v>2412</v>
      </c>
      <c r="E26" s="449" t="s">
        <v>1505</v>
      </c>
      <c r="F26" s="559">
        <v>0</v>
      </c>
      <c r="G26" s="331">
        <f t="shared" si="5"/>
        <v>0</v>
      </c>
      <c r="H26" s="329">
        <f t="shared" si="7"/>
        <v>0.9</v>
      </c>
      <c r="I26" s="329">
        <f t="shared" si="8"/>
        <v>0</v>
      </c>
      <c r="K26" s="149"/>
      <c r="AD26" s="542"/>
      <c r="AG26" s="149"/>
      <c r="BA26" s="543"/>
      <c r="BB26" s="583"/>
      <c r="BI26" s="329">
        <f>$H26</f>
        <v>0.9</v>
      </c>
      <c r="BL26" s="329">
        <f>$H26</f>
        <v>0.9</v>
      </c>
    </row>
    <row r="27" spans="1:67">
      <c r="A27" s="535">
        <v>1</v>
      </c>
      <c r="B27" s="538" t="s">
        <v>1042</v>
      </c>
      <c r="C27" s="448" t="s">
        <v>2257</v>
      </c>
      <c r="D27" s="544" t="s">
        <v>2413</v>
      </c>
      <c r="E27" s="449" t="s">
        <v>1507</v>
      </c>
      <c r="F27" s="559">
        <v>0</v>
      </c>
      <c r="G27" s="331">
        <f t="shared" si="5"/>
        <v>0</v>
      </c>
      <c r="H27" s="329">
        <f t="shared" si="7"/>
        <v>0.9</v>
      </c>
      <c r="I27" s="329">
        <f t="shared" si="8"/>
        <v>0</v>
      </c>
      <c r="K27" s="149"/>
      <c r="AD27" s="542"/>
      <c r="AG27" s="149"/>
      <c r="AZ27" s="331">
        <f>$H27</f>
        <v>0.9</v>
      </c>
      <c r="BA27" s="543"/>
      <c r="BB27" s="583"/>
    </row>
    <row r="28" spans="1:67">
      <c r="A28" s="535">
        <v>1</v>
      </c>
      <c r="B28" s="538" t="s">
        <v>1042</v>
      </c>
      <c r="C28" s="448" t="s">
        <v>2256</v>
      </c>
      <c r="D28" s="544" t="s">
        <v>2414</v>
      </c>
      <c r="F28" s="559">
        <v>0</v>
      </c>
      <c r="G28" s="331">
        <f t="shared" si="5"/>
        <v>0</v>
      </c>
      <c r="H28" s="329">
        <f t="shared" si="7"/>
        <v>0.9</v>
      </c>
      <c r="I28" s="329">
        <f t="shared" si="8"/>
        <v>0</v>
      </c>
      <c r="K28" s="149"/>
      <c r="AD28" s="542"/>
      <c r="AG28" s="149"/>
      <c r="AZ28" s="331">
        <f>$H28</f>
        <v>0.9</v>
      </c>
      <c r="BA28" s="543"/>
    </row>
    <row r="29" spans="1:67">
      <c r="A29" s="535">
        <v>1</v>
      </c>
      <c r="B29" s="538" t="s">
        <v>1042</v>
      </c>
      <c r="C29" s="448" t="s">
        <v>2257</v>
      </c>
      <c r="D29" s="544" t="s">
        <v>2415</v>
      </c>
      <c r="F29" s="559">
        <v>0</v>
      </c>
      <c r="G29" s="331">
        <f t="shared" si="5"/>
        <v>0</v>
      </c>
      <c r="H29" s="329">
        <f t="shared" si="7"/>
        <v>0.9</v>
      </c>
      <c r="I29" s="329">
        <f t="shared" si="8"/>
        <v>0</v>
      </c>
      <c r="K29" s="149"/>
      <c r="AD29" s="542"/>
      <c r="AG29" s="149"/>
      <c r="BA29" s="329">
        <f>$H29</f>
        <v>0.9</v>
      </c>
      <c r="BB29" s="583"/>
      <c r="BK29" s="525"/>
    </row>
    <row r="30" spans="1:67">
      <c r="A30" s="535">
        <v>1</v>
      </c>
      <c r="B30" s="538" t="s">
        <v>1042</v>
      </c>
      <c r="C30" s="448" t="s">
        <v>2257</v>
      </c>
      <c r="D30" s="544" t="s">
        <v>2416</v>
      </c>
      <c r="F30" s="559">
        <v>0</v>
      </c>
      <c r="G30" s="331">
        <f t="shared" si="5"/>
        <v>0</v>
      </c>
      <c r="H30" s="329">
        <f t="shared" si="7"/>
        <v>0.9</v>
      </c>
      <c r="I30" s="329">
        <f t="shared" si="8"/>
        <v>0</v>
      </c>
      <c r="K30" s="149"/>
      <c r="AB30" s="545"/>
      <c r="AD30" s="542"/>
      <c r="AG30" s="149"/>
      <c r="BA30" s="543"/>
    </row>
    <row r="31" spans="1:67">
      <c r="A31" s="535">
        <v>1</v>
      </c>
      <c r="B31" s="538" t="s">
        <v>1042</v>
      </c>
      <c r="C31" s="448" t="s">
        <v>2257</v>
      </c>
      <c r="D31" s="544" t="s">
        <v>2417</v>
      </c>
      <c r="E31" s="449" t="s">
        <v>1506</v>
      </c>
      <c r="F31" s="559">
        <v>0</v>
      </c>
      <c r="G31" s="331">
        <f t="shared" si="5"/>
        <v>0</v>
      </c>
      <c r="H31" s="329">
        <f t="shared" si="7"/>
        <v>0.9</v>
      </c>
      <c r="I31" s="329">
        <f t="shared" si="8"/>
        <v>0</v>
      </c>
      <c r="BI31" s="525"/>
    </row>
    <row r="32" spans="1:67">
      <c r="A32" s="535">
        <v>1</v>
      </c>
      <c r="B32" s="538" t="s">
        <v>1042</v>
      </c>
      <c r="C32" s="448" t="s">
        <v>2257</v>
      </c>
      <c r="D32" s="544" t="s">
        <v>2418</v>
      </c>
      <c r="E32" s="449" t="s">
        <v>1508</v>
      </c>
      <c r="F32" s="559">
        <v>0</v>
      </c>
      <c r="G32" s="331">
        <f t="shared" si="5"/>
        <v>0</v>
      </c>
      <c r="H32" s="329">
        <f t="shared" si="7"/>
        <v>0.9</v>
      </c>
      <c r="I32" s="329">
        <f t="shared" si="8"/>
        <v>0</v>
      </c>
    </row>
    <row r="33" spans="1:54">
      <c r="A33" s="535">
        <v>1</v>
      </c>
      <c r="B33" s="538" t="s">
        <v>1042</v>
      </c>
      <c r="D33" s="539" t="s">
        <v>2419</v>
      </c>
      <c r="E33" s="449" t="s">
        <v>1509</v>
      </c>
      <c r="F33" s="559">
        <v>0</v>
      </c>
      <c r="G33" s="331">
        <f t="shared" si="5"/>
        <v>0</v>
      </c>
      <c r="H33" s="329">
        <f t="shared" si="7"/>
        <v>0.9</v>
      </c>
      <c r="I33" s="329">
        <f t="shared" si="8"/>
        <v>0</v>
      </c>
      <c r="AE33" s="525"/>
      <c r="AF33" s="525">
        <f>$H33</f>
        <v>0.9</v>
      </c>
      <c r="AK33" s="329">
        <f>$H33</f>
        <v>0.9</v>
      </c>
    </row>
    <row r="34" spans="1:54">
      <c r="A34" s="535">
        <v>1</v>
      </c>
      <c r="B34" s="538" t="s">
        <v>1042</v>
      </c>
      <c r="D34" s="539" t="s">
        <v>2420</v>
      </c>
      <c r="E34" s="449" t="s">
        <v>1510</v>
      </c>
      <c r="F34" s="559">
        <v>0</v>
      </c>
      <c r="G34" s="331">
        <f t="shared" si="5"/>
        <v>0</v>
      </c>
      <c r="H34" s="329">
        <f t="shared" si="7"/>
        <v>0.9</v>
      </c>
      <c r="I34" s="329">
        <f t="shared" si="8"/>
        <v>0</v>
      </c>
    </row>
    <row r="35" spans="1:54">
      <c r="A35" s="535">
        <v>1</v>
      </c>
      <c r="B35" s="538" t="s">
        <v>1042</v>
      </c>
      <c r="D35" s="539" t="s">
        <v>2421</v>
      </c>
      <c r="F35" s="559">
        <v>0</v>
      </c>
      <c r="G35" s="331">
        <f t="shared" si="5"/>
        <v>0</v>
      </c>
      <c r="H35" s="329">
        <f t="shared" si="7"/>
        <v>0.9</v>
      </c>
      <c r="I35" s="329">
        <f t="shared" si="8"/>
        <v>0</v>
      </c>
      <c r="BB35" s="331">
        <f>$H35</f>
        <v>0.9</v>
      </c>
    </row>
    <row r="36" spans="1:54">
      <c r="A36" s="535">
        <v>1</v>
      </c>
      <c r="B36" s="538" t="s">
        <v>1042</v>
      </c>
      <c r="D36" s="663" t="s">
        <v>2422</v>
      </c>
      <c r="E36" s="449" t="s">
        <v>1511</v>
      </c>
      <c r="F36" s="559">
        <v>0</v>
      </c>
      <c r="G36" s="331">
        <f t="shared" si="5"/>
        <v>0</v>
      </c>
      <c r="H36" s="329">
        <f t="shared" si="7"/>
        <v>0.9</v>
      </c>
      <c r="I36" s="329">
        <f t="shared" si="8"/>
        <v>0</v>
      </c>
      <c r="AK36" s="525"/>
    </row>
    <row r="37" spans="1:54">
      <c r="A37" s="535">
        <v>1</v>
      </c>
      <c r="B37" s="538" t="s">
        <v>1042</v>
      </c>
      <c r="D37" s="539" t="s">
        <v>2423</v>
      </c>
      <c r="F37" s="559">
        <v>0</v>
      </c>
      <c r="G37" s="331">
        <f t="shared" si="5"/>
        <v>0</v>
      </c>
      <c r="H37" s="329">
        <f t="shared" si="7"/>
        <v>0.9</v>
      </c>
      <c r="I37" s="329">
        <f t="shared" si="8"/>
        <v>0</v>
      </c>
    </row>
    <row r="38" spans="1:54">
      <c r="A38" s="535">
        <v>1</v>
      </c>
      <c r="B38" s="538" t="s">
        <v>1042</v>
      </c>
      <c r="D38" s="539" t="s">
        <v>2424</v>
      </c>
      <c r="E38" s="449" t="s">
        <v>1512</v>
      </c>
      <c r="F38" s="559">
        <v>0</v>
      </c>
      <c r="G38" s="331">
        <f t="shared" si="5"/>
        <v>0</v>
      </c>
      <c r="H38" s="329">
        <f t="shared" si="7"/>
        <v>0.9</v>
      </c>
      <c r="I38" s="329">
        <f t="shared" si="8"/>
        <v>0</v>
      </c>
      <c r="S38" s="525">
        <f>IF($G38=1,1.5,0.8)</f>
        <v>0.8</v>
      </c>
    </row>
    <row r="39" spans="1:54" ht="36">
      <c r="A39" s="535">
        <v>1</v>
      </c>
      <c r="B39" s="538" t="s">
        <v>1042</v>
      </c>
      <c r="D39" s="539" t="s">
        <v>2425</v>
      </c>
      <c r="E39" s="449" t="s">
        <v>1513</v>
      </c>
      <c r="F39" s="559">
        <v>0</v>
      </c>
      <c r="G39" s="331">
        <f t="shared" si="5"/>
        <v>0</v>
      </c>
      <c r="H39" s="329">
        <f t="shared" si="7"/>
        <v>0.9</v>
      </c>
      <c r="I39" s="329">
        <f t="shared" si="8"/>
        <v>0</v>
      </c>
      <c r="AH39" s="525">
        <f>IF($G39=1,1.5,0.8)</f>
        <v>0.8</v>
      </c>
    </row>
    <row r="40" spans="1:54" ht="36">
      <c r="A40" s="535">
        <v>1</v>
      </c>
      <c r="B40" s="538" t="s">
        <v>1042</v>
      </c>
      <c r="D40" s="539" t="s">
        <v>2426</v>
      </c>
      <c r="F40" s="559">
        <v>0</v>
      </c>
      <c r="G40" s="331">
        <f t="shared" si="5"/>
        <v>0</v>
      </c>
      <c r="H40" s="329">
        <f t="shared" si="7"/>
        <v>0.9</v>
      </c>
      <c r="I40" s="329">
        <f t="shared" si="8"/>
        <v>0</v>
      </c>
      <c r="S40" s="525">
        <f>$H40</f>
        <v>0.9</v>
      </c>
      <c r="BA40" s="329">
        <f>$H40</f>
        <v>0.9</v>
      </c>
    </row>
    <row r="41" spans="1:54">
      <c r="A41" s="535">
        <v>1</v>
      </c>
      <c r="B41" s="538" t="s">
        <v>1042</v>
      </c>
      <c r="D41" s="539" t="s">
        <v>2427</v>
      </c>
      <c r="F41" s="559">
        <v>0</v>
      </c>
      <c r="G41" s="331">
        <f t="shared" si="5"/>
        <v>0</v>
      </c>
      <c r="H41" s="329">
        <f t="shared" si="7"/>
        <v>0.9</v>
      </c>
      <c r="I41" s="329">
        <f t="shared" si="8"/>
        <v>0</v>
      </c>
    </row>
    <row r="42" spans="1:54">
      <c r="A42" s="535">
        <v>1</v>
      </c>
      <c r="B42" s="538" t="s">
        <v>1042</v>
      </c>
      <c r="D42" s="539" t="s">
        <v>2395</v>
      </c>
      <c r="F42" s="559">
        <v>0</v>
      </c>
      <c r="G42" s="331">
        <f t="shared" si="5"/>
        <v>0</v>
      </c>
      <c r="H42" s="329">
        <f t="shared" si="7"/>
        <v>0.9</v>
      </c>
      <c r="I42" s="329">
        <f t="shared" si="8"/>
        <v>0</v>
      </c>
      <c r="AS42" s="525"/>
      <c r="AT42" s="525">
        <f>$H42</f>
        <v>0.9</v>
      </c>
    </row>
    <row r="43" spans="1:54" ht="36">
      <c r="A43" s="535">
        <v>1</v>
      </c>
      <c r="B43" s="538" t="s">
        <v>1042</v>
      </c>
      <c r="D43" s="539" t="s">
        <v>2428</v>
      </c>
      <c r="E43" s="449" t="s">
        <v>1514</v>
      </c>
      <c r="F43" s="559">
        <v>1</v>
      </c>
      <c r="G43" s="331">
        <f t="shared" si="5"/>
        <v>1</v>
      </c>
      <c r="H43" s="329">
        <f t="shared" si="7"/>
        <v>1.2</v>
      </c>
      <c r="I43" s="329">
        <f t="shared" si="8"/>
        <v>1</v>
      </c>
      <c r="AW43" s="525"/>
      <c r="AY43" s="525"/>
    </row>
    <row r="44" spans="1:54">
      <c r="A44" s="535">
        <v>1</v>
      </c>
      <c r="B44" s="538" t="s">
        <v>1042</v>
      </c>
      <c r="C44" s="448" t="s">
        <v>2281</v>
      </c>
      <c r="D44" s="539" t="s">
        <v>2429</v>
      </c>
      <c r="F44" s="559">
        <v>0</v>
      </c>
      <c r="G44" s="331">
        <f t="shared" si="5"/>
        <v>0</v>
      </c>
      <c r="H44" s="329">
        <f t="shared" si="7"/>
        <v>0.9</v>
      </c>
      <c r="I44" s="329">
        <f t="shared" si="8"/>
        <v>0</v>
      </c>
    </row>
    <row r="45" spans="1:54">
      <c r="A45" s="535">
        <v>1</v>
      </c>
      <c r="B45" s="538" t="s">
        <v>1042</v>
      </c>
      <c r="C45" s="448" t="s">
        <v>2281</v>
      </c>
      <c r="D45" s="539" t="s">
        <v>2430</v>
      </c>
      <c r="F45" s="559">
        <v>0</v>
      </c>
      <c r="G45" s="331">
        <f t="shared" si="5"/>
        <v>0</v>
      </c>
      <c r="H45" s="329">
        <f t="shared" si="7"/>
        <v>0.9</v>
      </c>
      <c r="I45" s="329">
        <f t="shared" si="8"/>
        <v>0</v>
      </c>
    </row>
    <row r="46" spans="1:54">
      <c r="A46" s="535">
        <v>1</v>
      </c>
      <c r="B46" s="538" t="s">
        <v>1042</v>
      </c>
      <c r="C46" s="448" t="s">
        <v>2281</v>
      </c>
      <c r="D46" s="539" t="s">
        <v>2432</v>
      </c>
      <c r="F46" s="559">
        <v>0</v>
      </c>
      <c r="G46" s="331">
        <f t="shared" si="5"/>
        <v>0</v>
      </c>
      <c r="H46" s="329">
        <f t="shared" si="7"/>
        <v>0.9</v>
      </c>
      <c r="I46" s="329">
        <f t="shared" si="8"/>
        <v>0</v>
      </c>
      <c r="AC46" s="525">
        <f>I46</f>
        <v>0</v>
      </c>
    </row>
    <row r="47" spans="1:54">
      <c r="A47" s="535">
        <v>1</v>
      </c>
      <c r="B47" s="538" t="s">
        <v>1042</v>
      </c>
      <c r="D47" s="539" t="s">
        <v>2431</v>
      </c>
      <c r="E47" s="449" t="s">
        <v>1515</v>
      </c>
      <c r="F47" s="559">
        <v>0</v>
      </c>
      <c r="G47" s="331">
        <f t="shared" si="5"/>
        <v>0</v>
      </c>
      <c r="H47" s="329">
        <f t="shared" si="7"/>
        <v>0.9</v>
      </c>
      <c r="I47" s="329">
        <f t="shared" si="8"/>
        <v>0</v>
      </c>
      <c r="AH47" s="525">
        <f>$H47</f>
        <v>0.9</v>
      </c>
    </row>
    <row r="48" spans="1:54">
      <c r="A48" s="535">
        <v>1</v>
      </c>
      <c r="B48" s="538" t="s">
        <v>1042</v>
      </c>
      <c r="D48" s="539" t="s">
        <v>2433</v>
      </c>
      <c r="F48" s="559">
        <v>0</v>
      </c>
      <c r="G48" s="331">
        <f t="shared" si="5"/>
        <v>0</v>
      </c>
      <c r="H48" s="329">
        <f t="shared" si="7"/>
        <v>0.9</v>
      </c>
      <c r="I48" s="329">
        <f t="shared" si="8"/>
        <v>0</v>
      </c>
      <c r="N48" s="525">
        <f>IF($G48=1,1.5,0.8)</f>
        <v>0.8</v>
      </c>
    </row>
    <row r="49" spans="1:67">
      <c r="A49" s="535">
        <v>1</v>
      </c>
      <c r="B49" s="538" t="s">
        <v>1042</v>
      </c>
      <c r="D49" s="539" t="s">
        <v>2434</v>
      </c>
      <c r="F49" s="559">
        <v>0</v>
      </c>
      <c r="G49" s="331">
        <f t="shared" si="5"/>
        <v>0</v>
      </c>
      <c r="H49" s="329">
        <f t="shared" si="7"/>
        <v>0.9</v>
      </c>
      <c r="I49" s="329">
        <f t="shared" si="8"/>
        <v>0</v>
      </c>
    </row>
    <row r="50" spans="1:67" s="330" customFormat="1">
      <c r="A50" s="535">
        <v>1</v>
      </c>
      <c r="B50" s="538" t="s">
        <v>1042</v>
      </c>
      <c r="C50" s="448"/>
      <c r="D50" s="539" t="s">
        <v>2435</v>
      </c>
      <c r="E50" s="449"/>
      <c r="F50" s="559">
        <v>0</v>
      </c>
      <c r="G50" s="331">
        <f t="shared" si="5"/>
        <v>0</v>
      </c>
      <c r="H50" s="329">
        <f t="shared" si="7"/>
        <v>0.9</v>
      </c>
      <c r="I50" s="329">
        <f t="shared" si="8"/>
        <v>0</v>
      </c>
      <c r="J50" s="329"/>
      <c r="K50" s="329"/>
      <c r="N50" s="525"/>
      <c r="O50" s="329"/>
      <c r="P50" s="525"/>
      <c r="Q50" s="329"/>
      <c r="R50" s="525"/>
      <c r="S50" s="329"/>
      <c r="T50" s="525"/>
      <c r="U50" s="329"/>
      <c r="V50" s="525"/>
      <c r="W50" s="329"/>
      <c r="X50" s="525"/>
      <c r="Y50" s="329"/>
      <c r="Z50" s="525"/>
      <c r="AA50" s="329"/>
      <c r="AB50" s="525"/>
      <c r="AC50" s="329"/>
      <c r="AD50" s="525"/>
      <c r="AE50" s="329"/>
      <c r="AF50" s="525"/>
      <c r="AG50" s="329"/>
      <c r="AH50" s="525"/>
      <c r="AI50" s="329"/>
      <c r="AJ50" s="525"/>
      <c r="AK50" s="329"/>
      <c r="AL50" s="525"/>
      <c r="AM50" s="329"/>
      <c r="AN50" s="525"/>
      <c r="AO50" s="329"/>
      <c r="AP50" s="525"/>
      <c r="AQ50" s="329"/>
      <c r="AR50" s="525"/>
      <c r="AS50" s="329"/>
      <c r="AT50" s="525"/>
      <c r="AU50" s="329"/>
      <c r="AV50" s="525"/>
      <c r="AW50" s="329"/>
      <c r="AX50" s="525"/>
      <c r="AY50" s="329"/>
      <c r="AZ50" s="331"/>
      <c r="BA50" s="329"/>
      <c r="BB50" s="331"/>
      <c r="BC50" s="329"/>
      <c r="BD50" s="331"/>
      <c r="BE50" s="329"/>
      <c r="BF50" s="331"/>
      <c r="BG50" s="329"/>
      <c r="BH50" s="331"/>
      <c r="BI50" s="329"/>
      <c r="BJ50" s="331"/>
      <c r="BK50" s="329"/>
      <c r="BL50" s="331"/>
      <c r="BM50" s="329"/>
      <c r="BN50" s="331"/>
      <c r="BO50" s="329"/>
    </row>
    <row r="51" spans="1:67" s="346" customFormat="1">
      <c r="A51" s="535">
        <v>1</v>
      </c>
      <c r="B51" s="538" t="s">
        <v>1042</v>
      </c>
      <c r="C51" s="448"/>
      <c r="D51" s="539" t="s">
        <v>2436</v>
      </c>
      <c r="E51" s="449"/>
      <c r="F51" s="559">
        <v>1</v>
      </c>
      <c r="G51" s="331">
        <f>F51</f>
        <v>1</v>
      </c>
      <c r="H51" s="329">
        <f t="shared" si="7"/>
        <v>1.2</v>
      </c>
      <c r="I51" s="329">
        <f t="shared" si="8"/>
        <v>1</v>
      </c>
      <c r="M51" s="346" t="s">
        <v>1641</v>
      </c>
      <c r="N51" s="525"/>
      <c r="P51" s="525"/>
      <c r="R51" s="525"/>
      <c r="T51" s="525"/>
      <c r="V51" s="525"/>
      <c r="X51" s="525"/>
      <c r="Z51" s="525"/>
      <c r="AB51" s="525"/>
      <c r="AD51" s="525"/>
      <c r="AF51" s="525"/>
      <c r="AH51" s="525"/>
      <c r="AJ51" s="525"/>
      <c r="AL51" s="525"/>
      <c r="AN51" s="525"/>
      <c r="AP51" s="525"/>
      <c r="AR51" s="525"/>
      <c r="AT51" s="525"/>
      <c r="AV51" s="525"/>
      <c r="AX51" s="525"/>
      <c r="AZ51" s="331"/>
      <c r="BB51" s="331"/>
      <c r="BD51" s="331"/>
      <c r="BF51" s="331"/>
      <c r="BH51" s="331"/>
      <c r="BJ51" s="331"/>
      <c r="BL51" s="331"/>
      <c r="BM51" s="329"/>
      <c r="BN51" s="331"/>
      <c r="BO51" s="329"/>
    </row>
    <row r="52" spans="1:67" ht="36">
      <c r="A52" s="535">
        <v>1</v>
      </c>
      <c r="B52" s="346" t="s">
        <v>1156</v>
      </c>
      <c r="D52" s="534" t="s">
        <v>2437</v>
      </c>
      <c r="E52" s="449" t="s">
        <v>1516</v>
      </c>
      <c r="F52" s="559">
        <v>1</v>
      </c>
      <c r="G52" s="331">
        <f>IF(F52=1,0,1)</f>
        <v>0</v>
      </c>
      <c r="H52" s="339">
        <f t="shared" ref="H52:H61" si="9">F52</f>
        <v>1</v>
      </c>
      <c r="I52" s="339"/>
      <c r="J52" s="342"/>
      <c r="K52" s="343"/>
      <c r="N52" s="599"/>
      <c r="O52" s="599"/>
      <c r="P52" s="599"/>
      <c r="Q52" s="599"/>
      <c r="R52" s="599"/>
      <c r="S52" s="599"/>
      <c r="T52" s="599"/>
      <c r="U52" s="599"/>
      <c r="V52" s="599"/>
      <c r="W52" s="599"/>
      <c r="X52" s="599"/>
      <c r="Y52" s="599"/>
      <c r="Z52" s="599"/>
      <c r="AA52" s="599"/>
      <c r="AB52" s="599"/>
      <c r="AC52" s="599"/>
      <c r="AD52" s="599"/>
      <c r="AE52" s="599"/>
      <c r="AF52" s="599"/>
      <c r="AG52" s="599"/>
      <c r="AH52" s="599"/>
      <c r="AI52" s="599"/>
      <c r="AJ52" s="599"/>
      <c r="AK52" s="599"/>
      <c r="AL52" s="599"/>
      <c r="AM52" s="599"/>
      <c r="AN52" s="599"/>
      <c r="AO52" s="599"/>
      <c r="AP52" s="599"/>
      <c r="AQ52" s="599"/>
      <c r="AR52" s="599"/>
      <c r="AS52" s="599"/>
      <c r="AT52" s="599"/>
      <c r="AU52" s="599"/>
      <c r="AV52" s="599"/>
      <c r="AW52" s="599"/>
      <c r="AX52" s="599"/>
      <c r="AY52" s="599"/>
      <c r="AZ52" s="599"/>
      <c r="BA52" s="599"/>
      <c r="BB52" s="599"/>
      <c r="BC52" s="599"/>
      <c r="BD52" s="599"/>
      <c r="BE52" s="599"/>
      <c r="BF52" s="599"/>
      <c r="BG52" s="599"/>
      <c r="BH52" s="599"/>
      <c r="BI52" s="599"/>
      <c r="BJ52" s="599"/>
      <c r="BK52" s="599"/>
      <c r="BL52" s="599"/>
      <c r="BM52" s="599"/>
      <c r="BN52" s="599"/>
      <c r="BO52" s="599"/>
    </row>
    <row r="53" spans="1:67">
      <c r="A53" s="535"/>
      <c r="B53" s="346" t="s">
        <v>1156</v>
      </c>
      <c r="C53" s="448" t="s">
        <v>2258</v>
      </c>
      <c r="D53" s="534" t="s">
        <v>2438</v>
      </c>
      <c r="E53" s="449" t="s">
        <v>1518</v>
      </c>
      <c r="F53" s="559">
        <v>1</v>
      </c>
      <c r="G53" s="331">
        <f>IF(F53=1,0,1)</f>
        <v>0</v>
      </c>
      <c r="H53" s="339">
        <f t="shared" si="9"/>
        <v>1</v>
      </c>
      <c r="I53" s="339"/>
      <c r="N53" s="599"/>
      <c r="O53" s="599"/>
      <c r="P53" s="599"/>
      <c r="Q53" s="599"/>
      <c r="R53" s="599"/>
      <c r="S53" s="599"/>
      <c r="T53" s="599"/>
      <c r="U53" s="599"/>
      <c r="V53" s="599"/>
      <c r="W53" s="599"/>
      <c r="X53" s="599"/>
      <c r="Y53" s="599"/>
      <c r="Z53" s="599"/>
      <c r="AA53" s="599"/>
      <c r="AB53" s="599"/>
      <c r="AC53" s="599"/>
      <c r="AD53" s="599"/>
      <c r="AE53" s="599"/>
      <c r="AF53" s="599"/>
      <c r="AG53" s="599"/>
      <c r="AH53" s="599"/>
      <c r="AI53" s="599"/>
      <c r="AJ53" s="599"/>
      <c r="AK53" s="599"/>
      <c r="AL53" s="599"/>
      <c r="AM53" s="599"/>
      <c r="AN53" s="599"/>
      <c r="AO53" s="599"/>
      <c r="AP53" s="599"/>
      <c r="AQ53" s="599"/>
      <c r="AR53" s="599"/>
      <c r="AS53" s="599"/>
      <c r="AT53" s="599"/>
      <c r="AU53" s="599"/>
      <c r="AV53" s="599"/>
      <c r="AW53" s="599"/>
      <c r="AX53" s="599"/>
      <c r="AY53" s="599"/>
      <c r="AZ53" s="599"/>
      <c r="BA53" s="599"/>
      <c r="BB53" s="599"/>
      <c r="BC53" s="599"/>
      <c r="BD53" s="599"/>
      <c r="BE53" s="599"/>
      <c r="BF53" s="599"/>
      <c r="BG53" s="599"/>
      <c r="BH53" s="599"/>
      <c r="BI53" s="599"/>
      <c r="BJ53" s="599"/>
      <c r="BK53" s="599"/>
      <c r="BL53" s="599"/>
      <c r="BM53" s="599"/>
      <c r="BN53" s="599"/>
      <c r="BO53" s="599"/>
    </row>
    <row r="54" spans="1:67" ht="36">
      <c r="A54" s="535"/>
      <c r="B54" s="346" t="s">
        <v>1156</v>
      </c>
      <c r="C54" s="448" t="s">
        <v>2259</v>
      </c>
      <c r="D54" s="534" t="s">
        <v>2439</v>
      </c>
      <c r="E54" s="449" t="s">
        <v>1519</v>
      </c>
      <c r="F54" s="559">
        <v>1</v>
      </c>
      <c r="G54" s="331">
        <f t="shared" ref="G54:G67" si="10">IF(F54=1,0,1)</f>
        <v>0</v>
      </c>
      <c r="H54" s="339">
        <f t="shared" si="9"/>
        <v>1</v>
      </c>
      <c r="I54" s="856">
        <f>K60*K62*G54</f>
        <v>0</v>
      </c>
      <c r="N54" s="599"/>
      <c r="O54" s="599"/>
      <c r="P54" s="599"/>
      <c r="Q54" s="599"/>
      <c r="R54" s="599"/>
      <c r="S54" s="599"/>
      <c r="T54" s="599"/>
      <c r="U54" s="599"/>
      <c r="V54" s="599"/>
      <c r="W54" s="599"/>
      <c r="X54" s="599"/>
      <c r="Y54" s="599"/>
      <c r="Z54" s="599"/>
      <c r="AA54" s="599"/>
      <c r="AB54" s="599"/>
      <c r="AC54" s="599"/>
      <c r="AD54" s="599"/>
      <c r="AE54" s="599"/>
      <c r="AF54" s="599"/>
      <c r="AG54" s="599"/>
      <c r="AH54" s="599"/>
      <c r="AI54" s="599"/>
      <c r="AJ54" s="599"/>
      <c r="AK54" s="599"/>
      <c r="AL54" s="599"/>
      <c r="AM54" s="599"/>
      <c r="AN54" s="599"/>
      <c r="AO54" s="599"/>
      <c r="AP54" s="599"/>
      <c r="AQ54" s="599"/>
      <c r="AR54" s="599"/>
      <c r="AS54" s="599"/>
      <c r="AT54" s="599"/>
      <c r="AU54" s="599"/>
      <c r="AV54" s="599"/>
      <c r="AW54" s="599"/>
      <c r="AX54" s="599"/>
      <c r="AY54" s="599"/>
      <c r="AZ54" s="599"/>
      <c r="BA54" s="599"/>
      <c r="BB54" s="599"/>
      <c r="BC54" s="599"/>
      <c r="BD54" s="599"/>
      <c r="BE54" s="599"/>
      <c r="BF54" s="599"/>
      <c r="BG54" s="599"/>
      <c r="BH54" s="599"/>
      <c r="BI54" s="599"/>
      <c r="BJ54" s="599"/>
      <c r="BK54" s="599"/>
      <c r="BL54" s="599"/>
      <c r="BM54" s="599"/>
      <c r="BN54" s="599"/>
      <c r="BO54" s="599"/>
    </row>
    <row r="55" spans="1:67" ht="36">
      <c r="A55" s="535"/>
      <c r="B55" s="346" t="s">
        <v>1156</v>
      </c>
      <c r="C55" s="448" t="s">
        <v>2259</v>
      </c>
      <c r="D55" s="534" t="s">
        <v>2440</v>
      </c>
      <c r="E55" s="449" t="s">
        <v>1520</v>
      </c>
      <c r="F55" s="559">
        <v>1</v>
      </c>
      <c r="G55" s="331">
        <f t="shared" si="10"/>
        <v>0</v>
      </c>
      <c r="H55" s="339">
        <f t="shared" si="9"/>
        <v>1</v>
      </c>
      <c r="I55" s="857">
        <f>K60*K63*G55</f>
        <v>0</v>
      </c>
      <c r="N55" s="599"/>
      <c r="O55" s="599"/>
      <c r="P55" s="599"/>
      <c r="Q55" s="599"/>
      <c r="R55" s="599"/>
      <c r="S55" s="599"/>
      <c r="T55" s="599"/>
      <c r="U55" s="599"/>
      <c r="V55" s="599"/>
      <c r="W55" s="599"/>
      <c r="X55" s="599"/>
      <c r="Y55" s="599"/>
      <c r="Z55" s="599"/>
      <c r="AA55" s="599"/>
      <c r="AB55" s="599"/>
      <c r="AC55" s="599"/>
      <c r="AD55" s="599"/>
      <c r="AE55" s="599"/>
      <c r="AF55" s="599"/>
      <c r="AG55" s="599"/>
      <c r="AH55" s="599"/>
      <c r="AI55" s="599"/>
      <c r="AJ55" s="599"/>
      <c r="AK55" s="599"/>
      <c r="AL55" s="599"/>
      <c r="AM55" s="599"/>
      <c r="AN55" s="599"/>
      <c r="AO55" s="599"/>
      <c r="AP55" s="599"/>
      <c r="AQ55" s="599"/>
      <c r="AR55" s="599"/>
      <c r="AS55" s="599"/>
      <c r="AT55" s="599"/>
      <c r="AU55" s="599"/>
      <c r="AV55" s="599"/>
      <c r="AW55" s="599"/>
      <c r="AX55" s="599"/>
      <c r="AY55" s="599"/>
      <c r="AZ55" s="599"/>
      <c r="BA55" s="599"/>
      <c r="BB55" s="599"/>
      <c r="BC55" s="599"/>
      <c r="BD55" s="599"/>
      <c r="BE55" s="599"/>
      <c r="BF55" s="599"/>
      <c r="BG55" s="599"/>
      <c r="BH55" s="599"/>
      <c r="BI55" s="599"/>
      <c r="BJ55" s="599"/>
      <c r="BK55" s="599"/>
      <c r="BL55" s="599"/>
      <c r="BM55" s="599"/>
      <c r="BN55" s="599"/>
      <c r="BO55" s="599"/>
    </row>
    <row r="56" spans="1:67" ht="36">
      <c r="A56" s="535">
        <v>1</v>
      </c>
      <c r="B56" s="346" t="s">
        <v>1156</v>
      </c>
      <c r="D56" s="534" t="s">
        <v>2441</v>
      </c>
      <c r="E56" s="449" t="s">
        <v>1521</v>
      </c>
      <c r="F56" s="559">
        <v>0</v>
      </c>
      <c r="G56" s="331">
        <f t="shared" si="10"/>
        <v>1</v>
      </c>
      <c r="H56" s="339">
        <f t="shared" si="9"/>
        <v>0</v>
      </c>
      <c r="I56" s="340"/>
      <c r="N56" s="599"/>
      <c r="O56" s="599"/>
      <c r="P56" s="599"/>
      <c r="Q56" s="599"/>
      <c r="R56" s="599"/>
      <c r="S56" s="599"/>
      <c r="T56" s="599"/>
      <c r="U56" s="599"/>
      <c r="V56" s="599"/>
      <c r="W56" s="599"/>
      <c r="X56" s="599"/>
      <c r="Y56" s="599"/>
      <c r="Z56" s="599"/>
      <c r="AA56" s="599"/>
      <c r="AB56" s="599"/>
      <c r="AC56" s="599"/>
      <c r="AD56" s="599"/>
      <c r="AE56" s="599"/>
      <c r="AF56" s="599"/>
      <c r="AG56" s="599"/>
      <c r="AH56" s="599"/>
      <c r="AI56" s="599"/>
      <c r="AJ56" s="599"/>
      <c r="AK56" s="599"/>
      <c r="AL56" s="599"/>
      <c r="AM56" s="599"/>
      <c r="AN56" s="599"/>
      <c r="AO56" s="599"/>
      <c r="AP56" s="599"/>
      <c r="AQ56" s="599"/>
      <c r="AR56" s="599"/>
      <c r="AS56" s="599"/>
      <c r="AT56" s="599"/>
      <c r="AU56" s="599"/>
      <c r="AV56" s="599"/>
      <c r="AW56" s="599"/>
      <c r="AX56" s="599"/>
      <c r="AY56" s="599"/>
      <c r="AZ56" s="599"/>
      <c r="BA56" s="599"/>
      <c r="BB56" s="599"/>
      <c r="BC56" s="599"/>
      <c r="BD56" s="599"/>
      <c r="BE56" s="599"/>
      <c r="BF56" s="599"/>
      <c r="BG56" s="599"/>
      <c r="BH56" s="599"/>
      <c r="BI56" s="599"/>
      <c r="BJ56" s="599"/>
      <c r="BK56" s="599"/>
      <c r="BL56" s="599"/>
      <c r="BM56" s="599"/>
      <c r="BN56" s="599"/>
      <c r="BO56" s="599"/>
    </row>
    <row r="57" spans="1:67" ht="36">
      <c r="A57" s="535"/>
      <c r="B57" s="346" t="s">
        <v>1156</v>
      </c>
      <c r="D57" s="534" t="s">
        <v>2442</v>
      </c>
      <c r="F57" s="559">
        <v>0</v>
      </c>
      <c r="G57" s="331">
        <f t="shared" si="10"/>
        <v>1</v>
      </c>
      <c r="H57" s="339">
        <f t="shared" si="9"/>
        <v>0</v>
      </c>
      <c r="I57" s="339"/>
      <c r="J57" s="342" t="s">
        <v>2385</v>
      </c>
      <c r="K57" s="343">
        <f>1-((G62+G63+G64+G66+G67+G179+G189+G191+G192)/9)</f>
        <v>0.77777777777777779</v>
      </c>
      <c r="N57" s="599"/>
      <c r="O57" s="599"/>
      <c r="P57" s="599"/>
      <c r="Q57" s="599"/>
      <c r="R57" s="599"/>
      <c r="S57" s="599"/>
      <c r="T57" s="599"/>
      <c r="U57" s="599"/>
      <c r="V57" s="599"/>
      <c r="W57" s="599"/>
      <c r="X57" s="599"/>
      <c r="Y57" s="599"/>
      <c r="Z57" s="599"/>
      <c r="AA57" s="599"/>
      <c r="AB57" s="599"/>
      <c r="AC57" s="599"/>
      <c r="AD57" s="599"/>
      <c r="AE57" s="599"/>
      <c r="AF57" s="599"/>
      <c r="AG57" s="599"/>
      <c r="AH57" s="599"/>
      <c r="AI57" s="599"/>
      <c r="AJ57" s="599"/>
      <c r="AK57" s="599"/>
      <c r="AL57" s="599"/>
      <c r="AM57" s="599"/>
      <c r="AN57" s="599"/>
      <c r="AO57" s="599"/>
      <c r="AP57" s="599"/>
      <c r="AQ57" s="599"/>
      <c r="AR57" s="599"/>
      <c r="AS57" s="599"/>
      <c r="AT57" s="599"/>
      <c r="AU57" s="599"/>
      <c r="AV57" s="599"/>
      <c r="AW57" s="599"/>
      <c r="AX57" s="599"/>
      <c r="AY57" s="599"/>
      <c r="AZ57" s="599"/>
      <c r="BA57" s="599"/>
      <c r="BB57" s="599"/>
      <c r="BC57" s="599"/>
      <c r="BD57" s="599"/>
      <c r="BE57" s="599"/>
      <c r="BF57" s="599"/>
      <c r="BG57" s="599"/>
      <c r="BH57" s="599"/>
      <c r="BI57" s="599"/>
      <c r="BJ57" s="599"/>
      <c r="BK57" s="599"/>
      <c r="BL57" s="599"/>
      <c r="BM57" s="599"/>
      <c r="BN57" s="599"/>
      <c r="BO57" s="599"/>
    </row>
    <row r="58" spans="1:67" ht="36">
      <c r="A58" s="535"/>
      <c r="B58" s="346" t="s">
        <v>1156</v>
      </c>
      <c r="D58" s="534" t="s">
        <v>2443</v>
      </c>
      <c r="E58" s="449" t="s">
        <v>1522</v>
      </c>
      <c r="F58" s="559">
        <v>0</v>
      </c>
      <c r="G58" s="331">
        <f t="shared" si="10"/>
        <v>1</v>
      </c>
      <c r="H58" s="339">
        <f t="shared" si="9"/>
        <v>0</v>
      </c>
      <c r="I58" s="340"/>
      <c r="J58" s="346" t="s">
        <v>2386</v>
      </c>
      <c r="K58" s="348">
        <f>(H54+H55+H58+H59+H60)/5</f>
        <v>0.8</v>
      </c>
      <c r="N58" s="599"/>
      <c r="O58" s="599"/>
      <c r="P58" s="599"/>
      <c r="Q58" s="599"/>
      <c r="R58" s="599"/>
      <c r="S58" s="599"/>
      <c r="T58" s="599"/>
      <c r="U58" s="599"/>
      <c r="V58" s="599"/>
      <c r="W58" s="599"/>
      <c r="X58" s="599"/>
      <c r="Y58" s="599"/>
      <c r="Z58" s="599"/>
      <c r="AA58" s="599"/>
      <c r="AB58" s="599"/>
      <c r="AC58" s="599"/>
      <c r="AD58" s="599"/>
      <c r="AE58" s="599"/>
      <c r="AF58" s="599"/>
      <c r="AG58" s="599"/>
      <c r="AH58" s="599"/>
      <c r="AI58" s="599"/>
      <c r="AJ58" s="599"/>
      <c r="AK58" s="599"/>
      <c r="AL58" s="599"/>
      <c r="AM58" s="599"/>
      <c r="AN58" s="599"/>
      <c r="AO58" s="599"/>
      <c r="AP58" s="599"/>
      <c r="AQ58" s="599"/>
      <c r="AR58" s="599"/>
      <c r="AS58" s="599"/>
      <c r="AT58" s="599"/>
      <c r="AU58" s="599"/>
      <c r="AV58" s="599"/>
      <c r="AW58" s="599"/>
      <c r="AX58" s="599"/>
      <c r="AY58" s="599"/>
      <c r="AZ58" s="599"/>
      <c r="BA58" s="599"/>
      <c r="BB58" s="599"/>
      <c r="BC58" s="599"/>
      <c r="BD58" s="599"/>
      <c r="BE58" s="599"/>
      <c r="BF58" s="599"/>
      <c r="BG58" s="599"/>
      <c r="BH58" s="599"/>
      <c r="BI58" s="599"/>
      <c r="BJ58" s="599"/>
      <c r="BK58" s="599"/>
      <c r="BL58" s="599"/>
      <c r="BM58" s="599"/>
      <c r="BN58" s="599"/>
      <c r="BO58" s="599"/>
    </row>
    <row r="59" spans="1:67">
      <c r="B59" s="346" t="s">
        <v>1156</v>
      </c>
      <c r="D59" s="534" t="s">
        <v>2444</v>
      </c>
      <c r="F59" s="559">
        <v>1</v>
      </c>
      <c r="G59" s="331">
        <f t="shared" si="10"/>
        <v>0</v>
      </c>
      <c r="H59" s="339">
        <f t="shared" si="9"/>
        <v>1</v>
      </c>
      <c r="I59" s="340"/>
      <c r="N59" s="599"/>
      <c r="O59" s="599"/>
      <c r="P59" s="599"/>
      <c r="Q59" s="599"/>
      <c r="R59" s="599"/>
      <c r="S59" s="599"/>
      <c r="T59" s="599"/>
      <c r="U59" s="599"/>
      <c r="V59" s="599"/>
      <c r="W59" s="599"/>
      <c r="X59" s="599"/>
      <c r="Y59" s="599"/>
      <c r="Z59" s="599"/>
      <c r="AA59" s="599"/>
      <c r="AB59" s="599"/>
      <c r="AC59" s="599"/>
      <c r="AD59" s="599"/>
      <c r="AE59" s="599"/>
      <c r="AF59" s="599"/>
      <c r="AG59" s="599"/>
      <c r="AH59" s="599"/>
      <c r="AI59" s="599"/>
      <c r="AJ59" s="599"/>
      <c r="AK59" s="599"/>
      <c r="AL59" s="599"/>
      <c r="AM59" s="599"/>
      <c r="AN59" s="599"/>
      <c r="AO59" s="599"/>
      <c r="AP59" s="599"/>
      <c r="AQ59" s="599"/>
      <c r="AR59" s="599"/>
      <c r="AS59" s="599"/>
      <c r="AT59" s="599"/>
      <c r="AU59" s="599"/>
      <c r="AV59" s="599"/>
      <c r="AW59" s="599"/>
      <c r="AX59" s="599"/>
      <c r="AY59" s="599"/>
      <c r="AZ59" s="599"/>
      <c r="BA59" s="599"/>
      <c r="BB59" s="599"/>
      <c r="BC59" s="599"/>
      <c r="BD59" s="599"/>
      <c r="BE59" s="599"/>
      <c r="BF59" s="599"/>
      <c r="BG59" s="599"/>
      <c r="BH59" s="599"/>
      <c r="BI59" s="599"/>
      <c r="BJ59" s="599"/>
      <c r="BK59" s="599"/>
      <c r="BL59" s="599"/>
      <c r="BM59" s="599"/>
      <c r="BN59" s="599"/>
      <c r="BO59" s="599"/>
    </row>
    <row r="60" spans="1:67">
      <c r="B60" s="346" t="s">
        <v>1156</v>
      </c>
      <c r="D60" s="534" t="s">
        <v>2445</v>
      </c>
      <c r="F60" s="559">
        <v>1</v>
      </c>
      <c r="G60" s="331">
        <f t="shared" si="10"/>
        <v>0</v>
      </c>
      <c r="H60" s="339">
        <f t="shared" si="9"/>
        <v>1</v>
      </c>
      <c r="I60" s="340"/>
      <c r="J60" s="329" t="s">
        <v>2392</v>
      </c>
      <c r="K60" s="329">
        <f>IF(F4&gt;50,1,0)</f>
        <v>1</v>
      </c>
      <c r="N60" s="599"/>
      <c r="O60" s="599"/>
      <c r="P60" s="599"/>
      <c r="Q60" s="599"/>
      <c r="R60" s="599"/>
      <c r="S60" s="599"/>
      <c r="T60" s="599"/>
      <c r="U60" s="599"/>
      <c r="V60" s="599"/>
      <c r="W60" s="599"/>
      <c r="X60" s="599"/>
      <c r="Y60" s="599"/>
      <c r="Z60" s="599"/>
      <c r="AA60" s="599"/>
      <c r="AB60" s="599"/>
      <c r="AC60" s="599"/>
      <c r="AD60" s="599"/>
      <c r="AE60" s="599"/>
      <c r="AF60" s="599"/>
      <c r="AG60" s="599"/>
      <c r="AH60" s="599"/>
      <c r="AI60" s="599"/>
      <c r="AJ60" s="599"/>
      <c r="AK60" s="599"/>
      <c r="AL60" s="599"/>
      <c r="AM60" s="599"/>
      <c r="AN60" s="599"/>
      <c r="AO60" s="599"/>
      <c r="AP60" s="599"/>
      <c r="AQ60" s="599"/>
      <c r="AR60" s="599"/>
      <c r="AS60" s="599"/>
      <c r="AT60" s="599"/>
      <c r="AU60" s="599"/>
      <c r="AV60" s="599"/>
      <c r="AW60" s="599"/>
      <c r="AX60" s="599"/>
      <c r="AY60" s="599"/>
      <c r="AZ60" s="599"/>
      <c r="BA60" s="599"/>
      <c r="BB60" s="599"/>
      <c r="BC60" s="599"/>
      <c r="BD60" s="599"/>
      <c r="BE60" s="599"/>
      <c r="BF60" s="599"/>
      <c r="BG60" s="599"/>
      <c r="BH60" s="599"/>
      <c r="BI60" s="599"/>
      <c r="BJ60" s="599"/>
      <c r="BK60" s="599"/>
      <c r="BL60" s="599"/>
      <c r="BM60" s="599"/>
      <c r="BN60" s="599"/>
      <c r="BO60" s="599"/>
    </row>
    <row r="61" spans="1:67">
      <c r="B61" s="346" t="s">
        <v>1156</v>
      </c>
      <c r="D61" s="534" t="s">
        <v>2446</v>
      </c>
      <c r="F61" s="559">
        <v>0</v>
      </c>
      <c r="G61" s="331">
        <f t="shared" si="10"/>
        <v>1</v>
      </c>
      <c r="H61" s="339">
        <f t="shared" si="9"/>
        <v>0</v>
      </c>
      <c r="I61" s="340"/>
      <c r="N61" s="599"/>
      <c r="O61" s="599"/>
      <c r="P61" s="599"/>
      <c r="Q61" s="599"/>
      <c r="R61" s="599"/>
      <c r="S61" s="599"/>
      <c r="T61" s="599"/>
      <c r="U61" s="599"/>
      <c r="V61" s="599"/>
      <c r="W61" s="599"/>
      <c r="X61" s="599"/>
      <c r="Y61" s="599"/>
      <c r="Z61" s="599"/>
      <c r="AA61" s="599"/>
      <c r="AB61" s="599"/>
      <c r="AC61" s="599"/>
      <c r="AD61" s="599"/>
      <c r="AE61" s="599"/>
      <c r="AF61" s="599"/>
      <c r="AG61" s="599"/>
      <c r="AH61" s="599"/>
      <c r="AI61" s="599"/>
      <c r="AJ61" s="599"/>
      <c r="AK61" s="599"/>
      <c r="AL61" s="599"/>
      <c r="AM61" s="599"/>
      <c r="AN61" s="599"/>
      <c r="AO61" s="599"/>
      <c r="AP61" s="599"/>
      <c r="AQ61" s="599"/>
      <c r="AR61" s="599"/>
      <c r="AS61" s="599"/>
      <c r="AT61" s="599"/>
      <c r="AU61" s="599"/>
      <c r="AV61" s="599"/>
      <c r="AW61" s="599"/>
      <c r="AX61" s="599"/>
      <c r="AY61" s="599"/>
      <c r="AZ61" s="599"/>
      <c r="BA61" s="599"/>
      <c r="BB61" s="599"/>
      <c r="BC61" s="599"/>
      <c r="BD61" s="599"/>
      <c r="BE61" s="599"/>
      <c r="BF61" s="599"/>
      <c r="BG61" s="599"/>
      <c r="BH61" s="599"/>
      <c r="BI61" s="599"/>
      <c r="BJ61" s="599"/>
      <c r="BK61" s="599"/>
      <c r="BL61" s="599"/>
      <c r="BM61" s="599"/>
      <c r="BN61" s="599"/>
      <c r="BO61" s="599"/>
    </row>
    <row r="62" spans="1:67">
      <c r="B62" s="346" t="s">
        <v>1156</v>
      </c>
      <c r="C62" s="448" t="s">
        <v>2262</v>
      </c>
      <c r="D62" s="534" t="s">
        <v>2447</v>
      </c>
      <c r="F62" s="559">
        <v>0</v>
      </c>
      <c r="G62" s="331">
        <f t="shared" si="10"/>
        <v>1</v>
      </c>
      <c r="H62" s="339">
        <f>F62</f>
        <v>0</v>
      </c>
      <c r="I62" s="340"/>
      <c r="J62" s="329" t="s">
        <v>2390</v>
      </c>
      <c r="K62" s="329">
        <f>I3</f>
        <v>0</v>
      </c>
      <c r="N62" s="599"/>
      <c r="O62" s="599"/>
      <c r="P62" s="599"/>
      <c r="Q62" s="599"/>
      <c r="R62" s="599"/>
      <c r="S62" s="599"/>
      <c r="T62" s="599"/>
      <c r="U62" s="599"/>
      <c r="V62" s="599"/>
      <c r="W62" s="599"/>
      <c r="X62" s="599"/>
      <c r="Y62" s="599"/>
      <c r="Z62" s="599"/>
      <c r="AA62" s="599"/>
      <c r="AB62" s="599"/>
      <c r="AC62" s="599"/>
      <c r="AD62" s="599"/>
      <c r="AE62" s="599"/>
      <c r="AF62" s="599"/>
      <c r="AG62" s="599"/>
      <c r="AH62" s="599"/>
      <c r="AI62" s="599"/>
      <c r="AJ62" s="599"/>
      <c r="AK62" s="599"/>
      <c r="AL62" s="599"/>
      <c r="AM62" s="599"/>
      <c r="AN62" s="599"/>
      <c r="AO62" s="599"/>
      <c r="AP62" s="599"/>
      <c r="AQ62" s="599"/>
      <c r="AR62" s="599"/>
      <c r="AS62" s="599"/>
      <c r="AT62" s="599"/>
      <c r="AU62" s="599"/>
      <c r="AV62" s="599"/>
      <c r="AW62" s="599"/>
      <c r="AX62" s="599"/>
      <c r="AY62" s="599"/>
      <c r="AZ62" s="599"/>
      <c r="BA62" s="599"/>
      <c r="BB62" s="599"/>
      <c r="BC62" s="599"/>
      <c r="BD62" s="599"/>
      <c r="BE62" s="599"/>
      <c r="BF62" s="599"/>
      <c r="BG62" s="599"/>
      <c r="BH62" s="599"/>
      <c r="BI62" s="599"/>
      <c r="BJ62" s="599"/>
      <c r="BK62" s="599"/>
      <c r="BL62" s="599"/>
      <c r="BM62" s="599"/>
      <c r="BN62" s="599"/>
      <c r="BO62" s="599"/>
    </row>
    <row r="63" spans="1:67">
      <c r="B63" s="346" t="s">
        <v>1156</v>
      </c>
      <c r="C63" s="448" t="s">
        <v>2261</v>
      </c>
      <c r="D63" s="534" t="s">
        <v>2448</v>
      </c>
      <c r="F63" s="322">
        <v>0</v>
      </c>
      <c r="G63" s="331">
        <f t="shared" si="10"/>
        <v>1</v>
      </c>
      <c r="H63" s="339">
        <f>IF(F63=1,1,0)</f>
        <v>0</v>
      </c>
      <c r="I63" s="340"/>
      <c r="J63" s="329" t="s">
        <v>2391</v>
      </c>
      <c r="K63" s="329">
        <f>I3</f>
        <v>0</v>
      </c>
      <c r="N63" s="599"/>
      <c r="O63" s="599"/>
      <c r="P63" s="599"/>
      <c r="Q63" s="599"/>
      <c r="R63" s="599"/>
      <c r="S63" s="599"/>
      <c r="T63" s="599"/>
      <c r="U63" s="599"/>
      <c r="V63" s="599"/>
      <c r="W63" s="599"/>
      <c r="X63" s="599"/>
      <c r="Y63" s="599"/>
      <c r="Z63" s="599"/>
      <c r="AA63" s="599"/>
      <c r="AB63" s="599"/>
      <c r="AC63" s="599"/>
      <c r="AD63" s="599"/>
      <c r="AE63" s="599"/>
      <c r="AF63" s="599"/>
      <c r="AG63" s="599"/>
      <c r="AH63" s="599"/>
      <c r="AI63" s="599"/>
      <c r="AJ63" s="599"/>
      <c r="AK63" s="599"/>
      <c r="AL63" s="599"/>
      <c r="AM63" s="599"/>
      <c r="AN63" s="599"/>
      <c r="AO63" s="599"/>
      <c r="AP63" s="599"/>
      <c r="AQ63" s="599"/>
      <c r="AR63" s="599"/>
      <c r="AS63" s="599"/>
      <c r="AT63" s="599"/>
      <c r="AU63" s="599"/>
      <c r="AV63" s="599"/>
      <c r="AW63" s="599"/>
      <c r="AX63" s="599"/>
      <c r="AY63" s="599"/>
      <c r="AZ63" s="599"/>
      <c r="BA63" s="599"/>
      <c r="BB63" s="599"/>
      <c r="BC63" s="599"/>
      <c r="BD63" s="599"/>
      <c r="BE63" s="599"/>
      <c r="BF63" s="599"/>
      <c r="BG63" s="599"/>
      <c r="BH63" s="599"/>
      <c r="BI63" s="599"/>
      <c r="BJ63" s="599"/>
      <c r="BK63" s="599"/>
      <c r="BL63" s="599"/>
      <c r="BM63" s="599"/>
      <c r="BN63" s="599"/>
      <c r="BO63" s="599"/>
    </row>
    <row r="64" spans="1:67" ht="36">
      <c r="B64" s="346" t="s">
        <v>1156</v>
      </c>
      <c r="C64" s="448" t="s">
        <v>2260</v>
      </c>
      <c r="D64" s="534" t="s">
        <v>2449</v>
      </c>
      <c r="F64" s="322">
        <v>1</v>
      </c>
      <c r="G64" s="331">
        <f t="shared" si="10"/>
        <v>0</v>
      </c>
      <c r="H64" s="339">
        <f>IF(F64=1,1,0)</f>
        <v>1</v>
      </c>
      <c r="I64" s="340"/>
      <c r="N64" s="599"/>
      <c r="O64" s="599"/>
      <c r="P64" s="599"/>
      <c r="Q64" s="599"/>
      <c r="R64" s="599"/>
      <c r="S64" s="599"/>
      <c r="T64" s="599"/>
      <c r="U64" s="599"/>
      <c r="V64" s="599"/>
      <c r="W64" s="599"/>
      <c r="X64" s="599"/>
      <c r="Y64" s="599"/>
      <c r="Z64" s="599"/>
      <c r="AA64" s="599"/>
      <c r="AB64" s="599"/>
      <c r="AC64" s="599"/>
      <c r="AD64" s="599"/>
      <c r="AE64" s="599"/>
      <c r="AF64" s="599"/>
      <c r="AG64" s="599"/>
      <c r="AH64" s="599"/>
      <c r="AI64" s="599"/>
      <c r="AJ64" s="599"/>
      <c r="AK64" s="599"/>
      <c r="AL64" s="599"/>
      <c r="AM64" s="599"/>
      <c r="AN64" s="599"/>
      <c r="AO64" s="599"/>
      <c r="AP64" s="599"/>
      <c r="AQ64" s="599"/>
      <c r="AR64" s="599"/>
      <c r="AS64" s="599"/>
      <c r="AT64" s="599"/>
      <c r="AU64" s="599"/>
      <c r="AV64" s="599"/>
      <c r="AW64" s="599"/>
      <c r="AX64" s="599"/>
      <c r="AY64" s="599"/>
      <c r="AZ64" s="599"/>
      <c r="BA64" s="599"/>
      <c r="BB64" s="599"/>
      <c r="BC64" s="599"/>
      <c r="BD64" s="599"/>
      <c r="BE64" s="599"/>
      <c r="BF64" s="599"/>
      <c r="BG64" s="599"/>
      <c r="BH64" s="599"/>
      <c r="BI64" s="599"/>
      <c r="BJ64" s="599"/>
      <c r="BK64" s="599"/>
      <c r="BL64" s="599"/>
      <c r="BM64" s="599"/>
      <c r="BN64" s="599"/>
      <c r="BO64" s="599"/>
    </row>
    <row r="65" spans="1:67">
      <c r="B65" s="346" t="s">
        <v>1156</v>
      </c>
      <c r="D65" s="534" t="s">
        <v>2450</v>
      </c>
      <c r="F65" s="559">
        <v>1</v>
      </c>
      <c r="G65" s="331">
        <f t="shared" si="10"/>
        <v>0</v>
      </c>
      <c r="H65" s="339">
        <f>IF(F65=1,1,0)</f>
        <v>1</v>
      </c>
      <c r="K65" s="347"/>
      <c r="N65" s="599"/>
      <c r="O65" s="599"/>
      <c r="P65" s="599"/>
      <c r="Q65" s="599"/>
      <c r="R65" s="599"/>
      <c r="S65" s="599"/>
      <c r="T65" s="599"/>
      <c r="U65" s="599"/>
      <c r="V65" s="599"/>
      <c r="W65" s="599"/>
      <c r="X65" s="599"/>
      <c r="Y65" s="599"/>
      <c r="Z65" s="599"/>
      <c r="AA65" s="599"/>
      <c r="AB65" s="599"/>
      <c r="AC65" s="599"/>
      <c r="AD65" s="599"/>
      <c r="AE65" s="599"/>
      <c r="AF65" s="599"/>
      <c r="AG65" s="599"/>
      <c r="AH65" s="599"/>
      <c r="AI65" s="599"/>
      <c r="AJ65" s="599"/>
      <c r="AK65" s="599"/>
      <c r="AL65" s="599"/>
      <c r="AM65" s="599"/>
      <c r="AN65" s="599"/>
      <c r="AO65" s="599"/>
      <c r="AP65" s="599"/>
      <c r="AQ65" s="599"/>
      <c r="AR65" s="599"/>
      <c r="AS65" s="599"/>
      <c r="AT65" s="599"/>
      <c r="AU65" s="599"/>
      <c r="AV65" s="599"/>
      <c r="AW65" s="599"/>
      <c r="AX65" s="599"/>
      <c r="AY65" s="599"/>
      <c r="AZ65" s="599"/>
      <c r="BA65" s="599"/>
      <c r="BB65" s="599"/>
      <c r="BC65" s="599"/>
      <c r="BD65" s="599"/>
      <c r="BE65" s="599"/>
      <c r="BF65" s="599"/>
      <c r="BG65" s="599"/>
      <c r="BH65" s="599"/>
      <c r="BI65" s="599"/>
      <c r="BJ65" s="599"/>
      <c r="BK65" s="599"/>
      <c r="BL65" s="599"/>
      <c r="BM65" s="599"/>
      <c r="BN65" s="599"/>
      <c r="BO65" s="599"/>
    </row>
    <row r="66" spans="1:67" s="330" customFormat="1">
      <c r="B66" s="346" t="s">
        <v>1156</v>
      </c>
      <c r="C66" s="448" t="s">
        <v>2260</v>
      </c>
      <c r="D66" s="534" t="s">
        <v>2451</v>
      </c>
      <c r="E66" s="449"/>
      <c r="F66" s="322">
        <v>1</v>
      </c>
      <c r="G66" s="331">
        <f t="shared" si="10"/>
        <v>0</v>
      </c>
      <c r="H66" s="339">
        <f>IF(F66=1,1,0)</f>
        <v>1</v>
      </c>
      <c r="I66" s="329"/>
      <c r="J66" s="329"/>
      <c r="K66" s="347"/>
      <c r="N66" s="525"/>
      <c r="O66" s="329"/>
      <c r="P66" s="525"/>
      <c r="Q66" s="329"/>
      <c r="R66" s="525"/>
      <c r="S66" s="329"/>
      <c r="T66" s="525"/>
      <c r="U66" s="329"/>
      <c r="V66" s="525"/>
      <c r="W66" s="329"/>
      <c r="X66" s="525"/>
      <c r="Y66" s="329"/>
      <c r="Z66" s="525"/>
      <c r="AA66" s="329"/>
      <c r="AB66" s="525"/>
      <c r="AC66" s="329"/>
      <c r="AD66" s="525"/>
      <c r="AE66" s="329"/>
      <c r="AF66" s="525"/>
      <c r="AG66" s="329"/>
      <c r="AH66" s="525"/>
      <c r="AI66" s="329"/>
      <c r="AJ66" s="525"/>
      <c r="AK66" s="329"/>
      <c r="AL66" s="525"/>
      <c r="AM66" s="329"/>
      <c r="AN66" s="525"/>
      <c r="AO66" s="329"/>
      <c r="AP66" s="525"/>
      <c r="AQ66" s="329"/>
      <c r="AR66" s="525"/>
      <c r="AS66" s="329"/>
      <c r="AT66" s="525"/>
      <c r="AU66" s="329"/>
      <c r="AV66" s="525"/>
      <c r="AW66" s="329"/>
      <c r="AX66" s="525"/>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1156</v>
      </c>
      <c r="C67" s="448" t="s">
        <v>2261</v>
      </c>
      <c r="D67" s="534" t="s">
        <v>2452</v>
      </c>
      <c r="E67" s="449"/>
      <c r="F67" s="559">
        <v>1</v>
      </c>
      <c r="G67" s="331">
        <f t="shared" si="10"/>
        <v>0</v>
      </c>
      <c r="H67" s="339">
        <f>IF(F67=1,1,0)</f>
        <v>1</v>
      </c>
      <c r="I67" s="329"/>
      <c r="J67" s="329"/>
      <c r="K67" s="347"/>
      <c r="N67" s="525"/>
      <c r="O67" s="329"/>
      <c r="P67" s="525"/>
      <c r="Q67" s="329"/>
      <c r="R67" s="525"/>
      <c r="S67" s="329"/>
      <c r="T67" s="525"/>
      <c r="U67" s="329"/>
      <c r="V67" s="525"/>
      <c r="W67" s="329"/>
      <c r="X67" s="525"/>
      <c r="Y67" s="329"/>
      <c r="Z67" s="525"/>
      <c r="AA67" s="329"/>
      <c r="AB67" s="525"/>
      <c r="AC67" s="329"/>
      <c r="AD67" s="525"/>
      <c r="AE67" s="329"/>
      <c r="AF67" s="525"/>
      <c r="AG67" s="329"/>
      <c r="AH67" s="525"/>
      <c r="AI67" s="329"/>
      <c r="AJ67" s="525"/>
      <c r="AK67" s="329"/>
      <c r="AL67" s="525"/>
      <c r="AM67" s="329"/>
      <c r="AN67" s="525"/>
      <c r="AO67" s="329"/>
      <c r="AP67" s="525"/>
      <c r="AQ67" s="329"/>
      <c r="AR67" s="525"/>
      <c r="AS67" s="329"/>
      <c r="AT67" s="525"/>
      <c r="AU67" s="329"/>
      <c r="AV67" s="525"/>
      <c r="AW67" s="329"/>
      <c r="AX67" s="525"/>
      <c r="AY67" s="329"/>
      <c r="AZ67" s="331"/>
      <c r="BA67" s="329"/>
      <c r="BB67" s="331"/>
      <c r="BC67" s="329"/>
      <c r="BD67" s="331"/>
      <c r="BE67" s="329"/>
      <c r="BF67" s="331"/>
      <c r="BG67" s="329"/>
      <c r="BH67" s="331"/>
      <c r="BI67" s="329"/>
      <c r="BJ67" s="331"/>
      <c r="BK67" s="329"/>
      <c r="BL67" s="331"/>
      <c r="BM67" s="329"/>
      <c r="BN67" s="331"/>
      <c r="BO67" s="329"/>
    </row>
    <row r="68" spans="1:67" s="345" customFormat="1" ht="54">
      <c r="A68" s="535">
        <v>1</v>
      </c>
      <c r="B68" s="345" t="s">
        <v>1047</v>
      </c>
      <c r="C68" s="448"/>
      <c r="D68" s="546" t="s">
        <v>2453</v>
      </c>
      <c r="E68" s="449" t="s">
        <v>1523</v>
      </c>
      <c r="F68" s="559">
        <v>0</v>
      </c>
      <c r="G68" s="345">
        <f>IF(F68=1,1.2,0.9)</f>
        <v>0.9</v>
      </c>
      <c r="H68" s="329">
        <f t="shared" ref="H68:H71" si="11">F68</f>
        <v>0</v>
      </c>
      <c r="J68" s="345" t="s">
        <v>1166</v>
      </c>
      <c r="K68" s="562">
        <f>1-(((H68+H69+H70+H74)/4)+0.1)</f>
        <v>0.9</v>
      </c>
      <c r="L68" s="345" t="s">
        <v>1206</v>
      </c>
      <c r="M68" s="558" t="s">
        <v>1642</v>
      </c>
      <c r="N68" s="410"/>
      <c r="O68" s="563"/>
      <c r="P68" s="410"/>
      <c r="R68" s="525"/>
      <c r="T68" s="525"/>
      <c r="V68" s="410"/>
      <c r="X68" s="525"/>
      <c r="Y68" s="563"/>
      <c r="Z68" s="525"/>
      <c r="AB68" s="525"/>
      <c r="AD68" s="410"/>
      <c r="AE68" s="563">
        <f>$G$68</f>
        <v>0.9</v>
      </c>
      <c r="AF68" s="563">
        <f>$G$68</f>
        <v>0.9</v>
      </c>
      <c r="AH68" s="525"/>
      <c r="AJ68" s="525"/>
      <c r="AK68" s="563"/>
      <c r="AL68" s="525"/>
      <c r="AN68" s="525"/>
      <c r="AP68" s="525"/>
      <c r="AQ68" s="563"/>
      <c r="AR68" s="525"/>
      <c r="AS68" s="563"/>
      <c r="AT68" s="410"/>
      <c r="AV68" s="525"/>
      <c r="AW68" s="563"/>
      <c r="AX68" s="410"/>
      <c r="AY68" s="563"/>
      <c r="AZ68" s="331"/>
      <c r="BA68" s="563"/>
      <c r="BB68" s="331"/>
      <c r="BD68" s="331"/>
      <c r="BE68" s="563"/>
      <c r="BF68" s="331"/>
      <c r="BG68" s="563"/>
      <c r="BH68" s="563">
        <f>$G$68</f>
        <v>0.9</v>
      </c>
      <c r="BI68" s="563">
        <f>($G$68+$G$71)/2</f>
        <v>0.9</v>
      </c>
      <c r="BJ68" s="584"/>
      <c r="BL68" s="563">
        <f>$G$68</f>
        <v>0.9</v>
      </c>
      <c r="BM68" s="524"/>
      <c r="BN68" s="331"/>
      <c r="BO68" s="329"/>
    </row>
    <row r="69" spans="1:67" ht="90">
      <c r="B69" s="345" t="s">
        <v>1047</v>
      </c>
      <c r="D69" s="546" t="s">
        <v>2454</v>
      </c>
      <c r="F69" s="559">
        <v>0</v>
      </c>
      <c r="G69" s="345">
        <f t="shared" ref="G69:G71" si="12">IF(F69=1,1.2,0.9)</f>
        <v>0.9</v>
      </c>
      <c r="H69" s="329">
        <f t="shared" si="11"/>
        <v>0</v>
      </c>
      <c r="K69" s="347"/>
      <c r="M69" s="365"/>
      <c r="N69" s="527"/>
      <c r="O69" s="347"/>
      <c r="P69" s="527"/>
      <c r="V69" s="527"/>
      <c r="Y69" s="527"/>
      <c r="AD69" s="527"/>
      <c r="AE69" s="527"/>
      <c r="AF69" s="527"/>
      <c r="AK69" s="527"/>
      <c r="AQ69" s="347"/>
      <c r="AS69" s="527"/>
      <c r="AT69" s="527"/>
      <c r="AW69" s="527"/>
      <c r="AX69" s="527"/>
      <c r="AY69" s="527"/>
      <c r="BA69" s="347"/>
      <c r="BE69" s="527"/>
      <c r="BG69" s="347"/>
      <c r="BH69" s="373"/>
      <c r="BI69" s="347"/>
      <c r="BJ69" s="373"/>
      <c r="BL69" s="373">
        <f>$G69</f>
        <v>0.9</v>
      </c>
      <c r="BM69" s="347"/>
    </row>
    <row r="70" spans="1:67">
      <c r="B70" s="345" t="s">
        <v>1047</v>
      </c>
      <c r="D70" s="546" t="s">
        <v>2455</v>
      </c>
      <c r="F70" s="559">
        <v>0</v>
      </c>
      <c r="G70" s="345">
        <f t="shared" si="12"/>
        <v>0.9</v>
      </c>
      <c r="H70" s="329">
        <f t="shared" si="11"/>
        <v>0</v>
      </c>
      <c r="J70" s="344" t="s">
        <v>1167</v>
      </c>
      <c r="K70" s="349">
        <f>1-((H68+H74+H75+I87)/4)</f>
        <v>1</v>
      </c>
      <c r="M70" s="365"/>
      <c r="N70" s="527"/>
      <c r="O70" s="347"/>
      <c r="P70" s="527"/>
      <c r="V70" s="527"/>
      <c r="Y70" s="527"/>
      <c r="AD70" s="527"/>
      <c r="AE70" s="527"/>
      <c r="AF70" s="527"/>
      <c r="AK70" s="527"/>
      <c r="AQ70" s="347"/>
      <c r="AS70" s="527"/>
      <c r="AT70" s="527"/>
      <c r="AW70" s="347">
        <f t="shared" ref="AW70:AX70" si="13">$G70</f>
        <v>0.9</v>
      </c>
      <c r="AX70" s="527">
        <f t="shared" si="13"/>
        <v>0.9</v>
      </c>
      <c r="AY70" s="527"/>
      <c r="BA70" s="347"/>
      <c r="BE70" s="527"/>
      <c r="BG70" s="347"/>
      <c r="BH70" s="373"/>
      <c r="BI70" s="347"/>
      <c r="BJ70" s="373"/>
      <c r="BL70" s="373"/>
      <c r="BM70" s="347"/>
    </row>
    <row r="71" spans="1:67">
      <c r="A71" s="535">
        <v>1</v>
      </c>
      <c r="B71" s="345" t="s">
        <v>1047</v>
      </c>
      <c r="D71" s="546" t="s">
        <v>2469</v>
      </c>
      <c r="E71" s="449" t="s">
        <v>1524</v>
      </c>
      <c r="F71" s="559">
        <v>0</v>
      </c>
      <c r="G71" s="345">
        <f t="shared" si="12"/>
        <v>0.9</v>
      </c>
      <c r="H71" s="329">
        <f t="shared" si="11"/>
        <v>0</v>
      </c>
      <c r="J71" s="329" t="s">
        <v>2708</v>
      </c>
      <c r="K71" s="347">
        <f>IF(F4&gt;50,2,1)</f>
        <v>2</v>
      </c>
      <c r="M71" s="365"/>
      <c r="N71" s="527"/>
      <c r="O71" s="347"/>
      <c r="P71" s="527"/>
      <c r="V71" s="527">
        <f t="shared" ref="V71:W71" si="14">$G71</f>
        <v>0.9</v>
      </c>
      <c r="W71" s="347">
        <f t="shared" si="14"/>
        <v>0.9</v>
      </c>
      <c r="Y71" s="347">
        <f>$G71</f>
        <v>0.9</v>
      </c>
      <c r="AD71" s="527"/>
      <c r="AE71" s="527"/>
      <c r="AF71" s="527"/>
      <c r="AK71" s="527"/>
      <c r="AQ71" s="347"/>
      <c r="AS71" s="527"/>
      <c r="AT71" s="527"/>
      <c r="AW71" s="527"/>
      <c r="AX71" s="527"/>
      <c r="AY71" s="527"/>
      <c r="BA71" s="347"/>
      <c r="BE71" s="527"/>
      <c r="BG71" s="347"/>
      <c r="BH71" s="373"/>
      <c r="BI71" s="563">
        <f>($G$68+$G$71)/2</f>
        <v>0.9</v>
      </c>
      <c r="BJ71" s="373"/>
      <c r="BL71" s="373"/>
      <c r="BM71" s="347"/>
    </row>
    <row r="72" spans="1:67" ht="36">
      <c r="A72" s="535"/>
      <c r="B72" s="345" t="s">
        <v>1047</v>
      </c>
      <c r="D72" s="546" t="s">
        <v>2468</v>
      </c>
      <c r="E72" s="449" t="s">
        <v>1525</v>
      </c>
      <c r="F72" s="559">
        <v>1</v>
      </c>
      <c r="G72" s="331">
        <f>IF(F72=1,0.9,1.2)</f>
        <v>0.9</v>
      </c>
      <c r="H72" s="329">
        <f>IF(F72=0,1,0)</f>
        <v>0</v>
      </c>
      <c r="I72" s="346">
        <f>IF(F72=1,1,0)</f>
        <v>1</v>
      </c>
      <c r="J72" s="344" t="s">
        <v>1168</v>
      </c>
      <c r="K72" s="349">
        <f>(1-((F78+F77+F61+F48))/4)*K71</f>
        <v>1</v>
      </c>
      <c r="L72" s="329">
        <f>IF(K72&gt;0.5,1.2,0.8)</f>
        <v>1.2</v>
      </c>
      <c r="M72" s="365"/>
      <c r="N72" s="527"/>
      <c r="O72" s="347"/>
      <c r="P72" s="527"/>
      <c r="V72" s="527"/>
      <c r="Y72" s="527"/>
      <c r="AD72" s="527"/>
      <c r="AE72" s="527"/>
      <c r="AF72" s="527"/>
      <c r="AK72" s="527"/>
      <c r="AQ72" s="347"/>
      <c r="AS72" s="347">
        <f t="shared" ref="AS72:AT72" si="15">$G72</f>
        <v>0.9</v>
      </c>
      <c r="AT72" s="527">
        <f t="shared" si="15"/>
        <v>0.9</v>
      </c>
      <c r="AW72" s="527"/>
      <c r="AX72" s="527"/>
      <c r="AY72" s="527"/>
      <c r="AZ72" s="373">
        <f>$G72</f>
        <v>0.9</v>
      </c>
      <c r="BA72" s="347">
        <f>$G72</f>
        <v>0.9</v>
      </c>
      <c r="BE72" s="347">
        <f>$G72</f>
        <v>0.9</v>
      </c>
      <c r="BG72" s="347"/>
      <c r="BH72" s="373"/>
      <c r="BI72" s="347"/>
      <c r="BJ72" s="373"/>
      <c r="BK72" s="347">
        <f>$G72</f>
        <v>0.9</v>
      </c>
      <c r="BL72" s="373"/>
      <c r="BM72" s="347"/>
    </row>
    <row r="73" spans="1:67" ht="36">
      <c r="A73" s="535"/>
      <c r="B73" s="345" t="s">
        <v>1047</v>
      </c>
      <c r="D73" s="546" t="s">
        <v>2467</v>
      </c>
      <c r="E73" s="449" t="s">
        <v>1526</v>
      </c>
      <c r="F73" s="559">
        <v>0</v>
      </c>
      <c r="G73" s="331">
        <f>IF(F73=1,0.9,1.2)</f>
        <v>1.2</v>
      </c>
      <c r="H73" s="329">
        <f>IF(F73=0,1,0)</f>
        <v>1</v>
      </c>
      <c r="I73" s="346">
        <f>IF(F73=1,1,0)</f>
        <v>0</v>
      </c>
      <c r="J73" s="360" t="s">
        <v>1191</v>
      </c>
      <c r="K73" s="347">
        <f>(F7/(F6^2))*100</f>
        <v>0.27548209366391185</v>
      </c>
      <c r="L73" s="360">
        <f>IF(K73&lt;0.25,1,IF(K73&gt;0.3,2,1.2))</f>
        <v>1.2</v>
      </c>
      <c r="M73" s="365"/>
      <c r="N73" s="527"/>
      <c r="O73" s="347"/>
      <c r="P73" s="527"/>
      <c r="V73" s="527"/>
      <c r="Y73" s="527"/>
      <c r="AD73" s="527"/>
      <c r="AE73" s="527"/>
      <c r="AF73" s="527"/>
      <c r="AK73" s="527"/>
      <c r="AQ73" s="347"/>
      <c r="AS73" s="527"/>
      <c r="AT73" s="527"/>
      <c r="AW73" s="527"/>
      <c r="AX73" s="527"/>
      <c r="AY73" s="527"/>
      <c r="AZ73" s="373">
        <f t="shared" ref="AZ73:BA73" si="16">$G73</f>
        <v>1.2</v>
      </c>
      <c r="BA73" s="347">
        <f t="shared" si="16"/>
        <v>1.2</v>
      </c>
      <c r="BE73" s="347">
        <f>$G73</f>
        <v>1.2</v>
      </c>
      <c r="BG73" s="347"/>
      <c r="BH73" s="373"/>
      <c r="BI73" s="347"/>
      <c r="BJ73" s="373"/>
      <c r="BL73" s="373"/>
      <c r="BM73" s="347"/>
    </row>
    <row r="74" spans="1:67" s="323" customFormat="1" ht="36">
      <c r="B74" s="345" t="s">
        <v>1047</v>
      </c>
      <c r="C74" s="448"/>
      <c r="D74" s="546" t="s">
        <v>2466</v>
      </c>
      <c r="E74" s="449"/>
      <c r="F74" s="559">
        <v>0</v>
      </c>
      <c r="G74" s="331">
        <f>IF(F74=1,1.2,0.9)</f>
        <v>0.9</v>
      </c>
      <c r="H74" s="329">
        <f t="shared" ref="H74:H75" si="17">F74</f>
        <v>0</v>
      </c>
      <c r="J74" s="362" t="s">
        <v>1192</v>
      </c>
      <c r="K74" s="363"/>
      <c r="L74" s="362">
        <f>IF(K73&lt;0.18,1.2,1)</f>
        <v>1</v>
      </c>
      <c r="M74" s="364"/>
      <c r="N74" s="528"/>
      <c r="O74" s="350"/>
      <c r="P74" s="528"/>
      <c r="R74" s="526"/>
      <c r="T74" s="526"/>
      <c r="V74" s="528"/>
      <c r="X74" s="526"/>
      <c r="Y74" s="528"/>
      <c r="Z74" s="526"/>
      <c r="AB74" s="526"/>
      <c r="AD74" s="528"/>
      <c r="AE74" s="528"/>
      <c r="AF74" s="528"/>
      <c r="AH74" s="526"/>
      <c r="AJ74" s="526"/>
      <c r="AK74" s="528"/>
      <c r="AL74" s="526"/>
      <c r="AN74" s="526"/>
      <c r="AP74" s="526"/>
      <c r="AQ74" s="350"/>
      <c r="AR74" s="526"/>
      <c r="AS74" s="528"/>
      <c r="AT74" s="528"/>
      <c r="AV74" s="526"/>
      <c r="AW74" s="528"/>
      <c r="AX74" s="528"/>
      <c r="AY74" s="528"/>
      <c r="AZ74" s="341"/>
      <c r="BA74" s="350"/>
      <c r="BB74" s="341"/>
      <c r="BD74" s="341"/>
      <c r="BE74" s="528"/>
      <c r="BF74" s="341"/>
      <c r="BG74" s="350"/>
      <c r="BH74" s="369"/>
      <c r="BI74" s="350"/>
      <c r="BJ74" s="369"/>
      <c r="BL74" s="369"/>
      <c r="BM74" s="350"/>
      <c r="BN74" s="341"/>
    </row>
    <row r="75" spans="1:67" s="323" customFormat="1" ht="36">
      <c r="B75" s="345" t="s">
        <v>1047</v>
      </c>
      <c r="C75" s="448"/>
      <c r="D75" s="546" t="s">
        <v>2465</v>
      </c>
      <c r="E75" s="593"/>
      <c r="F75" s="559">
        <v>0</v>
      </c>
      <c r="G75" s="331">
        <f>IF(F75=1,1.2,0.9)</f>
        <v>0.9</v>
      </c>
      <c r="H75" s="329">
        <f t="shared" si="17"/>
        <v>0</v>
      </c>
      <c r="K75" s="350"/>
      <c r="M75" s="364"/>
      <c r="N75" s="528"/>
      <c r="O75" s="350"/>
      <c r="P75" s="528"/>
      <c r="R75" s="526"/>
      <c r="T75" s="526"/>
      <c r="V75" s="528"/>
      <c r="X75" s="526"/>
      <c r="Y75" s="528"/>
      <c r="Z75" s="526"/>
      <c r="AB75" s="526"/>
      <c r="AD75" s="528"/>
      <c r="AE75" s="528"/>
      <c r="AF75" s="528"/>
      <c r="AH75" s="526"/>
      <c r="AJ75" s="526"/>
      <c r="AK75" s="528"/>
      <c r="AL75" s="526"/>
      <c r="AN75" s="526"/>
      <c r="AP75" s="526"/>
      <c r="AQ75" s="350"/>
      <c r="AR75" s="526"/>
      <c r="AS75" s="528"/>
      <c r="AT75" s="528"/>
      <c r="AV75" s="526"/>
      <c r="AW75" s="528"/>
      <c r="AX75" s="528"/>
      <c r="AY75" s="528"/>
      <c r="AZ75" s="341"/>
      <c r="BA75" s="350"/>
      <c r="BB75" s="341"/>
      <c r="BD75" s="341"/>
      <c r="BE75" s="528"/>
      <c r="BF75" s="341"/>
      <c r="BG75" s="350"/>
      <c r="BH75" s="369"/>
      <c r="BI75" s="350"/>
      <c r="BJ75" s="369"/>
      <c r="BL75" s="369"/>
      <c r="BM75" s="350"/>
      <c r="BN75" s="341"/>
    </row>
    <row r="76" spans="1:67" s="323" customFormat="1">
      <c r="B76" s="345" t="s">
        <v>1047</v>
      </c>
      <c r="C76" s="448"/>
      <c r="D76" s="666" t="s">
        <v>2464</v>
      </c>
      <c r="E76" s="449"/>
      <c r="F76" s="559">
        <v>0</v>
      </c>
      <c r="G76" s="331"/>
      <c r="H76" s="329"/>
      <c r="K76" s="350"/>
      <c r="M76" s="364"/>
      <c r="N76" s="528"/>
      <c r="O76" s="350"/>
      <c r="P76" s="528"/>
      <c r="R76" s="526"/>
      <c r="T76" s="526"/>
      <c r="V76" s="528"/>
      <c r="X76" s="526"/>
      <c r="Z76" s="526"/>
      <c r="AB76" s="526"/>
      <c r="AD76" s="528"/>
      <c r="AE76" s="528"/>
      <c r="AF76" s="528"/>
      <c r="AH76" s="526"/>
      <c r="AJ76" s="526"/>
      <c r="AK76" s="528"/>
      <c r="AL76" s="526"/>
      <c r="AN76" s="526"/>
      <c r="AP76" s="526"/>
      <c r="AQ76" s="350"/>
      <c r="AR76" s="526"/>
      <c r="AS76" s="528"/>
      <c r="AT76" s="528"/>
      <c r="AV76" s="526"/>
      <c r="AW76" s="528"/>
      <c r="AX76" s="528"/>
      <c r="AY76" s="528"/>
      <c r="AZ76" s="341"/>
      <c r="BA76" s="350"/>
      <c r="BB76" s="341"/>
      <c r="BD76" s="341"/>
      <c r="BE76" s="528"/>
      <c r="BF76" s="341"/>
      <c r="BG76" s="347"/>
      <c r="BH76" s="369"/>
      <c r="BI76" s="350"/>
      <c r="BJ76" s="369"/>
      <c r="BL76" s="369"/>
      <c r="BM76" s="350"/>
      <c r="BN76" s="341"/>
    </row>
    <row r="77" spans="1:67" s="323" customFormat="1">
      <c r="B77" s="345" t="s">
        <v>1047</v>
      </c>
      <c r="C77" s="448" t="s">
        <v>2268</v>
      </c>
      <c r="D77" s="534" t="s">
        <v>2463</v>
      </c>
      <c r="E77" s="449"/>
      <c r="F77" s="559">
        <v>1</v>
      </c>
      <c r="G77" s="331">
        <f>IF(F77=1,1.2,0.9)</f>
        <v>1.2</v>
      </c>
      <c r="H77" s="329">
        <f t="shared" ref="H77:H81" si="18">F77</f>
        <v>1</v>
      </c>
      <c r="K77" s="350"/>
      <c r="M77" s="364"/>
      <c r="N77" s="527">
        <f t="shared" ref="N77:N78" si="19">$G77</f>
        <v>1.2</v>
      </c>
      <c r="O77" s="350"/>
      <c r="P77" s="528"/>
      <c r="R77" s="526"/>
      <c r="T77" s="526"/>
      <c r="V77" s="528"/>
      <c r="X77" s="526"/>
      <c r="Z77" s="526"/>
      <c r="AB77" s="526"/>
      <c r="AD77" s="528"/>
      <c r="AE77" s="528"/>
      <c r="AF77" s="528"/>
      <c r="AH77" s="526"/>
      <c r="AJ77" s="526"/>
      <c r="AK77" s="528"/>
      <c r="AL77" s="526"/>
      <c r="AN77" s="526"/>
      <c r="AP77" s="526"/>
      <c r="AQ77" s="350"/>
      <c r="AR77" s="526"/>
      <c r="AS77" s="528"/>
      <c r="AT77" s="528"/>
      <c r="AV77" s="526"/>
      <c r="AW77" s="528"/>
      <c r="AX77" s="528"/>
      <c r="AY77" s="528"/>
      <c r="AZ77" s="341"/>
      <c r="BA77" s="350"/>
      <c r="BB77" s="341"/>
      <c r="BD77" s="341"/>
      <c r="BE77" s="528"/>
      <c r="BF77" s="341"/>
      <c r="BG77" s="347">
        <f>$G78</f>
        <v>1.2</v>
      </c>
      <c r="BH77" s="369"/>
      <c r="BI77" s="350"/>
      <c r="BJ77" s="369"/>
      <c r="BL77" s="369"/>
      <c r="BM77" s="350"/>
      <c r="BN77" s="341"/>
    </row>
    <row r="78" spans="1:67" s="323" customFormat="1" ht="36">
      <c r="B78" s="345" t="s">
        <v>1047</v>
      </c>
      <c r="C78" s="448" t="s">
        <v>2268</v>
      </c>
      <c r="D78" s="534" t="s">
        <v>2462</v>
      </c>
      <c r="E78" s="449"/>
      <c r="F78" s="559">
        <v>1</v>
      </c>
      <c r="G78" s="331">
        <f>IF(F78=1,1.2,0.9)</f>
        <v>1.2</v>
      </c>
      <c r="H78" s="329">
        <f t="shared" si="18"/>
        <v>1</v>
      </c>
      <c r="K78" s="350"/>
      <c r="M78" s="364"/>
      <c r="N78" s="527">
        <f t="shared" si="19"/>
        <v>1.2</v>
      </c>
      <c r="O78" s="350"/>
      <c r="P78" s="528"/>
      <c r="R78" s="526"/>
      <c r="T78" s="526"/>
      <c r="V78" s="528"/>
      <c r="X78" s="526"/>
      <c r="Z78" s="526"/>
      <c r="AB78" s="526"/>
      <c r="AD78" s="528"/>
      <c r="AE78" s="528"/>
      <c r="AF78" s="528"/>
      <c r="AH78" s="526"/>
      <c r="AJ78" s="526"/>
      <c r="AK78" s="528"/>
      <c r="AL78" s="526"/>
      <c r="AN78" s="526"/>
      <c r="AP78" s="526"/>
      <c r="AQ78" s="350"/>
      <c r="AR78" s="526"/>
      <c r="AS78" s="528"/>
      <c r="AT78" s="528"/>
      <c r="AV78" s="526"/>
      <c r="AW78" s="528"/>
      <c r="AX78" s="528"/>
      <c r="AY78" s="528"/>
      <c r="AZ78" s="341"/>
      <c r="BA78" s="350"/>
      <c r="BB78" s="341"/>
      <c r="BD78" s="341"/>
      <c r="BE78" s="528"/>
      <c r="BF78" s="341"/>
      <c r="BG78" s="347"/>
      <c r="BH78" s="369"/>
      <c r="BI78" s="350"/>
      <c r="BJ78" s="369"/>
      <c r="BL78" s="369"/>
      <c r="BM78" s="350"/>
      <c r="BN78" s="341"/>
    </row>
    <row r="79" spans="1:67" ht="36">
      <c r="A79" s="535"/>
      <c r="B79" s="345" t="s">
        <v>1047</v>
      </c>
      <c r="D79" s="547" t="s">
        <v>2461</v>
      </c>
      <c r="E79" s="449" t="s">
        <v>1527</v>
      </c>
      <c r="F79" s="559">
        <v>0</v>
      </c>
      <c r="G79" s="331">
        <f>IF(F79=1,1.2,1)</f>
        <v>1</v>
      </c>
      <c r="H79" s="329">
        <f t="shared" si="18"/>
        <v>0</v>
      </c>
      <c r="J79" s="344" t="s">
        <v>1163</v>
      </c>
      <c r="K79" s="349">
        <f>1-((H79+H80+H81+H82+I25+I111+I118)/7)</f>
        <v>1</v>
      </c>
      <c r="L79" s="346">
        <f>IF(K79&lt;0.51,1.2,0.8)</f>
        <v>0.8</v>
      </c>
      <c r="M79" s="346">
        <f>IF(K79&lt;0.51,1,0)</f>
        <v>0</v>
      </c>
      <c r="N79" s="528"/>
      <c r="O79" s="350"/>
      <c r="P79" s="528"/>
      <c r="V79" s="528"/>
      <c r="AD79" s="528"/>
      <c r="AE79" s="528"/>
      <c r="AF79" s="528"/>
      <c r="AK79" s="528"/>
      <c r="AQ79" s="350"/>
      <c r="AS79" s="528"/>
      <c r="AT79" s="528"/>
      <c r="AW79" s="528"/>
      <c r="AX79" s="528"/>
      <c r="AY79" s="528"/>
      <c r="BA79" s="350"/>
      <c r="BE79" s="528"/>
      <c r="BG79" s="350"/>
      <c r="BH79" s="369"/>
      <c r="BI79" s="350"/>
      <c r="BJ79" s="369"/>
      <c r="BL79" s="369"/>
      <c r="BM79" s="350"/>
      <c r="BN79" s="341"/>
    </row>
    <row r="80" spans="1:67">
      <c r="A80" s="535"/>
      <c r="B80" s="345" t="s">
        <v>1047</v>
      </c>
      <c r="D80" s="547" t="s">
        <v>2460</v>
      </c>
      <c r="E80" s="449" t="s">
        <v>1528</v>
      </c>
      <c r="F80" s="559">
        <v>0</v>
      </c>
      <c r="G80" s="341">
        <f>IF(F80=1,1.2,1)</f>
        <v>1</v>
      </c>
      <c r="H80" s="329">
        <f t="shared" si="18"/>
        <v>0</v>
      </c>
      <c r="K80" s="347"/>
      <c r="AS80" s="525"/>
      <c r="AY80" s="525"/>
      <c r="BJ80" s="331">
        <f>L79</f>
        <v>0.8</v>
      </c>
      <c r="BN80" s="341"/>
    </row>
    <row r="81" spans="1:67">
      <c r="A81" s="535"/>
      <c r="B81" s="345" t="s">
        <v>1047</v>
      </c>
      <c r="D81" s="547" t="s">
        <v>2459</v>
      </c>
      <c r="E81" s="449" t="s">
        <v>1529</v>
      </c>
      <c r="F81" s="559">
        <v>0</v>
      </c>
      <c r="G81" s="331">
        <f>IF(F81=1,1.2,1)</f>
        <v>1</v>
      </c>
      <c r="H81" s="329">
        <f t="shared" si="18"/>
        <v>0</v>
      </c>
      <c r="J81" s="345" t="s">
        <v>1164</v>
      </c>
      <c r="K81" s="361">
        <f>1-(H73+H90+H89+H85+H84+H83+H71)/19</f>
        <v>0.94736842105263164</v>
      </c>
      <c r="L81" s="360">
        <f>IF(K81&gt;1,1.2,0.8)</f>
        <v>0.8</v>
      </c>
      <c r="M81" s="360"/>
      <c r="AS81" s="525"/>
      <c r="BN81" s="341"/>
    </row>
    <row r="82" spans="1:67" ht="36">
      <c r="A82" s="535"/>
      <c r="B82" s="345" t="s">
        <v>1047</v>
      </c>
      <c r="D82" s="547" t="s">
        <v>2458</v>
      </c>
      <c r="E82" s="449" t="s">
        <v>1530</v>
      </c>
      <c r="F82" s="559">
        <v>0</v>
      </c>
      <c r="G82" s="331">
        <f>IF(F82=1,1.2,1)</f>
        <v>1</v>
      </c>
      <c r="H82" s="329">
        <f>F82</f>
        <v>0</v>
      </c>
      <c r="BN82" s="341"/>
    </row>
    <row r="83" spans="1:67" ht="36">
      <c r="B83" s="345" t="s">
        <v>1047</v>
      </c>
      <c r="D83" s="546" t="s">
        <v>2457</v>
      </c>
      <c r="F83" s="559">
        <v>0</v>
      </c>
      <c r="G83" s="331">
        <f>IF(F83=1,1,0)</f>
        <v>0</v>
      </c>
      <c r="H83" s="329">
        <f>IF(F83=0,0,3)</f>
        <v>0</v>
      </c>
      <c r="J83" s="346" t="s">
        <v>1165</v>
      </c>
      <c r="K83" s="348">
        <f>1-((H88+H87+H72)/7)</f>
        <v>1</v>
      </c>
      <c r="L83" s="344">
        <f>IF(K83&gt;1,1.2,IF(K83=0,0.8,1))</f>
        <v>1</v>
      </c>
      <c r="M83" s="344"/>
      <c r="Q83" s="524"/>
      <c r="U83" s="524"/>
      <c r="V83" s="410"/>
      <c r="W83" s="524"/>
      <c r="X83" s="410"/>
      <c r="Y83" s="524"/>
      <c r="Z83" s="410"/>
      <c r="AA83" s="524"/>
      <c r="AB83" s="410"/>
      <c r="AC83" s="524"/>
      <c r="AD83" s="410"/>
      <c r="AE83" s="524"/>
      <c r="AF83" s="410"/>
      <c r="AG83" s="524"/>
      <c r="AH83" s="410"/>
      <c r="AI83" s="524"/>
    </row>
    <row r="84" spans="1:67" ht="36">
      <c r="B84" s="345" t="s">
        <v>1047</v>
      </c>
      <c r="D84" s="546" t="s">
        <v>2665</v>
      </c>
      <c r="F84" s="322">
        <v>0</v>
      </c>
      <c r="G84" s="373">
        <f>IF(F84&lt;1.1,0.8,IF(F84&gt;2.1,1.2,1))</f>
        <v>0.8</v>
      </c>
      <c r="H84" s="329">
        <f>F84</f>
        <v>0</v>
      </c>
      <c r="Q84" s="347"/>
      <c r="U84" s="347"/>
      <c r="V84" s="527"/>
      <c r="W84" s="347"/>
      <c r="X84" s="527"/>
      <c r="Y84" s="347"/>
      <c r="Z84" s="527"/>
      <c r="AA84" s="347"/>
      <c r="AB84" s="527"/>
      <c r="AC84" s="347"/>
      <c r="AD84" s="527"/>
      <c r="AE84" s="347"/>
      <c r="AF84" s="527"/>
      <c r="AG84" s="347"/>
      <c r="AH84" s="527"/>
      <c r="AI84" s="347"/>
      <c r="BA84" s="527">
        <f>$G84</f>
        <v>0.8</v>
      </c>
    </row>
    <row r="85" spans="1:67" ht="36">
      <c r="B85" s="345" t="s">
        <v>1047</v>
      </c>
      <c r="D85" s="840" t="s">
        <v>2666</v>
      </c>
      <c r="F85" s="322">
        <v>0</v>
      </c>
      <c r="G85" s="373">
        <f>IF(F85&lt;1.1,0.8,IF(F85&gt;2.1,1.2,1))</f>
        <v>0.8</v>
      </c>
      <c r="H85" s="329">
        <f>F85</f>
        <v>0</v>
      </c>
      <c r="Q85" s="347"/>
      <c r="U85" s="347"/>
      <c r="V85" s="527"/>
      <c r="W85" s="347"/>
      <c r="X85" s="527"/>
      <c r="Y85" s="347"/>
      <c r="Z85" s="527"/>
      <c r="AA85" s="347"/>
      <c r="AB85" s="527"/>
      <c r="AC85" s="347"/>
      <c r="AD85" s="527"/>
      <c r="AE85" s="347"/>
      <c r="AF85" s="527"/>
      <c r="AG85" s="347">
        <f>$G85</f>
        <v>0.8</v>
      </c>
      <c r="AH85" s="527"/>
      <c r="AI85" s="347"/>
    </row>
    <row r="86" spans="1:67" ht="36">
      <c r="B86" s="345" t="s">
        <v>1047</v>
      </c>
      <c r="D86" s="840" t="s">
        <v>2667</v>
      </c>
      <c r="F86" s="322">
        <v>0</v>
      </c>
      <c r="G86" s="331">
        <f>IF(F86=3,1,0.5)</f>
        <v>0.5</v>
      </c>
      <c r="H86" s="332">
        <f>IF(F86=0,1,0)</f>
        <v>1</v>
      </c>
      <c r="Q86" s="347"/>
      <c r="U86" s="347"/>
      <c r="V86" s="527"/>
      <c r="W86" s="347"/>
      <c r="X86" s="527"/>
      <c r="Y86" s="347"/>
      <c r="Z86" s="527"/>
      <c r="AA86" s="347"/>
      <c r="AB86" s="527"/>
      <c r="AC86" s="347"/>
      <c r="AD86" s="527"/>
      <c r="AE86" s="347"/>
      <c r="AF86" s="527"/>
      <c r="AG86" s="347"/>
      <c r="AH86" s="527"/>
      <c r="AI86" s="347"/>
    </row>
    <row r="87" spans="1:67" ht="36">
      <c r="B87" s="345" t="s">
        <v>1047</v>
      </c>
      <c r="D87" s="840" t="s">
        <v>2668</v>
      </c>
      <c r="F87" s="322">
        <v>0</v>
      </c>
      <c r="G87" s="373">
        <f>IF(F87&lt;1.1,0.8,IF(F87&gt;2.1,1.2,1))</f>
        <v>0.8</v>
      </c>
      <c r="H87" s="329">
        <f>F87</f>
        <v>0</v>
      </c>
      <c r="I87" s="329">
        <f>IF(F87=3,1,0)</f>
        <v>0</v>
      </c>
      <c r="Q87" s="347"/>
      <c r="R87" s="527">
        <f>$G87</f>
        <v>0.8</v>
      </c>
      <c r="U87" s="347"/>
      <c r="V87" s="527"/>
      <c r="W87" s="347"/>
      <c r="X87" s="527"/>
      <c r="Y87" s="347"/>
      <c r="Z87" s="527"/>
      <c r="AA87" s="347"/>
      <c r="AB87" s="527"/>
      <c r="AC87" s="347"/>
      <c r="AD87" s="527"/>
      <c r="AE87" s="347"/>
      <c r="AF87" s="527">
        <f t="shared" ref="AF87:AG90" si="20">$G87</f>
        <v>0.8</v>
      </c>
      <c r="AG87" s="527">
        <f t="shared" si="20"/>
        <v>0.8</v>
      </c>
      <c r="AH87" s="527"/>
      <c r="AI87" s="347"/>
      <c r="AK87" s="527"/>
      <c r="AP87" s="527">
        <f t="shared" ref="AP87:AQ90" si="21">$G87</f>
        <v>0.8</v>
      </c>
      <c r="AQ87" s="527">
        <f t="shared" si="21"/>
        <v>0.8</v>
      </c>
    </row>
    <row r="88" spans="1:67" ht="36">
      <c r="B88" s="345" t="s">
        <v>1047</v>
      </c>
      <c r="D88" s="840" t="s">
        <v>2669</v>
      </c>
      <c r="F88" s="322">
        <v>0</v>
      </c>
      <c r="G88" s="373">
        <f>IF(F88&lt;1.1,0.8,IF(F88&gt;2.1,1.2,1))</f>
        <v>0.8</v>
      </c>
      <c r="H88" s="329">
        <f>F88</f>
        <v>0</v>
      </c>
      <c r="Q88" s="347"/>
      <c r="U88" s="347"/>
      <c r="V88" s="527"/>
      <c r="W88" s="347"/>
      <c r="X88" s="527"/>
      <c r="Y88" s="347"/>
      <c r="Z88" s="527"/>
      <c r="AA88" s="347"/>
      <c r="AB88" s="527"/>
      <c r="AC88" s="347"/>
      <c r="AD88" s="527"/>
      <c r="AE88" s="347"/>
      <c r="AF88" s="527">
        <f t="shared" si="20"/>
        <v>0.8</v>
      </c>
      <c r="AG88" s="527">
        <f t="shared" si="20"/>
        <v>0.8</v>
      </c>
      <c r="AH88" s="527"/>
      <c r="AI88" s="347"/>
      <c r="AK88" s="527"/>
      <c r="AP88" s="527">
        <f t="shared" si="21"/>
        <v>0.8</v>
      </c>
      <c r="AQ88" s="527">
        <f t="shared" si="21"/>
        <v>0.8</v>
      </c>
    </row>
    <row r="89" spans="1:67" ht="36">
      <c r="B89" s="345" t="s">
        <v>1047</v>
      </c>
      <c r="D89" s="840" t="s">
        <v>2670</v>
      </c>
      <c r="F89" s="322">
        <v>0</v>
      </c>
      <c r="G89" s="373">
        <f>IF(F89&lt;1.1,0.8,IF(F89&gt;2.1,1.2,1))</f>
        <v>0.8</v>
      </c>
      <c r="H89" s="329">
        <f>F89</f>
        <v>0</v>
      </c>
      <c r="Q89" s="350"/>
      <c r="U89" s="350"/>
      <c r="V89" s="528"/>
      <c r="W89" s="350"/>
      <c r="X89" s="528"/>
      <c r="Y89" s="350"/>
      <c r="Z89" s="528"/>
      <c r="AA89" s="350"/>
      <c r="AB89" s="528"/>
      <c r="AC89" s="350"/>
      <c r="AD89" s="528"/>
      <c r="AE89" s="350"/>
      <c r="AF89" s="527">
        <f t="shared" si="20"/>
        <v>0.8</v>
      </c>
      <c r="AG89" s="527">
        <f t="shared" si="20"/>
        <v>0.8</v>
      </c>
      <c r="AH89" s="528"/>
      <c r="AI89" s="350"/>
      <c r="AK89" s="527"/>
      <c r="AP89" s="527">
        <f t="shared" si="21"/>
        <v>0.8</v>
      </c>
      <c r="AQ89" s="527">
        <f t="shared" si="21"/>
        <v>0.8</v>
      </c>
    </row>
    <row r="90" spans="1:67" ht="54">
      <c r="B90" s="345" t="s">
        <v>1047</v>
      </c>
      <c r="D90" s="840" t="s">
        <v>2671</v>
      </c>
      <c r="F90" s="322">
        <v>0</v>
      </c>
      <c r="G90" s="373">
        <f>IF(F90&lt;1.1,0.8,IF(F90&gt;2.1,1.2,1))</f>
        <v>0.8</v>
      </c>
      <c r="H90" s="329">
        <f>F90</f>
        <v>0</v>
      </c>
      <c r="Q90" s="350"/>
      <c r="U90" s="350"/>
      <c r="V90" s="528"/>
      <c r="W90" s="350"/>
      <c r="X90" s="528"/>
      <c r="Y90" s="350"/>
      <c r="Z90" s="528"/>
      <c r="AA90" s="350"/>
      <c r="AB90" s="528"/>
      <c r="AC90" s="350"/>
      <c r="AD90" s="528"/>
      <c r="AE90" s="350"/>
      <c r="AF90" s="527">
        <f t="shared" si="20"/>
        <v>0.8</v>
      </c>
      <c r="AG90" s="527">
        <f t="shared" si="20"/>
        <v>0.8</v>
      </c>
      <c r="AH90" s="528"/>
      <c r="AI90" s="350"/>
      <c r="AK90" s="527"/>
      <c r="AP90" s="527">
        <f t="shared" si="21"/>
        <v>0.8</v>
      </c>
      <c r="AQ90" s="527">
        <f t="shared" si="21"/>
        <v>0.8</v>
      </c>
    </row>
    <row r="91" spans="1:67" s="330" customFormat="1">
      <c r="B91" s="345" t="s">
        <v>1047</v>
      </c>
      <c r="C91" s="448" t="s">
        <v>2270</v>
      </c>
      <c r="D91" s="546" t="s">
        <v>2456</v>
      </c>
      <c r="E91" s="449"/>
      <c r="F91" s="559">
        <v>0</v>
      </c>
      <c r="G91" s="331">
        <f>IF(F91=1,0.9,1.2)</f>
        <v>1.2</v>
      </c>
      <c r="H91" s="331">
        <f>IF(F91=1,0,1)</f>
        <v>1</v>
      </c>
      <c r="I91" s="329">
        <f>F91</f>
        <v>0</v>
      </c>
      <c r="J91" s="329"/>
      <c r="K91" s="329"/>
      <c r="N91" s="525"/>
      <c r="O91" s="329"/>
      <c r="P91" s="525"/>
      <c r="Q91" s="350"/>
      <c r="R91" s="528"/>
      <c r="T91" s="525"/>
      <c r="U91" s="350"/>
      <c r="V91" s="528"/>
      <c r="W91" s="350"/>
      <c r="X91" s="528"/>
      <c r="Y91" s="350"/>
      <c r="Z91" s="528"/>
      <c r="AA91" s="350"/>
      <c r="AB91" s="528"/>
      <c r="AC91" s="350"/>
      <c r="AD91" s="528"/>
      <c r="AE91" s="350"/>
      <c r="AF91" s="528"/>
      <c r="AG91" s="350"/>
      <c r="AH91" s="528"/>
      <c r="AI91" s="350"/>
      <c r="AJ91" s="525"/>
      <c r="AK91" s="329"/>
      <c r="AL91" s="525"/>
      <c r="AM91" s="329"/>
      <c r="AN91" s="525"/>
      <c r="AO91" s="329"/>
      <c r="AP91" s="525"/>
      <c r="AQ91" s="329"/>
      <c r="AR91" s="525"/>
      <c r="AS91" s="329">
        <f>$G$91*G21*I3</f>
        <v>0</v>
      </c>
      <c r="AT91" s="329">
        <f>$G$91*G21</f>
        <v>0</v>
      </c>
      <c r="AU91" s="329"/>
      <c r="AV91" s="525"/>
      <c r="AW91" s="329"/>
      <c r="AX91" s="525"/>
      <c r="AY91" s="329"/>
      <c r="AZ91" s="331"/>
      <c r="BA91" s="329"/>
      <c r="BB91" s="331"/>
      <c r="BC91" s="329"/>
      <c r="BD91" s="331"/>
      <c r="BE91" s="329"/>
      <c r="BF91" s="331"/>
      <c r="BG91" s="329"/>
      <c r="BH91" s="331"/>
      <c r="BI91" s="329"/>
      <c r="BJ91" s="331"/>
      <c r="BK91" s="329"/>
      <c r="BL91" s="331"/>
      <c r="BM91" s="329"/>
      <c r="BN91" s="331"/>
      <c r="BO91" s="329"/>
    </row>
    <row r="92" spans="1:67" s="330" customFormat="1">
      <c r="C92" s="448"/>
      <c r="D92" s="868"/>
      <c r="E92" s="449"/>
      <c r="F92" s="328"/>
      <c r="H92" s="329"/>
      <c r="I92" s="329"/>
      <c r="J92" s="329"/>
      <c r="K92" s="329"/>
      <c r="N92" s="525"/>
      <c r="O92" s="329"/>
      <c r="P92" s="525"/>
      <c r="Q92" s="350"/>
      <c r="R92" s="528"/>
      <c r="T92" s="525"/>
      <c r="U92" s="350"/>
      <c r="V92" s="528"/>
      <c r="W92" s="350"/>
      <c r="X92" s="528"/>
      <c r="Y92" s="350"/>
      <c r="Z92" s="528"/>
      <c r="AA92" s="350"/>
      <c r="AB92" s="528"/>
      <c r="AC92" s="350"/>
      <c r="AD92" s="528"/>
      <c r="AE92" s="350"/>
      <c r="AF92" s="528"/>
      <c r="AG92" s="350"/>
      <c r="AH92" s="528"/>
      <c r="AI92" s="350"/>
      <c r="AJ92" s="525"/>
      <c r="AK92" s="329"/>
      <c r="AL92" s="525"/>
      <c r="AM92" s="329"/>
      <c r="AN92" s="525"/>
      <c r="AO92" s="329"/>
      <c r="AP92" s="525"/>
      <c r="AQ92" s="329"/>
      <c r="AR92" s="525"/>
      <c r="AS92" s="329"/>
      <c r="AT92" s="525"/>
      <c r="AU92" s="329"/>
      <c r="AV92" s="525"/>
      <c r="AW92" s="329"/>
      <c r="AX92" s="525"/>
      <c r="AY92" s="329"/>
      <c r="AZ92" s="331"/>
      <c r="BA92" s="329"/>
      <c r="BB92" s="331"/>
      <c r="BC92" s="329"/>
      <c r="BD92" s="331"/>
      <c r="BE92" s="329"/>
      <c r="BF92" s="331"/>
      <c r="BG92" s="329"/>
      <c r="BH92" s="331"/>
      <c r="BI92" s="329"/>
      <c r="BJ92" s="331"/>
      <c r="BK92" s="329"/>
      <c r="BL92" s="331"/>
      <c r="BM92" s="329"/>
      <c r="BN92" s="331"/>
      <c r="BO92" s="329"/>
    </row>
    <row r="93" spans="1:67" s="351" customFormat="1" ht="36">
      <c r="B93" s="351" t="s">
        <v>1044</v>
      </c>
      <c r="C93" s="556"/>
      <c r="D93" s="548" t="s">
        <v>2470</v>
      </c>
      <c r="E93" s="449"/>
      <c r="F93" s="559">
        <v>0</v>
      </c>
      <c r="G93" s="351">
        <f>F93</f>
        <v>0</v>
      </c>
      <c r="J93" s="351" t="s">
        <v>1169</v>
      </c>
      <c r="K93" s="372">
        <f>1-(G93+G94+G95+G96+G97+G102+G103+G104+G136+G106)/10</f>
        <v>0.9</v>
      </c>
      <c r="M93" s="351" t="s">
        <v>1643</v>
      </c>
      <c r="N93" s="525"/>
      <c r="P93" s="525"/>
      <c r="Q93" s="557"/>
      <c r="R93" s="528"/>
      <c r="T93" s="525"/>
      <c r="U93" s="557"/>
      <c r="V93" s="528"/>
      <c r="W93" s="557"/>
      <c r="X93" s="528"/>
      <c r="Y93" s="557"/>
      <c r="Z93" s="528"/>
      <c r="AA93" s="557"/>
      <c r="AB93" s="528"/>
      <c r="AC93" s="557"/>
      <c r="AD93" s="528"/>
      <c r="AE93" s="557"/>
      <c r="AF93" s="528"/>
      <c r="AG93" s="557"/>
      <c r="AH93" s="528"/>
      <c r="AI93" s="557"/>
      <c r="AJ93" s="525"/>
      <c r="AL93" s="525"/>
      <c r="AN93" s="525"/>
      <c r="AP93" s="525"/>
      <c r="AR93" s="525"/>
      <c r="AT93" s="525"/>
      <c r="AV93" s="525"/>
      <c r="AX93" s="525"/>
      <c r="AZ93" s="331"/>
      <c r="BB93" s="331"/>
      <c r="BD93" s="331"/>
      <c r="BF93" s="331"/>
      <c r="BH93" s="331"/>
      <c r="BJ93" s="331"/>
      <c r="BL93" s="331"/>
      <c r="BM93" s="329"/>
      <c r="BN93" s="331"/>
      <c r="BO93" s="329"/>
    </row>
    <row r="94" spans="1:67">
      <c r="A94" s="535">
        <v>1</v>
      </c>
      <c r="B94" s="351" t="s">
        <v>1044</v>
      </c>
      <c r="C94" s="448" t="s">
        <v>2270</v>
      </c>
      <c r="D94" s="540" t="s">
        <v>2471</v>
      </c>
      <c r="E94" s="449" t="s">
        <v>1531</v>
      </c>
      <c r="F94" s="559">
        <v>0</v>
      </c>
      <c r="G94" s="351">
        <f t="shared" ref="G94:G99" si="22">F94</f>
        <v>0</v>
      </c>
      <c r="Q94" s="350"/>
      <c r="R94" s="528"/>
      <c r="U94" s="350"/>
      <c r="V94" s="528"/>
      <c r="W94" s="350"/>
      <c r="X94" s="528"/>
      <c r="Y94" s="350"/>
      <c r="Z94" s="528"/>
      <c r="AA94" s="350"/>
      <c r="AB94" s="528"/>
      <c r="AC94" s="350"/>
      <c r="AD94" s="528"/>
      <c r="AE94" s="350"/>
      <c r="AF94" s="528"/>
      <c r="AG94" s="350"/>
      <c r="AH94" s="528"/>
      <c r="AI94" s="350"/>
      <c r="AQ94" s="329">
        <f>$G94</f>
        <v>0</v>
      </c>
    </row>
    <row r="95" spans="1:67">
      <c r="A95" s="535">
        <v>1</v>
      </c>
      <c r="B95" s="351" t="s">
        <v>1044</v>
      </c>
      <c r="C95" s="448" t="s">
        <v>2270</v>
      </c>
      <c r="D95" s="540" t="s">
        <v>2472</v>
      </c>
      <c r="E95" s="449" t="s">
        <v>1532</v>
      </c>
      <c r="F95" s="559">
        <v>1</v>
      </c>
      <c r="G95" s="351">
        <f t="shared" si="22"/>
        <v>1</v>
      </c>
      <c r="AR95" s="525">
        <f>$G95</f>
        <v>1</v>
      </c>
    </row>
    <row r="96" spans="1:67" ht="36">
      <c r="A96" s="535">
        <v>1</v>
      </c>
      <c r="B96" s="351" t="s">
        <v>1044</v>
      </c>
      <c r="C96" s="448" t="s">
        <v>2270</v>
      </c>
      <c r="D96" s="540" t="s">
        <v>2473</v>
      </c>
      <c r="E96" s="449" t="s">
        <v>1533</v>
      </c>
      <c r="F96" s="559">
        <v>0</v>
      </c>
      <c r="G96" s="351">
        <f t="shared" si="22"/>
        <v>0</v>
      </c>
      <c r="H96" s="329">
        <f>IF(G96=1,0.5,1)</f>
        <v>1</v>
      </c>
      <c r="J96" s="332" t="s">
        <v>1196</v>
      </c>
      <c r="K96" s="332">
        <f>(G105+G68+G21+H86)</f>
        <v>1.9</v>
      </c>
      <c r="L96" s="332">
        <f>IF(K96&gt;2,1.2,1)</f>
        <v>1</v>
      </c>
      <c r="M96" s="332"/>
      <c r="AH96" s="525">
        <f>$H$96</f>
        <v>1</v>
      </c>
      <c r="AS96" s="351"/>
    </row>
    <row r="97" spans="1:68">
      <c r="A97" s="535">
        <v>1</v>
      </c>
      <c r="B97" s="351" t="s">
        <v>1044</v>
      </c>
      <c r="C97" s="448" t="s">
        <v>2270</v>
      </c>
      <c r="D97" s="540" t="s">
        <v>2474</v>
      </c>
      <c r="E97" s="449" t="s">
        <v>1534</v>
      </c>
      <c r="F97" s="559">
        <v>0</v>
      </c>
      <c r="G97" s="351">
        <f t="shared" si="22"/>
        <v>0</v>
      </c>
      <c r="AG97" s="329">
        <f>$G97</f>
        <v>0</v>
      </c>
    </row>
    <row r="98" spans="1:68">
      <c r="A98" s="535">
        <v>1</v>
      </c>
      <c r="B98" s="351" t="s">
        <v>1044</v>
      </c>
      <c r="C98" s="448" t="s">
        <v>2271</v>
      </c>
      <c r="D98" s="540" t="s">
        <v>2475</v>
      </c>
      <c r="E98" s="449" t="s">
        <v>1535</v>
      </c>
      <c r="F98" s="559">
        <v>0</v>
      </c>
      <c r="G98" s="351">
        <f t="shared" si="22"/>
        <v>0</v>
      </c>
      <c r="H98" s="329">
        <f>IF(G98=1,1.1,0.8)</f>
        <v>0.8</v>
      </c>
      <c r="AF98" s="527">
        <f>$H98</f>
        <v>0.8</v>
      </c>
      <c r="AK98" s="527"/>
    </row>
    <row r="99" spans="1:68">
      <c r="A99" s="535">
        <v>1</v>
      </c>
      <c r="B99" s="351" t="s">
        <v>1044</v>
      </c>
      <c r="C99" s="448" t="s">
        <v>2272</v>
      </c>
      <c r="D99" s="540" t="s">
        <v>2476</v>
      </c>
      <c r="F99" s="559">
        <v>0</v>
      </c>
      <c r="G99" s="351">
        <f t="shared" si="22"/>
        <v>0</v>
      </c>
      <c r="H99" s="329">
        <f>IF(G99=1,1.2,0.8)</f>
        <v>0.8</v>
      </c>
      <c r="AH99" s="525">
        <f>$H$99</f>
        <v>0.8</v>
      </c>
    </row>
    <row r="100" spans="1:68">
      <c r="A100" s="535">
        <v>1</v>
      </c>
      <c r="B100" s="351" t="s">
        <v>1044</v>
      </c>
      <c r="C100" s="448" t="s">
        <v>2270</v>
      </c>
      <c r="D100" s="540" t="s">
        <v>2477</v>
      </c>
      <c r="F100" s="559">
        <v>0</v>
      </c>
      <c r="G100" s="331">
        <f>IF(F100=1,1.2,1)</f>
        <v>1</v>
      </c>
      <c r="H100" s="331">
        <f>IF(F100=1,0,1)</f>
        <v>1</v>
      </c>
      <c r="I100" s="329">
        <f>IF(F100=1,1,0)</f>
        <v>0</v>
      </c>
      <c r="BM100" s="347">
        <f>$I100</f>
        <v>0</v>
      </c>
    </row>
    <row r="101" spans="1:68">
      <c r="A101" s="535">
        <v>1</v>
      </c>
      <c r="B101" s="351" t="s">
        <v>1044</v>
      </c>
      <c r="C101" s="448" t="s">
        <v>2271</v>
      </c>
      <c r="D101" s="540" t="s">
        <v>2478</v>
      </c>
      <c r="E101" s="449" t="s">
        <v>1536</v>
      </c>
      <c r="F101" s="559">
        <v>0</v>
      </c>
      <c r="G101" s="331">
        <f>IF(F101=1,1,0)</f>
        <v>0</v>
      </c>
    </row>
    <row r="102" spans="1:68">
      <c r="A102" s="535">
        <v>1</v>
      </c>
      <c r="B102" s="351" t="s">
        <v>1044</v>
      </c>
      <c r="C102" s="448" t="s">
        <v>2270</v>
      </c>
      <c r="D102" s="540" t="s">
        <v>2509</v>
      </c>
      <c r="F102" s="559">
        <v>0</v>
      </c>
      <c r="G102" s="351">
        <f t="shared" ref="G102:G108" si="23">F102</f>
        <v>0</v>
      </c>
      <c r="AI102" s="329">
        <f>$G102</f>
        <v>0</v>
      </c>
    </row>
    <row r="103" spans="1:68" ht="36">
      <c r="A103" s="535">
        <v>1</v>
      </c>
      <c r="B103" s="351" t="s">
        <v>1044</v>
      </c>
      <c r="C103" s="448" t="s">
        <v>2270</v>
      </c>
      <c r="D103" s="540" t="s">
        <v>2508</v>
      </c>
      <c r="F103" s="559">
        <v>0</v>
      </c>
      <c r="G103" s="351">
        <f t="shared" si="23"/>
        <v>0</v>
      </c>
    </row>
    <row r="104" spans="1:68">
      <c r="A104" s="535">
        <v>1</v>
      </c>
      <c r="B104" s="351" t="s">
        <v>1044</v>
      </c>
      <c r="C104" s="448" t="s">
        <v>2270</v>
      </c>
      <c r="D104" s="540" t="s">
        <v>2507</v>
      </c>
      <c r="F104" s="559">
        <v>0</v>
      </c>
      <c r="G104" s="351">
        <f t="shared" si="23"/>
        <v>0</v>
      </c>
      <c r="AJ104" s="525">
        <f>$G104</f>
        <v>0</v>
      </c>
    </row>
    <row r="105" spans="1:68">
      <c r="A105" s="535">
        <v>1</v>
      </c>
      <c r="B105" s="351" t="s">
        <v>1044</v>
      </c>
      <c r="C105" s="448" t="s">
        <v>2270</v>
      </c>
      <c r="D105" s="540" t="s">
        <v>2506</v>
      </c>
      <c r="E105" s="449" t="s">
        <v>1537</v>
      </c>
      <c r="F105" s="559">
        <v>0</v>
      </c>
      <c r="G105" s="351">
        <f t="shared" si="23"/>
        <v>0</v>
      </c>
    </row>
    <row r="106" spans="1:68" s="330" customFormat="1">
      <c r="A106" s="535">
        <v>1</v>
      </c>
      <c r="B106" s="351" t="s">
        <v>1044</v>
      </c>
      <c r="C106" s="448" t="s">
        <v>2270</v>
      </c>
      <c r="D106" s="540" t="s">
        <v>2505</v>
      </c>
      <c r="E106" s="449"/>
      <c r="F106" s="559">
        <v>0</v>
      </c>
      <c r="G106" s="351">
        <f t="shared" si="23"/>
        <v>0</v>
      </c>
      <c r="H106" s="329"/>
      <c r="I106" s="329"/>
      <c r="J106" s="329"/>
      <c r="K106" s="329"/>
      <c r="N106" s="525"/>
      <c r="O106" s="329"/>
      <c r="P106" s="525"/>
      <c r="Q106" s="329"/>
      <c r="R106" s="525"/>
      <c r="S106" s="329"/>
      <c r="T106" s="525"/>
      <c r="U106" s="329"/>
      <c r="V106" s="525"/>
      <c r="W106" s="329"/>
      <c r="X106" s="525"/>
      <c r="Y106" s="329"/>
      <c r="Z106" s="525"/>
      <c r="AA106" s="329"/>
      <c r="AB106" s="525"/>
      <c r="AC106" s="329"/>
      <c r="AD106" s="525"/>
      <c r="AE106" s="329"/>
      <c r="AF106" s="525"/>
      <c r="AG106" s="329"/>
      <c r="AH106" s="525"/>
      <c r="AI106" s="329"/>
      <c r="AJ106" s="525"/>
      <c r="AK106" s="329"/>
      <c r="AL106" s="525"/>
      <c r="AM106" s="329"/>
      <c r="AN106" s="525"/>
      <c r="AO106" s="329"/>
      <c r="AP106" s="525"/>
      <c r="AQ106" s="329"/>
      <c r="AR106" s="525"/>
      <c r="AS106" s="329"/>
      <c r="AT106" s="525"/>
      <c r="AU106" s="329"/>
      <c r="AV106" s="525"/>
      <c r="AW106" s="329"/>
      <c r="AX106" s="525"/>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1045</v>
      </c>
      <c r="C107" s="448" t="s">
        <v>2273</v>
      </c>
      <c r="D107" s="549" t="s">
        <v>2504</v>
      </c>
      <c r="E107" s="449" t="s">
        <v>1538</v>
      </c>
      <c r="F107" s="559">
        <v>0</v>
      </c>
      <c r="G107" s="351">
        <f t="shared" si="23"/>
        <v>0</v>
      </c>
      <c r="H107" s="329"/>
      <c r="I107" s="329"/>
      <c r="J107" s="329"/>
      <c r="K107" s="329"/>
      <c r="N107" s="525"/>
      <c r="O107" s="329"/>
      <c r="P107" s="525"/>
      <c r="Q107" s="329"/>
      <c r="R107" s="525"/>
      <c r="S107" s="329"/>
      <c r="T107" s="525"/>
      <c r="U107" s="329"/>
      <c r="V107" s="525"/>
      <c r="W107" s="329"/>
      <c r="X107" s="525"/>
      <c r="Y107" s="329"/>
      <c r="Z107" s="525"/>
      <c r="AA107" s="329"/>
      <c r="AB107" s="525"/>
      <c r="AC107" s="329"/>
      <c r="AD107" s="525"/>
      <c r="AE107" s="329"/>
      <c r="AF107" s="525"/>
      <c r="AG107" s="329"/>
      <c r="AH107" s="525"/>
      <c r="AI107" s="329"/>
      <c r="AJ107" s="525"/>
      <c r="AK107" s="329"/>
      <c r="AL107" s="525"/>
      <c r="AM107" s="329"/>
      <c r="AN107" s="525"/>
      <c r="AO107" s="329"/>
      <c r="AP107" s="525"/>
      <c r="AQ107" s="329"/>
      <c r="AR107" s="525"/>
      <c r="AS107" s="329"/>
      <c r="AT107" s="525"/>
      <c r="AU107" s="329"/>
      <c r="AV107" s="525"/>
      <c r="AW107" s="329"/>
      <c r="AX107" s="525"/>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1045</v>
      </c>
      <c r="C108" s="448" t="s">
        <v>2273</v>
      </c>
      <c r="D108" s="549" t="s">
        <v>2503</v>
      </c>
      <c r="E108" s="449" t="s">
        <v>1538</v>
      </c>
      <c r="F108" s="559">
        <v>0</v>
      </c>
      <c r="G108" s="351">
        <f t="shared" si="23"/>
        <v>0</v>
      </c>
      <c r="H108" s="329">
        <f>IF(F108=1,1.2,0.9)</f>
        <v>0.9</v>
      </c>
      <c r="I108" s="329">
        <f>F108</f>
        <v>0</v>
      </c>
      <c r="J108" s="352" t="s">
        <v>2077</v>
      </c>
      <c r="K108" s="529">
        <f>G107+G108+G115</f>
        <v>0</v>
      </c>
      <c r="M108" s="352" t="s">
        <v>87</v>
      </c>
      <c r="N108" s="682"/>
      <c r="O108" s="682"/>
      <c r="P108" s="682"/>
      <c r="Q108" s="682"/>
      <c r="R108" s="682"/>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5"/>
      <c r="B109" s="550" t="s">
        <v>1045</v>
      </c>
      <c r="C109" s="448" t="s">
        <v>2274</v>
      </c>
      <c r="D109" s="551" t="s">
        <v>2502</v>
      </c>
      <c r="E109" s="449" t="s">
        <v>1539</v>
      </c>
      <c r="F109" s="559">
        <v>0</v>
      </c>
      <c r="G109" s="332">
        <f>IF($F$108=1,F109,0)</f>
        <v>0</v>
      </c>
      <c r="H109" s="329">
        <f>IF(G109=1,1.2,0.9)</f>
        <v>0.9</v>
      </c>
      <c r="I109" s="329">
        <f t="shared" ref="I109:I113" si="24">F109</f>
        <v>0</v>
      </c>
      <c r="J109" s="352" t="s">
        <v>1170</v>
      </c>
      <c r="K109" s="352">
        <f>G114</f>
        <v>0</v>
      </c>
      <c r="M109" s="352"/>
      <c r="N109" s="681"/>
      <c r="O109" s="681"/>
      <c r="P109" s="681"/>
      <c r="Q109" s="681"/>
      <c r="R109" s="681"/>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2.5</v>
      </c>
      <c r="BB109" s="352">
        <f>MAX(H110,H120)</f>
        <v>2.5</v>
      </c>
      <c r="BC109" s="352"/>
      <c r="BD109" s="352"/>
      <c r="BE109" s="352">
        <f>MAX(H112,H117)</f>
        <v>0.9</v>
      </c>
      <c r="BF109" s="352">
        <f>MAX(H112,H117)</f>
        <v>0.9</v>
      </c>
      <c r="BG109" s="352"/>
      <c r="BH109" s="352"/>
      <c r="BI109" s="352"/>
      <c r="BJ109" s="352">
        <f>MAX(H118,H111)</f>
        <v>0.9</v>
      </c>
      <c r="BK109" s="352">
        <f>MAX(H113,H119)</f>
        <v>0.9</v>
      </c>
      <c r="BL109" s="352">
        <f>MAX(H120,H110)</f>
        <v>2.5</v>
      </c>
      <c r="BM109" s="352">
        <f>H111</f>
        <v>0.9</v>
      </c>
      <c r="BN109" s="352"/>
      <c r="BO109" s="352"/>
      <c r="BP109" s="352"/>
    </row>
    <row r="110" spans="1:68">
      <c r="A110" s="525"/>
      <c r="B110" s="550" t="s">
        <v>1045</v>
      </c>
      <c r="C110" s="448" t="s">
        <v>2275</v>
      </c>
      <c r="D110" s="551" t="s">
        <v>2501</v>
      </c>
      <c r="E110" s="449" t="s">
        <v>1571</v>
      </c>
      <c r="F110" s="559">
        <v>0</v>
      </c>
      <c r="G110" s="332">
        <f>IF($F$108=1,F110,0)</f>
        <v>0</v>
      </c>
      <c r="H110" s="329">
        <f t="shared" ref="H110:H113" si="25">IF(G110=1,1.2,0.9)</f>
        <v>0.9</v>
      </c>
      <c r="I110" s="329">
        <f t="shared" si="24"/>
        <v>0</v>
      </c>
      <c r="J110" s="352" t="s">
        <v>2078</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6">$K$110</f>
        <v>0.9</v>
      </c>
      <c r="BB110" s="329">
        <f t="shared" si="26"/>
        <v>0.9</v>
      </c>
      <c r="BD110" s="329">
        <f t="shared" ref="BD110:BF110" si="27">$K$110</f>
        <v>0.9</v>
      </c>
      <c r="BE110" s="329">
        <f t="shared" si="27"/>
        <v>0.9</v>
      </c>
      <c r="BF110" s="329">
        <f t="shared" si="27"/>
        <v>0.9</v>
      </c>
      <c r="BH110" s="329">
        <f>$K$110</f>
        <v>0.9</v>
      </c>
      <c r="BJ110" s="329"/>
      <c r="BK110" s="329">
        <f>$K$110</f>
        <v>0.9</v>
      </c>
      <c r="BL110" s="329">
        <f t="shared" ref="BL110:BM110" si="28">$K$110</f>
        <v>0.9</v>
      </c>
      <c r="BM110" s="329">
        <f t="shared" si="28"/>
        <v>0.9</v>
      </c>
      <c r="BN110" s="329"/>
    </row>
    <row r="111" spans="1:68">
      <c r="A111" s="525"/>
      <c r="B111" s="550" t="s">
        <v>1045</v>
      </c>
      <c r="C111" s="448" t="s">
        <v>2275</v>
      </c>
      <c r="D111" s="551" t="s">
        <v>2500</v>
      </c>
      <c r="E111" s="449" t="s">
        <v>1572</v>
      </c>
      <c r="F111" s="559">
        <v>0</v>
      </c>
      <c r="G111" s="332">
        <f t="shared" ref="G111:G113" si="29">IF($F$108=1,F111,0)</f>
        <v>0</v>
      </c>
      <c r="H111" s="329">
        <f t="shared" si="25"/>
        <v>0.9</v>
      </c>
      <c r="I111" s="329">
        <f t="shared" si="24"/>
        <v>0</v>
      </c>
      <c r="N111" s="682"/>
      <c r="O111" s="682"/>
      <c r="P111" s="682"/>
      <c r="Q111" s="682"/>
      <c r="R111" s="682"/>
      <c r="S111" s="682"/>
      <c r="T111" s="682"/>
      <c r="U111" s="682"/>
      <c r="V111" s="682"/>
      <c r="W111" s="682"/>
      <c r="X111" s="682"/>
      <c r="Y111" s="682"/>
      <c r="Z111" s="682"/>
      <c r="AA111" s="682"/>
      <c r="AB111" s="682"/>
      <c r="AC111" s="682"/>
      <c r="AD111" s="681"/>
      <c r="AE111" s="681"/>
      <c r="AF111" s="681"/>
      <c r="AG111" s="681"/>
      <c r="AH111" s="681"/>
      <c r="AI111" s="681"/>
      <c r="AJ111" s="681"/>
      <c r="AK111" s="681"/>
      <c r="AL111" s="681"/>
      <c r="AM111" s="681"/>
      <c r="AN111" s="681"/>
      <c r="AO111" s="681"/>
      <c r="AP111" s="681"/>
      <c r="AQ111" s="681"/>
      <c r="AR111" s="681"/>
      <c r="AS111" s="681"/>
      <c r="AT111" s="681"/>
      <c r="AU111" s="681"/>
      <c r="AV111" s="681"/>
      <c r="AW111" s="681"/>
      <c r="AX111" s="681"/>
      <c r="AY111" s="681"/>
      <c r="AZ111" s="681"/>
      <c r="BA111" s="681"/>
      <c r="BB111" s="681"/>
      <c r="BC111" s="681"/>
      <c r="BD111" s="681"/>
      <c r="BE111" s="681"/>
      <c r="BF111" s="681"/>
      <c r="BG111" s="681"/>
      <c r="BH111" s="681"/>
      <c r="BI111" s="681"/>
      <c r="BJ111" s="681"/>
      <c r="BK111" s="681"/>
      <c r="BL111" s="681"/>
      <c r="BM111" s="681"/>
      <c r="BN111" s="681"/>
      <c r="BO111" s="681"/>
      <c r="BP111" s="681"/>
    </row>
    <row r="112" spans="1:68">
      <c r="A112" s="525"/>
      <c r="B112" s="550" t="s">
        <v>1045</v>
      </c>
      <c r="C112" s="448" t="s">
        <v>2275</v>
      </c>
      <c r="D112" s="551" t="s">
        <v>2499</v>
      </c>
      <c r="E112" s="449" t="s">
        <v>1540</v>
      </c>
      <c r="F112" s="559">
        <v>0</v>
      </c>
      <c r="G112" s="332">
        <f t="shared" si="29"/>
        <v>0</v>
      </c>
      <c r="H112" s="329">
        <f t="shared" si="25"/>
        <v>0.9</v>
      </c>
      <c r="I112" s="329">
        <f t="shared" si="24"/>
        <v>0</v>
      </c>
      <c r="N112" s="681"/>
      <c r="O112" s="681"/>
      <c r="P112" s="681"/>
      <c r="Q112" s="681"/>
      <c r="R112" s="681"/>
      <c r="S112" s="681"/>
      <c r="T112" s="681"/>
      <c r="U112" s="681"/>
      <c r="V112" s="681"/>
      <c r="W112" s="681"/>
      <c r="X112" s="681"/>
      <c r="Y112" s="681"/>
      <c r="Z112" s="681"/>
      <c r="AA112" s="681"/>
      <c r="AB112" s="681"/>
      <c r="AC112" s="681"/>
      <c r="AD112" s="681"/>
      <c r="AE112" s="681"/>
      <c r="AF112" s="681"/>
      <c r="AG112" s="681"/>
      <c r="AH112" s="681"/>
      <c r="AI112" s="681"/>
      <c r="AJ112" s="681"/>
      <c r="AK112" s="681"/>
      <c r="AL112" s="681"/>
      <c r="AM112" s="681"/>
      <c r="AN112" s="681"/>
      <c r="AO112" s="681"/>
      <c r="AP112" s="681"/>
      <c r="AQ112" s="681"/>
      <c r="AR112" s="681"/>
      <c r="AS112" s="681"/>
      <c r="AT112" s="681"/>
      <c r="AU112" s="681"/>
      <c r="AV112" s="681"/>
      <c r="AW112" s="681"/>
      <c r="AX112" s="681"/>
      <c r="AY112" s="681"/>
      <c r="AZ112" s="681"/>
      <c r="BA112" s="681"/>
      <c r="BB112" s="681"/>
      <c r="BC112" s="681"/>
      <c r="BD112" s="681"/>
      <c r="BE112" s="681"/>
      <c r="BF112" s="681"/>
      <c r="BG112" s="681"/>
      <c r="BH112" s="681"/>
      <c r="BI112" s="681"/>
      <c r="BJ112" s="681"/>
      <c r="BK112" s="681"/>
      <c r="BL112" s="681"/>
      <c r="BM112" s="681"/>
      <c r="BN112" s="681"/>
      <c r="BO112" s="681"/>
      <c r="BP112" s="681"/>
    </row>
    <row r="113" spans="1:68">
      <c r="B113" s="550" t="s">
        <v>1045</v>
      </c>
      <c r="C113" s="448" t="s">
        <v>2275</v>
      </c>
      <c r="D113" s="551" t="s">
        <v>2498</v>
      </c>
      <c r="F113" s="559">
        <v>0</v>
      </c>
      <c r="G113" s="332">
        <f t="shared" si="29"/>
        <v>0</v>
      </c>
      <c r="H113" s="329">
        <f t="shared" si="25"/>
        <v>0.9</v>
      </c>
      <c r="I113" s="329">
        <f t="shared" si="24"/>
        <v>0</v>
      </c>
      <c r="N113" s="681"/>
      <c r="O113" s="681"/>
      <c r="P113" s="681"/>
      <c r="Q113" s="681"/>
      <c r="R113" s="681"/>
      <c r="S113" s="681"/>
      <c r="T113" s="681"/>
      <c r="U113" s="681"/>
      <c r="V113" s="681"/>
      <c r="W113" s="681"/>
      <c r="X113" s="681"/>
      <c r="Y113" s="681"/>
      <c r="Z113" s="681"/>
      <c r="AA113" s="681"/>
      <c r="AB113" s="681"/>
      <c r="AC113" s="681"/>
      <c r="AD113" s="681"/>
      <c r="AE113" s="681"/>
      <c r="AF113" s="681"/>
      <c r="AG113" s="681"/>
      <c r="AH113" s="681"/>
      <c r="AI113" s="681"/>
      <c r="AJ113" s="681"/>
      <c r="AK113" s="681"/>
      <c r="AL113" s="681"/>
      <c r="AM113" s="681"/>
      <c r="AN113" s="681"/>
      <c r="AO113" s="681"/>
      <c r="AP113" s="681"/>
      <c r="AQ113" s="681"/>
      <c r="AR113" s="681"/>
      <c r="AS113" s="681"/>
      <c r="AT113" s="681"/>
      <c r="AU113" s="681"/>
      <c r="AV113" s="681"/>
      <c r="AW113" s="681"/>
      <c r="AX113" s="681"/>
      <c r="AY113" s="681"/>
      <c r="AZ113" s="681"/>
      <c r="BA113" s="681"/>
      <c r="BB113" s="681"/>
      <c r="BC113" s="681"/>
      <c r="BD113" s="681"/>
      <c r="BE113" s="681"/>
      <c r="BF113" s="681"/>
      <c r="BG113" s="681"/>
      <c r="BH113" s="681"/>
      <c r="BI113" s="681"/>
      <c r="BJ113" s="681"/>
      <c r="BK113" s="681"/>
      <c r="BL113" s="681"/>
      <c r="BM113" s="681"/>
      <c r="BN113" s="681"/>
      <c r="BO113" s="681"/>
      <c r="BP113" s="681"/>
    </row>
    <row r="114" spans="1:68">
      <c r="B114" s="550" t="s">
        <v>1045</v>
      </c>
      <c r="D114" s="549" t="s">
        <v>2497</v>
      </c>
      <c r="E114" s="449" t="s">
        <v>1570</v>
      </c>
      <c r="F114" s="324">
        <v>0</v>
      </c>
      <c r="G114" s="329">
        <f>IF(F114=2,2,F114)</f>
        <v>0</v>
      </c>
      <c r="H114" s="329">
        <f>IF(G114=0,0.8,1)</f>
        <v>0.8</v>
      </c>
      <c r="N114" s="681"/>
      <c r="O114" s="681"/>
      <c r="P114" s="681"/>
      <c r="Q114" s="681"/>
      <c r="R114" s="681"/>
      <c r="S114" s="681"/>
      <c r="T114" s="681"/>
      <c r="U114" s="681"/>
      <c r="V114" s="681"/>
      <c r="W114" s="681"/>
      <c r="X114" s="681"/>
      <c r="Y114" s="681"/>
      <c r="Z114" s="681"/>
      <c r="AA114" s="681"/>
      <c r="AB114" s="681"/>
      <c r="AC114" s="681"/>
      <c r="AD114" s="681"/>
      <c r="AE114" s="681"/>
      <c r="AF114" s="681"/>
      <c r="AG114" s="681"/>
      <c r="AH114" s="681"/>
      <c r="AI114" s="681"/>
      <c r="AJ114" s="681"/>
      <c r="AK114" s="681"/>
      <c r="AL114" s="681"/>
      <c r="AM114" s="681"/>
      <c r="AN114" s="681"/>
      <c r="AO114" s="681"/>
      <c r="AP114" s="681"/>
      <c r="AQ114" s="681"/>
      <c r="AR114" s="681"/>
      <c r="AS114" s="681"/>
      <c r="AT114" s="681"/>
      <c r="AU114" s="681"/>
      <c r="AV114" s="681"/>
      <c r="AW114" s="681"/>
      <c r="AX114" s="681"/>
      <c r="AY114" s="681"/>
      <c r="AZ114" s="681"/>
      <c r="BA114" s="681"/>
      <c r="BB114" s="681"/>
      <c r="BC114" s="681"/>
      <c r="BD114" s="681"/>
      <c r="BE114" s="681"/>
      <c r="BF114" s="681"/>
      <c r="BG114" s="681"/>
      <c r="BH114" s="681"/>
      <c r="BI114" s="681"/>
      <c r="BJ114" s="681"/>
      <c r="BK114" s="681"/>
      <c r="BL114" s="681"/>
      <c r="BM114" s="681"/>
      <c r="BN114" s="681"/>
      <c r="BO114" s="681"/>
      <c r="BP114" s="681"/>
    </row>
    <row r="115" spans="1:68">
      <c r="B115" s="550" t="s">
        <v>1045</v>
      </c>
      <c r="C115" s="448" t="s">
        <v>2273</v>
      </c>
      <c r="D115" s="549" t="s">
        <v>2496</v>
      </c>
      <c r="F115" s="324">
        <v>0</v>
      </c>
      <c r="G115" s="329">
        <f>IF(F115=2,2,F115)</f>
        <v>0</v>
      </c>
      <c r="H115" s="329">
        <f>IF(G115=0,0.9,G115)</f>
        <v>0.9</v>
      </c>
      <c r="N115" s="681"/>
      <c r="O115" s="681"/>
      <c r="P115" s="681"/>
      <c r="Q115" s="681"/>
      <c r="R115" s="681"/>
      <c r="S115" s="681"/>
      <c r="T115" s="681"/>
      <c r="U115" s="681"/>
      <c r="V115" s="681"/>
      <c r="W115" s="681"/>
      <c r="X115" s="681"/>
      <c r="Y115" s="681"/>
      <c r="Z115" s="681"/>
      <c r="AA115" s="681"/>
      <c r="AB115" s="681"/>
      <c r="AC115" s="681"/>
      <c r="AD115" s="681"/>
      <c r="AE115" s="681"/>
      <c r="AF115" s="681"/>
      <c r="AG115" s="681"/>
      <c r="AH115" s="681"/>
      <c r="AI115" s="681"/>
      <c r="AJ115" s="681"/>
      <c r="AK115" s="681"/>
      <c r="AL115" s="681"/>
      <c r="AM115" s="681"/>
      <c r="AN115" s="681"/>
      <c r="AO115" s="681"/>
      <c r="AP115" s="681"/>
      <c r="AQ115" s="681"/>
      <c r="AR115" s="681"/>
      <c r="AS115" s="681"/>
      <c r="AT115" s="681"/>
      <c r="AU115" s="681"/>
      <c r="AV115" s="681"/>
      <c r="AW115" s="681"/>
      <c r="AX115" s="681"/>
      <c r="AY115" s="681"/>
      <c r="AZ115" s="681"/>
      <c r="BA115" s="681"/>
      <c r="BB115" s="681"/>
      <c r="BC115" s="681"/>
      <c r="BD115" s="681"/>
      <c r="BE115" s="681"/>
      <c r="BF115" s="681"/>
      <c r="BG115" s="681"/>
      <c r="BH115" s="681"/>
      <c r="BI115" s="681"/>
      <c r="BJ115" s="681"/>
      <c r="BK115" s="681"/>
      <c r="BL115" s="681"/>
      <c r="BM115" s="681"/>
      <c r="BN115" s="681"/>
      <c r="BO115" s="681"/>
      <c r="BP115" s="681"/>
    </row>
    <row r="116" spans="1:68">
      <c r="A116" s="525"/>
      <c r="B116" s="550" t="s">
        <v>1045</v>
      </c>
      <c r="C116" s="448" t="s">
        <v>2276</v>
      </c>
      <c r="D116" s="551" t="s">
        <v>2495</v>
      </c>
      <c r="E116" s="449" t="s">
        <v>1517</v>
      </c>
      <c r="F116" s="324">
        <v>0</v>
      </c>
      <c r="H116" s="329">
        <f>IF(F116=0,0.9,IF(F116=1,1.2,2.5))</f>
        <v>0.9</v>
      </c>
      <c r="I116" s="329">
        <f>IF(F116=0,0,1)</f>
        <v>0</v>
      </c>
      <c r="J116" s="337"/>
      <c r="K116" s="337"/>
      <c r="N116" s="681"/>
      <c r="O116" s="681"/>
      <c r="P116" s="681"/>
      <c r="Q116" s="681"/>
      <c r="R116" s="681"/>
      <c r="S116" s="681"/>
      <c r="T116" s="681"/>
      <c r="U116" s="681"/>
      <c r="V116" s="681"/>
      <c r="W116" s="681"/>
      <c r="X116" s="681"/>
      <c r="Y116" s="681"/>
      <c r="Z116" s="681"/>
      <c r="AA116" s="681"/>
      <c r="AB116" s="681"/>
      <c r="AC116" s="681"/>
      <c r="AD116" s="681"/>
      <c r="AE116" s="681"/>
      <c r="AF116" s="681"/>
      <c r="AG116" s="681"/>
      <c r="AH116" s="681"/>
      <c r="AI116" s="681"/>
      <c r="AJ116" s="681"/>
      <c r="AK116" s="681"/>
      <c r="AL116" s="681"/>
      <c r="AM116" s="681"/>
      <c r="AN116" s="681"/>
      <c r="AO116" s="681"/>
      <c r="AP116" s="681"/>
      <c r="AQ116" s="681"/>
      <c r="AR116" s="681"/>
      <c r="AS116" s="681"/>
      <c r="AT116" s="681"/>
      <c r="AU116" s="681"/>
      <c r="AV116" s="681"/>
      <c r="AW116" s="681"/>
      <c r="AX116" s="681"/>
      <c r="AY116" s="681"/>
      <c r="AZ116" s="681"/>
      <c r="BA116" s="681"/>
      <c r="BB116" s="681"/>
      <c r="BC116" s="681"/>
      <c r="BD116" s="681"/>
      <c r="BE116" s="681"/>
      <c r="BF116" s="681"/>
      <c r="BG116" s="681"/>
      <c r="BH116" s="681"/>
      <c r="BI116" s="681"/>
      <c r="BJ116" s="681"/>
      <c r="BK116" s="681"/>
      <c r="BL116" s="681"/>
      <c r="BM116" s="681"/>
      <c r="BN116" s="681"/>
      <c r="BO116" s="681"/>
      <c r="BP116" s="681"/>
    </row>
    <row r="117" spans="1:68" ht="36">
      <c r="A117" s="525"/>
      <c r="B117" s="550" t="s">
        <v>1045</v>
      </c>
      <c r="C117" s="448" t="s">
        <v>2276</v>
      </c>
      <c r="D117" s="551" t="s">
        <v>2494</v>
      </c>
      <c r="E117" s="449" t="s">
        <v>1541</v>
      </c>
      <c r="F117" s="324">
        <v>0</v>
      </c>
      <c r="H117" s="329">
        <f t="shared" ref="H117:H120" si="30">IF(F117=0,0.9,IF(F117=1,1.2,2.5))</f>
        <v>0.9</v>
      </c>
      <c r="I117" s="329">
        <f t="shared" ref="I117:I120" si="31">IF(F117=0,0,1)</f>
        <v>0</v>
      </c>
      <c r="N117" s="681"/>
      <c r="O117" s="681"/>
      <c r="P117" s="681"/>
      <c r="Q117" s="681"/>
      <c r="R117" s="681"/>
      <c r="S117" s="681"/>
      <c r="T117" s="681"/>
      <c r="U117" s="681"/>
      <c r="V117" s="681"/>
      <c r="W117" s="681"/>
      <c r="X117" s="681"/>
      <c r="Y117" s="681"/>
      <c r="Z117" s="681"/>
      <c r="AA117" s="681"/>
      <c r="AB117" s="681"/>
      <c r="AC117" s="681"/>
      <c r="AD117" s="681"/>
      <c r="AE117" s="681"/>
      <c r="AF117" s="681"/>
      <c r="AG117" s="681"/>
      <c r="AH117" s="681"/>
      <c r="AI117" s="681"/>
      <c r="AJ117" s="681"/>
      <c r="AK117" s="681"/>
      <c r="AL117" s="681"/>
      <c r="AM117" s="681"/>
      <c r="AN117" s="681"/>
      <c r="AO117" s="681"/>
      <c r="AP117" s="681"/>
      <c r="AQ117" s="681"/>
      <c r="AR117" s="681"/>
      <c r="AS117" s="681"/>
      <c r="AT117" s="681"/>
      <c r="AU117" s="681"/>
      <c r="AV117" s="681"/>
      <c r="AW117" s="681"/>
      <c r="AX117" s="681"/>
      <c r="AY117" s="681"/>
      <c r="AZ117" s="681"/>
      <c r="BA117" s="681"/>
      <c r="BB117" s="681"/>
      <c r="BC117" s="681"/>
      <c r="BD117" s="681"/>
      <c r="BE117" s="681"/>
      <c r="BF117" s="681"/>
      <c r="BG117" s="681"/>
      <c r="BH117" s="681"/>
      <c r="BI117" s="681"/>
      <c r="BJ117" s="681"/>
      <c r="BK117" s="681"/>
      <c r="BL117" s="681"/>
      <c r="BM117" s="681"/>
      <c r="BN117" s="681"/>
      <c r="BO117" s="681"/>
      <c r="BP117" s="681"/>
    </row>
    <row r="118" spans="1:68">
      <c r="A118" s="525"/>
      <c r="B118" s="550" t="s">
        <v>1045</v>
      </c>
      <c r="C118" s="448" t="s">
        <v>2276</v>
      </c>
      <c r="D118" s="551" t="s">
        <v>2493</v>
      </c>
      <c r="E118" s="449" t="s">
        <v>1542</v>
      </c>
      <c r="F118" s="324">
        <v>0</v>
      </c>
      <c r="H118" s="329">
        <f t="shared" si="30"/>
        <v>0.9</v>
      </c>
      <c r="I118" s="329">
        <f t="shared" si="31"/>
        <v>0</v>
      </c>
      <c r="N118" s="681"/>
      <c r="O118" s="681"/>
      <c r="P118" s="681"/>
      <c r="Q118" s="681"/>
      <c r="R118" s="681"/>
      <c r="S118" s="681"/>
      <c r="T118" s="681"/>
      <c r="U118" s="681"/>
      <c r="V118" s="681"/>
      <c r="W118" s="681"/>
      <c r="X118" s="681"/>
      <c r="Y118" s="681"/>
      <c r="Z118" s="681"/>
      <c r="AA118" s="681"/>
      <c r="AB118" s="681"/>
      <c r="AC118" s="681"/>
      <c r="AD118" s="681"/>
      <c r="AE118" s="681"/>
      <c r="AF118" s="681"/>
      <c r="AG118" s="681"/>
      <c r="AH118" s="681"/>
      <c r="AI118" s="681"/>
      <c r="AJ118" s="681"/>
      <c r="AK118" s="681"/>
      <c r="AL118" s="681"/>
      <c r="AM118" s="681"/>
      <c r="AN118" s="681"/>
      <c r="AO118" s="681"/>
      <c r="AP118" s="681"/>
      <c r="AQ118" s="681"/>
      <c r="AR118" s="681"/>
      <c r="AS118" s="681"/>
      <c r="AT118" s="681"/>
      <c r="AU118" s="681"/>
      <c r="AV118" s="681"/>
      <c r="AW118" s="681"/>
      <c r="AX118" s="681"/>
      <c r="AY118" s="681"/>
      <c r="AZ118" s="681"/>
      <c r="BA118" s="681"/>
      <c r="BB118" s="681"/>
      <c r="BC118" s="681"/>
      <c r="BD118" s="681"/>
      <c r="BE118" s="681"/>
      <c r="BF118" s="681"/>
      <c r="BG118" s="681"/>
      <c r="BH118" s="681"/>
      <c r="BI118" s="681"/>
      <c r="BJ118" s="681"/>
      <c r="BK118" s="681"/>
      <c r="BL118" s="681"/>
      <c r="BM118" s="681"/>
      <c r="BN118" s="681"/>
      <c r="BO118" s="681"/>
      <c r="BP118" s="681"/>
    </row>
    <row r="119" spans="1:68">
      <c r="B119" s="550" t="s">
        <v>1045</v>
      </c>
      <c r="C119" s="448" t="s">
        <v>2276</v>
      </c>
      <c r="D119" s="551" t="s">
        <v>2492</v>
      </c>
      <c r="F119" s="324">
        <v>0</v>
      </c>
      <c r="H119" s="329">
        <f t="shared" si="30"/>
        <v>0.9</v>
      </c>
      <c r="I119" s="329">
        <f t="shared" si="31"/>
        <v>0</v>
      </c>
      <c r="N119" s="681"/>
      <c r="O119" s="681"/>
      <c r="P119" s="681"/>
      <c r="Q119" s="681"/>
      <c r="R119" s="681"/>
      <c r="S119" s="681"/>
      <c r="T119" s="681"/>
      <c r="U119" s="681"/>
      <c r="V119" s="681"/>
      <c r="W119" s="681"/>
      <c r="X119" s="681"/>
      <c r="Y119" s="681"/>
      <c r="Z119" s="681"/>
      <c r="AA119" s="681"/>
      <c r="AB119" s="681"/>
      <c r="AC119" s="681"/>
      <c r="AD119" s="681"/>
      <c r="AE119" s="681"/>
      <c r="AF119" s="681"/>
      <c r="AG119" s="681"/>
      <c r="AH119" s="681"/>
      <c r="AI119" s="681"/>
      <c r="AJ119" s="681"/>
      <c r="AK119" s="681"/>
      <c r="AL119" s="681"/>
      <c r="AM119" s="681"/>
      <c r="AN119" s="681"/>
      <c r="AO119" s="681"/>
      <c r="AP119" s="681"/>
      <c r="AQ119" s="681"/>
      <c r="AR119" s="681"/>
      <c r="AS119" s="681"/>
      <c r="AT119" s="681"/>
      <c r="AU119" s="681"/>
      <c r="AV119" s="681"/>
      <c r="AW119" s="681"/>
      <c r="AX119" s="681"/>
      <c r="AY119" s="681"/>
      <c r="AZ119" s="681"/>
      <c r="BA119" s="681"/>
      <c r="BB119" s="681"/>
      <c r="BC119" s="681"/>
      <c r="BD119" s="681"/>
      <c r="BE119" s="681"/>
      <c r="BF119" s="681"/>
      <c r="BG119" s="681"/>
      <c r="BH119" s="681"/>
      <c r="BI119" s="681"/>
      <c r="BJ119" s="681"/>
      <c r="BK119" s="681"/>
      <c r="BL119" s="681"/>
      <c r="BM119" s="681"/>
      <c r="BN119" s="681"/>
      <c r="BO119" s="681"/>
      <c r="BP119" s="681"/>
    </row>
    <row r="120" spans="1:68">
      <c r="A120" s="525"/>
      <c r="B120" s="550" t="s">
        <v>1045</v>
      </c>
      <c r="C120" s="448" t="s">
        <v>2276</v>
      </c>
      <c r="D120" s="551" t="s">
        <v>2491</v>
      </c>
      <c r="E120" s="449" t="s">
        <v>1543</v>
      </c>
      <c r="F120" s="324">
        <v>2</v>
      </c>
      <c r="H120" s="329">
        <f t="shared" si="30"/>
        <v>2.5</v>
      </c>
      <c r="I120" s="329">
        <f t="shared" si="31"/>
        <v>1</v>
      </c>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681"/>
      <c r="AL120" s="681"/>
      <c r="AM120" s="681"/>
      <c r="AN120" s="681"/>
      <c r="AO120" s="681"/>
      <c r="AP120" s="681"/>
      <c r="AQ120" s="681"/>
      <c r="AR120" s="681"/>
      <c r="AS120" s="681"/>
      <c r="AT120" s="681"/>
      <c r="AU120" s="681"/>
      <c r="AV120" s="681"/>
      <c r="AW120" s="681"/>
      <c r="AX120" s="681"/>
      <c r="AY120" s="681"/>
      <c r="AZ120" s="681"/>
      <c r="BA120" s="681"/>
      <c r="BB120" s="681"/>
      <c r="BC120" s="681"/>
      <c r="BD120" s="681"/>
      <c r="BE120" s="681"/>
      <c r="BF120" s="681"/>
      <c r="BG120" s="681"/>
      <c r="BH120" s="681"/>
      <c r="BI120" s="681"/>
      <c r="BJ120" s="681"/>
      <c r="BK120" s="681"/>
      <c r="BL120" s="681"/>
      <c r="BM120" s="681"/>
      <c r="BN120" s="681"/>
      <c r="BO120" s="681"/>
      <c r="BP120" s="681"/>
    </row>
    <row r="121" spans="1:68" ht="36">
      <c r="A121" s="535"/>
      <c r="B121" s="550" t="s">
        <v>1045</v>
      </c>
      <c r="D121" s="549" t="s">
        <v>2490</v>
      </c>
      <c r="E121" s="449" t="s">
        <v>1544</v>
      </c>
      <c r="F121" s="322">
        <v>0</v>
      </c>
      <c r="H121" s="329">
        <f>IF(F121=1,1.2,0.9)</f>
        <v>0.9</v>
      </c>
      <c r="I121" s="329">
        <f>IF(F121=0,0,1)</f>
        <v>0</v>
      </c>
      <c r="N121" s="681"/>
      <c r="O121" s="681"/>
      <c r="P121" s="681"/>
      <c r="Q121" s="681"/>
      <c r="R121" s="681"/>
      <c r="S121" s="681"/>
      <c r="T121" s="681"/>
      <c r="U121" s="681"/>
      <c r="V121" s="681"/>
      <c r="W121" s="681"/>
      <c r="X121" s="681"/>
      <c r="Y121" s="681"/>
      <c r="Z121" s="681"/>
      <c r="AA121" s="681"/>
      <c r="AB121" s="681"/>
      <c r="AC121" s="681"/>
      <c r="AD121" s="681"/>
      <c r="AE121" s="681"/>
      <c r="AF121" s="681"/>
      <c r="AG121" s="681"/>
      <c r="AH121" s="681"/>
      <c r="AI121" s="681"/>
      <c r="AJ121" s="681"/>
      <c r="AK121" s="681"/>
      <c r="AL121" s="681"/>
      <c r="AM121" s="681"/>
      <c r="AN121" s="681"/>
      <c r="AO121" s="681"/>
      <c r="AP121" s="681"/>
      <c r="AQ121" s="681"/>
      <c r="AR121" s="681"/>
      <c r="AS121" s="681"/>
      <c r="AT121" s="681"/>
      <c r="AU121" s="681"/>
      <c r="AV121" s="681"/>
      <c r="AW121" s="681"/>
      <c r="AX121" s="681"/>
      <c r="AY121" s="681"/>
      <c r="AZ121" s="681"/>
      <c r="BA121" s="681"/>
      <c r="BB121" s="681"/>
      <c r="BC121" s="681"/>
      <c r="BD121" s="681"/>
      <c r="BE121" s="681"/>
      <c r="BF121" s="681"/>
      <c r="BG121" s="681"/>
      <c r="BH121" s="681"/>
      <c r="BI121" s="681"/>
      <c r="BJ121" s="681"/>
      <c r="BK121" s="681"/>
      <c r="BL121" s="681"/>
      <c r="BM121" s="681"/>
      <c r="BN121" s="681"/>
      <c r="BO121" s="681"/>
      <c r="BP121" s="681"/>
    </row>
    <row r="122" spans="1:68" ht="36">
      <c r="A122" s="535"/>
      <c r="B122" s="550" t="s">
        <v>1045</v>
      </c>
      <c r="D122" s="549" t="s">
        <v>2489</v>
      </c>
      <c r="E122" s="449" t="s">
        <v>1545</v>
      </c>
      <c r="F122" s="322">
        <v>0</v>
      </c>
      <c r="G122" s="332">
        <f>IF($F$121=1,F122,0)</f>
        <v>0</v>
      </c>
      <c r="H122" s="329">
        <f>IF(G122=1,1.2,0.9)</f>
        <v>0.9</v>
      </c>
      <c r="I122" s="329">
        <f t="shared" ref="I122:I131" si="32">IF(F122=0,0,1)</f>
        <v>0</v>
      </c>
      <c r="N122" s="681"/>
      <c r="O122" s="681"/>
      <c r="P122" s="681"/>
      <c r="Q122" s="681"/>
      <c r="R122" s="681"/>
      <c r="S122" s="681"/>
      <c r="T122" s="681"/>
      <c r="U122" s="681"/>
      <c r="V122" s="681"/>
      <c r="W122" s="681"/>
      <c r="X122" s="681"/>
      <c r="Y122" s="681"/>
      <c r="Z122" s="681"/>
      <c r="AA122" s="681"/>
      <c r="AB122" s="681"/>
      <c r="AC122" s="681"/>
      <c r="AD122" s="681"/>
      <c r="AE122" s="681"/>
      <c r="AF122" s="681"/>
      <c r="AG122" s="681"/>
      <c r="AH122" s="681"/>
      <c r="AI122" s="681"/>
      <c r="AJ122" s="681"/>
      <c r="AK122" s="681"/>
      <c r="AL122" s="681"/>
      <c r="AM122" s="681"/>
      <c r="AN122" s="681"/>
      <c r="AO122" s="681"/>
      <c r="AP122" s="681"/>
      <c r="AQ122" s="681"/>
      <c r="AR122" s="681"/>
      <c r="AS122" s="681"/>
      <c r="AT122" s="681"/>
      <c r="AU122" s="681"/>
      <c r="AV122" s="681"/>
      <c r="AW122" s="681"/>
      <c r="AX122" s="681"/>
      <c r="AY122" s="681"/>
      <c r="AZ122" s="681"/>
      <c r="BA122" s="681"/>
      <c r="BB122" s="681"/>
      <c r="BC122" s="681"/>
      <c r="BD122" s="681"/>
      <c r="BE122" s="681"/>
      <c r="BF122" s="681"/>
      <c r="BG122" s="681"/>
      <c r="BH122" s="681"/>
      <c r="BI122" s="681"/>
      <c r="BJ122" s="681"/>
      <c r="BK122" s="681"/>
      <c r="BL122" s="681"/>
      <c r="BM122" s="681"/>
      <c r="BN122" s="681"/>
      <c r="BO122" s="681"/>
      <c r="BP122" s="681"/>
    </row>
    <row r="123" spans="1:68" ht="36">
      <c r="B123" s="550" t="s">
        <v>1045</v>
      </c>
      <c r="D123" s="549" t="s">
        <v>2488</v>
      </c>
      <c r="F123" s="322">
        <v>0</v>
      </c>
      <c r="G123" s="332">
        <f t="shared" ref="G123:G131" si="33">IF($F$121=1,F123,0)</f>
        <v>0</v>
      </c>
      <c r="H123" s="329">
        <f t="shared" ref="H123:H131" si="34">IF(G123=1,1.2,0.9)</f>
        <v>0.9</v>
      </c>
      <c r="I123" s="329">
        <f t="shared" si="32"/>
        <v>0</v>
      </c>
      <c r="N123" s="681"/>
      <c r="O123" s="681"/>
      <c r="P123" s="681"/>
      <c r="Q123" s="681"/>
      <c r="R123" s="681"/>
      <c r="S123" s="681"/>
      <c r="T123" s="681"/>
      <c r="U123" s="681"/>
      <c r="V123" s="681"/>
      <c r="W123" s="681"/>
      <c r="X123" s="681"/>
      <c r="Y123" s="681"/>
      <c r="Z123" s="681"/>
      <c r="AA123" s="681"/>
      <c r="AB123" s="681"/>
      <c r="AC123" s="681"/>
      <c r="AD123" s="681"/>
      <c r="AE123" s="681"/>
      <c r="AF123" s="681"/>
      <c r="AG123" s="681"/>
      <c r="AH123" s="681"/>
      <c r="AI123" s="681"/>
      <c r="AJ123" s="681"/>
      <c r="AK123" s="681"/>
      <c r="AL123" s="681"/>
      <c r="AM123" s="681"/>
      <c r="AN123" s="681"/>
      <c r="AO123" s="681"/>
      <c r="AP123" s="681"/>
      <c r="AQ123" s="681"/>
      <c r="AR123" s="681"/>
      <c r="AS123" s="681"/>
      <c r="AT123" s="681"/>
      <c r="AU123" s="681"/>
      <c r="AV123" s="681"/>
      <c r="AW123" s="681"/>
      <c r="AX123" s="681"/>
      <c r="AY123" s="681"/>
      <c r="AZ123" s="681"/>
      <c r="BA123" s="681"/>
      <c r="BB123" s="681"/>
      <c r="BC123" s="681"/>
      <c r="BD123" s="681"/>
      <c r="BE123" s="681"/>
      <c r="BF123" s="681"/>
      <c r="BG123" s="681"/>
      <c r="BH123" s="681"/>
      <c r="BI123" s="681"/>
      <c r="BJ123" s="681"/>
      <c r="BK123" s="681"/>
      <c r="BL123" s="681"/>
      <c r="BM123" s="681"/>
      <c r="BN123" s="681"/>
      <c r="BO123" s="681"/>
      <c r="BP123" s="681"/>
    </row>
    <row r="124" spans="1:68">
      <c r="A124" s="535"/>
      <c r="B124" s="550" t="s">
        <v>1045</v>
      </c>
      <c r="D124" s="549" t="s">
        <v>2487</v>
      </c>
      <c r="E124" s="449" t="s">
        <v>1546</v>
      </c>
      <c r="F124" s="322">
        <v>0</v>
      </c>
      <c r="G124" s="332">
        <f t="shared" si="33"/>
        <v>0</v>
      </c>
      <c r="H124" s="329">
        <f t="shared" si="34"/>
        <v>0.9</v>
      </c>
      <c r="I124" s="329">
        <f t="shared" si="32"/>
        <v>0</v>
      </c>
      <c r="N124" s="681"/>
      <c r="O124" s="681"/>
      <c r="P124" s="681"/>
      <c r="Q124" s="681"/>
      <c r="R124" s="681"/>
      <c r="S124" s="681"/>
      <c r="T124" s="681"/>
      <c r="U124" s="681"/>
      <c r="V124" s="681"/>
      <c r="W124" s="681"/>
      <c r="X124" s="681"/>
      <c r="Y124" s="681"/>
      <c r="Z124" s="681"/>
      <c r="AA124" s="681"/>
      <c r="AB124" s="681"/>
      <c r="AC124" s="681"/>
      <c r="AD124" s="681"/>
      <c r="AE124" s="681"/>
      <c r="AF124" s="681"/>
      <c r="AG124" s="681"/>
      <c r="AH124" s="681"/>
      <c r="AI124" s="681"/>
      <c r="AJ124" s="681"/>
      <c r="AK124" s="681"/>
      <c r="AL124" s="681"/>
      <c r="AM124" s="681"/>
      <c r="AN124" s="681"/>
      <c r="AO124" s="681"/>
      <c r="AP124" s="681"/>
      <c r="AQ124" s="681"/>
      <c r="AR124" s="681"/>
      <c r="AS124" s="681"/>
      <c r="AT124" s="681"/>
      <c r="AU124" s="681"/>
      <c r="AV124" s="681"/>
      <c r="AW124" s="681"/>
      <c r="AX124" s="681"/>
      <c r="AY124" s="681"/>
      <c r="AZ124" s="681"/>
      <c r="BA124" s="681"/>
      <c r="BB124" s="681"/>
      <c r="BC124" s="681"/>
      <c r="BD124" s="681"/>
      <c r="BE124" s="681"/>
      <c r="BF124" s="681"/>
      <c r="BG124" s="681"/>
      <c r="BH124" s="681"/>
      <c r="BI124" s="681"/>
      <c r="BJ124" s="681"/>
      <c r="BK124" s="681"/>
      <c r="BL124" s="681"/>
      <c r="BM124" s="681"/>
      <c r="BN124" s="681"/>
      <c r="BO124" s="681"/>
      <c r="BP124" s="681"/>
    </row>
    <row r="125" spans="1:68" ht="36">
      <c r="A125" s="535"/>
      <c r="B125" s="550" t="s">
        <v>1045</v>
      </c>
      <c r="D125" s="549" t="s">
        <v>2486</v>
      </c>
      <c r="E125" s="449" t="s">
        <v>1547</v>
      </c>
      <c r="F125" s="322">
        <v>0</v>
      </c>
      <c r="G125" s="332">
        <f t="shared" si="33"/>
        <v>0</v>
      </c>
      <c r="H125" s="329">
        <f t="shared" si="34"/>
        <v>0.9</v>
      </c>
      <c r="I125" s="329">
        <f t="shared" si="32"/>
        <v>0</v>
      </c>
      <c r="N125" s="681"/>
      <c r="O125" s="681"/>
      <c r="P125" s="681"/>
      <c r="Q125" s="681"/>
      <c r="R125" s="681"/>
      <c r="S125" s="681"/>
      <c r="T125" s="681"/>
      <c r="U125" s="681"/>
      <c r="V125" s="681"/>
      <c r="W125" s="681"/>
      <c r="X125" s="681"/>
      <c r="Y125" s="681"/>
      <c r="Z125" s="681"/>
      <c r="AA125" s="681"/>
      <c r="AB125" s="681"/>
      <c r="AC125" s="681"/>
      <c r="AD125" s="681"/>
      <c r="AE125" s="681"/>
      <c r="AF125" s="681"/>
      <c r="AG125" s="681"/>
      <c r="AH125" s="681"/>
      <c r="AI125" s="681"/>
      <c r="AJ125" s="681"/>
      <c r="AK125" s="681"/>
      <c r="AL125" s="681"/>
      <c r="AM125" s="681"/>
      <c r="AN125" s="681"/>
      <c r="AO125" s="681"/>
      <c r="AP125" s="681"/>
      <c r="AQ125" s="681"/>
      <c r="AR125" s="681"/>
      <c r="AS125" s="681"/>
      <c r="AT125" s="681"/>
      <c r="AU125" s="681"/>
      <c r="AV125" s="681"/>
      <c r="AW125" s="681"/>
      <c r="AX125" s="681"/>
      <c r="AY125" s="681"/>
      <c r="AZ125" s="681"/>
      <c r="BA125" s="681"/>
      <c r="BB125" s="681"/>
      <c r="BC125" s="681"/>
      <c r="BD125" s="681"/>
      <c r="BE125" s="681"/>
      <c r="BF125" s="681"/>
      <c r="BG125" s="681"/>
      <c r="BH125" s="681"/>
      <c r="BI125" s="681"/>
      <c r="BJ125" s="681"/>
      <c r="BK125" s="681"/>
      <c r="BL125" s="681"/>
      <c r="BM125" s="681"/>
      <c r="BN125" s="681"/>
      <c r="BO125" s="681"/>
      <c r="BP125" s="681"/>
    </row>
    <row r="126" spans="1:68">
      <c r="A126" s="535"/>
      <c r="B126" s="550" t="s">
        <v>1045</v>
      </c>
      <c r="D126" s="549" t="s">
        <v>2485</v>
      </c>
      <c r="E126" s="449" t="s">
        <v>1548</v>
      </c>
      <c r="F126" s="322">
        <v>0</v>
      </c>
      <c r="G126" s="332">
        <f t="shared" si="33"/>
        <v>0</v>
      </c>
      <c r="H126" s="329">
        <f t="shared" si="34"/>
        <v>0.9</v>
      </c>
      <c r="I126" s="329">
        <f t="shared" si="32"/>
        <v>0</v>
      </c>
      <c r="N126" s="681"/>
      <c r="O126" s="681"/>
      <c r="P126" s="681"/>
      <c r="Q126" s="681"/>
      <c r="R126" s="681"/>
      <c r="S126" s="681"/>
      <c r="T126" s="681"/>
      <c r="U126" s="681"/>
      <c r="V126" s="681"/>
      <c r="W126" s="681"/>
      <c r="X126" s="681"/>
      <c r="Y126" s="681"/>
      <c r="Z126" s="681"/>
      <c r="AA126" s="681"/>
      <c r="AB126" s="681"/>
      <c r="AC126" s="681"/>
      <c r="AD126" s="681"/>
      <c r="AE126" s="681"/>
      <c r="AF126" s="681"/>
      <c r="AG126" s="681"/>
      <c r="AH126" s="681"/>
      <c r="AI126" s="681"/>
      <c r="AJ126" s="681"/>
      <c r="AK126" s="681"/>
      <c r="AL126" s="681"/>
      <c r="AM126" s="681"/>
      <c r="AN126" s="681"/>
      <c r="AO126" s="681"/>
      <c r="AP126" s="681"/>
      <c r="AQ126" s="681"/>
      <c r="AR126" s="681"/>
      <c r="AS126" s="681"/>
      <c r="AT126" s="681"/>
      <c r="AU126" s="681"/>
      <c r="AV126" s="681"/>
      <c r="AW126" s="681"/>
      <c r="AX126" s="681"/>
      <c r="AY126" s="681"/>
      <c r="AZ126" s="681"/>
      <c r="BA126" s="681"/>
      <c r="BB126" s="681"/>
      <c r="BC126" s="681"/>
      <c r="BD126" s="681"/>
      <c r="BE126" s="681"/>
      <c r="BF126" s="681"/>
      <c r="BG126" s="681"/>
      <c r="BH126" s="681"/>
      <c r="BI126" s="681"/>
      <c r="BJ126" s="681"/>
      <c r="BK126" s="681"/>
      <c r="BL126" s="681"/>
      <c r="BM126" s="681"/>
      <c r="BN126" s="681"/>
      <c r="BO126" s="681"/>
      <c r="BP126" s="681"/>
    </row>
    <row r="127" spans="1:68" ht="36">
      <c r="A127" s="535"/>
      <c r="B127" s="550" t="s">
        <v>1045</v>
      </c>
      <c r="D127" s="549" t="s">
        <v>2484</v>
      </c>
      <c r="E127" s="449" t="s">
        <v>1549</v>
      </c>
      <c r="F127" s="322">
        <v>0</v>
      </c>
      <c r="G127" s="332">
        <f t="shared" si="33"/>
        <v>0</v>
      </c>
      <c r="H127" s="329">
        <f t="shared" si="34"/>
        <v>0.9</v>
      </c>
      <c r="I127" s="329">
        <f t="shared" si="32"/>
        <v>0</v>
      </c>
      <c r="N127" s="681"/>
      <c r="O127" s="681"/>
      <c r="P127" s="681"/>
      <c r="Q127" s="681"/>
      <c r="R127" s="681"/>
      <c r="S127" s="681"/>
      <c r="T127" s="681"/>
      <c r="U127" s="681"/>
      <c r="V127" s="681"/>
      <c r="W127" s="681"/>
      <c r="X127" s="681"/>
      <c r="Y127" s="681"/>
      <c r="Z127" s="681"/>
      <c r="AA127" s="681"/>
      <c r="AB127" s="681"/>
      <c r="AC127" s="681"/>
      <c r="AD127" s="681"/>
      <c r="AE127" s="681"/>
      <c r="AF127" s="681"/>
      <c r="AG127" s="681"/>
      <c r="AH127" s="681"/>
      <c r="AI127" s="681"/>
      <c r="AJ127" s="681"/>
      <c r="AK127" s="681"/>
      <c r="AL127" s="681"/>
      <c r="AM127" s="681"/>
      <c r="AN127" s="681"/>
      <c r="AO127" s="681"/>
      <c r="AP127" s="681"/>
      <c r="AQ127" s="681"/>
      <c r="AR127" s="681"/>
      <c r="AS127" s="681"/>
      <c r="AT127" s="681"/>
      <c r="AU127" s="681"/>
      <c r="AV127" s="681"/>
      <c r="AW127" s="681"/>
      <c r="AX127" s="681"/>
      <c r="AY127" s="681"/>
      <c r="AZ127" s="681"/>
      <c r="BA127" s="681"/>
      <c r="BB127" s="681"/>
      <c r="BC127" s="681"/>
      <c r="BD127" s="681"/>
      <c r="BE127" s="681"/>
      <c r="BF127" s="681"/>
      <c r="BG127" s="681"/>
      <c r="BH127" s="681"/>
      <c r="BI127" s="681"/>
      <c r="BJ127" s="681"/>
      <c r="BK127" s="681"/>
      <c r="BL127" s="681"/>
      <c r="BM127" s="681"/>
      <c r="BN127" s="681"/>
      <c r="BO127" s="681"/>
      <c r="BP127" s="681"/>
    </row>
    <row r="128" spans="1:68" ht="36">
      <c r="B128" s="550" t="s">
        <v>1045</v>
      </c>
      <c r="D128" s="549" t="s">
        <v>2483</v>
      </c>
      <c r="F128" s="322">
        <v>0</v>
      </c>
      <c r="G128" s="332">
        <f t="shared" si="33"/>
        <v>0</v>
      </c>
      <c r="H128" s="329">
        <f t="shared" si="34"/>
        <v>0.9</v>
      </c>
      <c r="I128" s="329">
        <f t="shared" si="32"/>
        <v>0</v>
      </c>
      <c r="N128" s="681"/>
      <c r="O128" s="681"/>
      <c r="P128" s="681"/>
      <c r="Q128" s="681"/>
      <c r="R128" s="681"/>
      <c r="S128" s="681"/>
      <c r="T128" s="681"/>
      <c r="U128" s="681"/>
      <c r="V128" s="681"/>
      <c r="W128" s="681"/>
      <c r="X128" s="681"/>
      <c r="Y128" s="681"/>
      <c r="Z128" s="681"/>
      <c r="AA128" s="681"/>
      <c r="AB128" s="681"/>
      <c r="AC128" s="681"/>
      <c r="AD128" s="681"/>
      <c r="AE128" s="681"/>
      <c r="AF128" s="681"/>
      <c r="AG128" s="681"/>
      <c r="AH128" s="681"/>
      <c r="AI128" s="681"/>
      <c r="AJ128" s="681"/>
      <c r="AK128" s="681"/>
      <c r="AL128" s="681"/>
      <c r="AM128" s="681"/>
      <c r="AN128" s="681"/>
      <c r="AO128" s="681"/>
      <c r="AP128" s="681"/>
      <c r="AQ128" s="681"/>
      <c r="AR128" s="681"/>
      <c r="AS128" s="681"/>
      <c r="AT128" s="681"/>
      <c r="AU128" s="681"/>
      <c r="AV128" s="681"/>
      <c r="AW128" s="681"/>
      <c r="AX128" s="681"/>
      <c r="AY128" s="681"/>
      <c r="AZ128" s="681"/>
      <c r="BA128" s="681"/>
      <c r="BB128" s="681"/>
      <c r="BC128" s="681"/>
      <c r="BD128" s="681"/>
      <c r="BE128" s="681"/>
      <c r="BF128" s="681"/>
      <c r="BG128" s="681"/>
      <c r="BH128" s="681"/>
      <c r="BI128" s="681"/>
      <c r="BJ128" s="681"/>
      <c r="BK128" s="681"/>
      <c r="BL128" s="681"/>
      <c r="BM128" s="681"/>
      <c r="BN128" s="681"/>
      <c r="BO128" s="681"/>
      <c r="BP128" s="681"/>
    </row>
    <row r="129" spans="1:68" ht="54">
      <c r="A129" s="535"/>
      <c r="B129" s="550" t="s">
        <v>1045</v>
      </c>
      <c r="D129" s="549" t="s">
        <v>2482</v>
      </c>
      <c r="E129" s="449" t="s">
        <v>1550</v>
      </c>
      <c r="F129" s="322">
        <v>0</v>
      </c>
      <c r="G129" s="332">
        <f t="shared" si="33"/>
        <v>0</v>
      </c>
      <c r="H129" s="329">
        <f t="shared" si="34"/>
        <v>0.9</v>
      </c>
      <c r="I129" s="329">
        <f t="shared" si="32"/>
        <v>0</v>
      </c>
      <c r="N129" s="681"/>
      <c r="O129" s="681"/>
      <c r="P129" s="681"/>
      <c r="Q129" s="681"/>
      <c r="R129" s="681"/>
      <c r="S129" s="681"/>
      <c r="T129" s="681"/>
      <c r="U129" s="681"/>
      <c r="V129" s="681"/>
      <c r="W129" s="681"/>
      <c r="X129" s="681"/>
      <c r="Y129" s="681"/>
      <c r="Z129" s="681"/>
      <c r="AA129" s="681"/>
      <c r="AB129" s="681"/>
      <c r="AC129" s="681"/>
      <c r="AD129" s="681"/>
      <c r="AE129" s="681"/>
      <c r="AF129" s="681"/>
      <c r="AG129" s="681"/>
      <c r="AH129" s="681"/>
      <c r="AI129" s="681"/>
      <c r="AJ129" s="681"/>
      <c r="AK129" s="681"/>
      <c r="AL129" s="681"/>
      <c r="AM129" s="681"/>
      <c r="AN129" s="681"/>
      <c r="AO129" s="681"/>
      <c r="AP129" s="681"/>
      <c r="AQ129" s="681"/>
      <c r="AR129" s="681"/>
      <c r="AS129" s="681"/>
      <c r="AT129" s="681"/>
      <c r="AU129" s="681"/>
      <c r="AV129" s="681"/>
      <c r="AW129" s="681"/>
      <c r="AX129" s="681"/>
      <c r="AY129" s="681"/>
      <c r="AZ129" s="681"/>
      <c r="BA129" s="681"/>
      <c r="BB129" s="681"/>
      <c r="BC129" s="681"/>
      <c r="BD129" s="681"/>
      <c r="BE129" s="681"/>
      <c r="BF129" s="681"/>
      <c r="BG129" s="681"/>
      <c r="BH129" s="681"/>
      <c r="BI129" s="681"/>
      <c r="BJ129" s="681"/>
      <c r="BK129" s="681"/>
      <c r="BL129" s="681"/>
      <c r="BM129" s="681"/>
      <c r="BN129" s="681"/>
      <c r="BO129" s="681"/>
      <c r="BP129" s="681"/>
    </row>
    <row r="130" spans="1:68" ht="36">
      <c r="B130" s="550" t="s">
        <v>1045</v>
      </c>
      <c r="D130" s="549" t="s">
        <v>2481</v>
      </c>
      <c r="F130" s="322">
        <v>0</v>
      </c>
      <c r="G130" s="332">
        <f t="shared" si="33"/>
        <v>0</v>
      </c>
      <c r="H130" s="329">
        <f t="shared" si="34"/>
        <v>0.9</v>
      </c>
      <c r="I130" s="329">
        <f t="shared" si="32"/>
        <v>0</v>
      </c>
      <c r="N130" s="681"/>
      <c r="O130" s="681"/>
      <c r="P130" s="681"/>
      <c r="Q130" s="681"/>
      <c r="R130" s="681"/>
      <c r="S130" s="681"/>
      <c r="T130" s="681"/>
      <c r="U130" s="681"/>
      <c r="V130" s="681"/>
      <c r="W130" s="681"/>
      <c r="X130" s="681"/>
      <c r="Y130" s="681"/>
      <c r="Z130" s="681"/>
      <c r="AA130" s="681"/>
      <c r="AB130" s="681"/>
      <c r="AC130" s="681"/>
      <c r="AD130" s="681"/>
      <c r="AE130" s="681"/>
      <c r="AF130" s="681"/>
      <c r="AG130" s="681"/>
      <c r="AH130" s="681"/>
      <c r="AI130" s="681"/>
      <c r="AJ130" s="681"/>
      <c r="AK130" s="681"/>
      <c r="AL130" s="681"/>
      <c r="AM130" s="681"/>
      <c r="AN130" s="681"/>
      <c r="AO130" s="681"/>
      <c r="AP130" s="681"/>
      <c r="AQ130" s="681"/>
      <c r="AR130" s="681"/>
      <c r="AS130" s="681"/>
      <c r="AT130" s="681"/>
      <c r="AU130" s="681"/>
      <c r="AV130" s="681"/>
      <c r="AW130" s="681"/>
      <c r="AX130" s="681"/>
      <c r="AY130" s="681"/>
      <c r="AZ130" s="681"/>
      <c r="BA130" s="681"/>
      <c r="BB130" s="681"/>
      <c r="BC130" s="681"/>
      <c r="BD130" s="681"/>
      <c r="BE130" s="681"/>
      <c r="BF130" s="681"/>
      <c r="BG130" s="681"/>
      <c r="BH130" s="681"/>
      <c r="BI130" s="681"/>
      <c r="BJ130" s="681"/>
      <c r="BK130" s="681"/>
      <c r="BL130" s="681"/>
      <c r="BM130" s="681"/>
      <c r="BN130" s="681"/>
      <c r="BO130" s="681"/>
      <c r="BP130" s="681"/>
    </row>
    <row r="131" spans="1:68" ht="36">
      <c r="B131" s="550" t="s">
        <v>1045</v>
      </c>
      <c r="D131" s="549" t="s">
        <v>2480</v>
      </c>
      <c r="F131" s="322">
        <v>1</v>
      </c>
      <c r="G131" s="332">
        <f t="shared" si="33"/>
        <v>0</v>
      </c>
      <c r="H131" s="329">
        <f t="shared" si="34"/>
        <v>0.9</v>
      </c>
      <c r="I131" s="329">
        <f t="shared" si="32"/>
        <v>1</v>
      </c>
      <c r="N131" s="681"/>
      <c r="O131" s="681"/>
      <c r="P131" s="681"/>
      <c r="Q131" s="681"/>
      <c r="R131" s="681"/>
      <c r="S131" s="681"/>
      <c r="T131" s="681"/>
      <c r="U131" s="681"/>
      <c r="V131" s="681"/>
      <c r="W131" s="681"/>
      <c r="X131" s="681"/>
      <c r="Y131" s="681"/>
      <c r="Z131" s="681"/>
      <c r="AA131" s="681"/>
      <c r="AB131" s="681"/>
      <c r="AC131" s="681"/>
      <c r="AD131" s="681"/>
      <c r="AE131" s="681"/>
      <c r="AF131" s="681"/>
      <c r="AG131" s="681"/>
      <c r="AH131" s="681"/>
      <c r="AI131" s="681"/>
      <c r="AJ131" s="681"/>
      <c r="AK131" s="681"/>
      <c r="AL131" s="681"/>
      <c r="AM131" s="681"/>
      <c r="AN131" s="681"/>
      <c r="AO131" s="681"/>
      <c r="AP131" s="681"/>
      <c r="AQ131" s="681"/>
      <c r="AR131" s="681"/>
      <c r="AS131" s="681"/>
      <c r="AT131" s="681"/>
      <c r="AU131" s="681"/>
      <c r="AV131" s="681"/>
      <c r="AW131" s="681"/>
      <c r="AX131" s="681"/>
      <c r="AY131" s="681"/>
      <c r="AZ131" s="681"/>
      <c r="BA131" s="681"/>
      <c r="BB131" s="681"/>
      <c r="BC131" s="681"/>
      <c r="BD131" s="681"/>
      <c r="BE131" s="681"/>
      <c r="BF131" s="681"/>
      <c r="BG131" s="681"/>
      <c r="BH131" s="681"/>
      <c r="BI131" s="681"/>
      <c r="BJ131" s="681"/>
      <c r="BK131" s="681"/>
      <c r="BL131" s="681"/>
      <c r="BM131" s="681"/>
      <c r="BN131" s="681"/>
      <c r="BO131" s="681"/>
      <c r="BP131" s="681"/>
    </row>
    <row r="132" spans="1:68" s="330" customFormat="1" ht="36">
      <c r="B132" s="550" t="s">
        <v>1045</v>
      </c>
      <c r="C132" s="448"/>
      <c r="D132" s="549" t="s">
        <v>2479</v>
      </c>
      <c r="E132" s="449"/>
      <c r="F132" s="322">
        <v>0</v>
      </c>
      <c r="H132" s="329"/>
      <c r="I132" s="329"/>
      <c r="J132" s="329"/>
      <c r="K132" s="329"/>
      <c r="N132" s="681"/>
      <c r="O132" s="681"/>
      <c r="P132" s="681"/>
      <c r="Q132" s="681"/>
      <c r="R132" s="681"/>
      <c r="S132" s="681"/>
      <c r="T132" s="681"/>
      <c r="U132" s="681"/>
      <c r="V132" s="681"/>
      <c r="W132" s="681"/>
      <c r="X132" s="681"/>
      <c r="Y132" s="681"/>
      <c r="Z132" s="681"/>
      <c r="AA132" s="681"/>
      <c r="AB132" s="681"/>
      <c r="AC132" s="681"/>
      <c r="AD132" s="681"/>
      <c r="AE132" s="681"/>
      <c r="AF132" s="681"/>
      <c r="AG132" s="681"/>
      <c r="AH132" s="681"/>
      <c r="AI132" s="681"/>
      <c r="AJ132" s="681"/>
      <c r="AK132" s="681"/>
      <c r="AL132" s="681"/>
      <c r="AM132" s="681"/>
      <c r="AN132" s="681"/>
      <c r="AO132" s="681"/>
      <c r="AP132" s="681"/>
      <c r="AQ132" s="681"/>
      <c r="AR132" s="681"/>
      <c r="AS132" s="681"/>
      <c r="AT132" s="681"/>
      <c r="AU132" s="681"/>
      <c r="AV132" s="681"/>
      <c r="AW132" s="681"/>
      <c r="AX132" s="681"/>
      <c r="AY132" s="681"/>
      <c r="AZ132" s="681"/>
      <c r="BA132" s="681"/>
      <c r="BB132" s="681"/>
      <c r="BC132" s="681"/>
      <c r="BD132" s="681"/>
      <c r="BE132" s="681"/>
      <c r="BF132" s="681"/>
      <c r="BG132" s="681"/>
      <c r="BH132" s="681"/>
      <c r="BI132" s="681"/>
      <c r="BJ132" s="681"/>
      <c r="BK132" s="681"/>
      <c r="BL132" s="681"/>
      <c r="BM132" s="681"/>
      <c r="BN132" s="681"/>
      <c r="BO132" s="681"/>
      <c r="BP132" s="681"/>
    </row>
    <row r="133" spans="1:68" s="354" customFormat="1">
      <c r="C133" s="564"/>
      <c r="D133" s="565"/>
      <c r="E133" s="449"/>
      <c r="F133" s="566"/>
      <c r="M133" s="354" t="s">
        <v>1644</v>
      </c>
      <c r="N133" s="525"/>
      <c r="P133" s="525"/>
      <c r="R133" s="525"/>
      <c r="T133" s="525"/>
      <c r="V133" s="525"/>
      <c r="X133" s="525"/>
      <c r="Z133" s="525"/>
      <c r="AB133" s="525"/>
      <c r="AD133" s="525"/>
      <c r="AF133" s="525"/>
      <c r="AH133" s="525"/>
      <c r="AJ133" s="525"/>
      <c r="AL133" s="525"/>
      <c r="AN133" s="525"/>
      <c r="AP133" s="525"/>
      <c r="AR133" s="525"/>
      <c r="AT133" s="525"/>
      <c r="AV133" s="525"/>
      <c r="AX133" s="525"/>
      <c r="AZ133" s="331"/>
      <c r="BB133" s="331"/>
      <c r="BD133" s="331"/>
      <c r="BF133" s="331"/>
      <c r="BH133" s="331"/>
      <c r="BJ133" s="331"/>
      <c r="BL133" s="331"/>
      <c r="BM133" s="329"/>
      <c r="BN133" s="331"/>
      <c r="BO133" s="329"/>
    </row>
    <row r="134" spans="1:68" ht="54">
      <c r="A134" s="535">
        <v>1</v>
      </c>
      <c r="B134" s="355" t="s">
        <v>240</v>
      </c>
      <c r="D134" s="540" t="s">
        <v>2672</v>
      </c>
      <c r="F134" s="325">
        <v>3</v>
      </c>
      <c r="G134" s="329">
        <f>F134</f>
        <v>3</v>
      </c>
      <c r="H134" s="329">
        <f>1-(G134/3)</f>
        <v>0</v>
      </c>
      <c r="I134" s="337">
        <f>IF(G134&gt;2,1.5,IF(G134&lt;2.1,0.8,1.2))</f>
        <v>1.5</v>
      </c>
      <c r="J134" s="353" t="s">
        <v>1171</v>
      </c>
      <c r="K134" s="371">
        <f>1-((G134+G135+G143+G144+G145+G146+G152+G153)/17)</f>
        <v>0.73529411764705888</v>
      </c>
      <c r="L134" s="367"/>
      <c r="M134" s="367"/>
    </row>
    <row r="135" spans="1:68">
      <c r="A135" s="535">
        <v>1</v>
      </c>
      <c r="B135" s="355" t="s">
        <v>240</v>
      </c>
      <c r="D135" s="869" t="s">
        <v>2518</v>
      </c>
      <c r="F135" s="559">
        <v>0</v>
      </c>
      <c r="G135" s="331">
        <f>F135</f>
        <v>0</v>
      </c>
      <c r="I135" s="337">
        <f>IF(G135&gt;2,1.5,IF(G135&lt;2,0.8,1.2))</f>
        <v>0.8</v>
      </c>
      <c r="J135" s="337"/>
      <c r="K135" s="337"/>
      <c r="L135" s="367"/>
      <c r="M135" s="367"/>
      <c r="AJ135" s="525">
        <f>$I135</f>
        <v>0.8</v>
      </c>
      <c r="AM135" s="329">
        <f t="shared" ref="AM135:AM136" si="35">$I135</f>
        <v>0.8</v>
      </c>
    </row>
    <row r="136" spans="1:68">
      <c r="A136" s="535">
        <v>1</v>
      </c>
      <c r="B136" s="355"/>
      <c r="C136" s="448" t="s">
        <v>2277</v>
      </c>
      <c r="D136" s="869" t="s">
        <v>2517</v>
      </c>
      <c r="F136" s="559">
        <v>0</v>
      </c>
      <c r="G136" s="331">
        <f>F136</f>
        <v>0</v>
      </c>
      <c r="I136" s="337">
        <f>IF(G136&gt;2,1.5,IF(G136&lt;2,0.8,1.2))</f>
        <v>0.8</v>
      </c>
      <c r="J136" s="337"/>
      <c r="K136" s="337"/>
      <c r="L136" s="367"/>
      <c r="M136" s="367"/>
      <c r="AJ136" s="525">
        <f t="shared" ref="AJ136" si="36">$I136</f>
        <v>0.8</v>
      </c>
      <c r="AM136" s="329">
        <f t="shared" si="35"/>
        <v>0.8</v>
      </c>
    </row>
    <row r="137" spans="1:68">
      <c r="A137" s="535">
        <v>1</v>
      </c>
      <c r="B137" s="355" t="s">
        <v>240</v>
      </c>
      <c r="D137" s="552" t="s">
        <v>2516</v>
      </c>
      <c r="E137" s="449" t="s">
        <v>1551</v>
      </c>
      <c r="F137" s="559">
        <v>0</v>
      </c>
      <c r="G137" s="331">
        <f>IF(F137=1,1.2,1)</f>
        <v>1</v>
      </c>
      <c r="H137" s="331">
        <f>F137</f>
        <v>0</v>
      </c>
      <c r="J137" s="354" t="s">
        <v>1172</v>
      </c>
      <c r="K137" s="370">
        <f>1-((G135+G136+H138+H140+H141+G15+G162+G147)/8)</f>
        <v>0.75</v>
      </c>
      <c r="AJ137" s="527">
        <f>$K137</f>
        <v>0.75</v>
      </c>
      <c r="AM137" s="347">
        <f>$K137</f>
        <v>0.75</v>
      </c>
    </row>
    <row r="138" spans="1:68">
      <c r="A138" s="535">
        <v>1</v>
      </c>
      <c r="B138" s="355" t="s">
        <v>240</v>
      </c>
      <c r="C138" s="448" t="s">
        <v>2277</v>
      </c>
      <c r="D138" s="552" t="s">
        <v>2515</v>
      </c>
      <c r="E138" s="449" t="s">
        <v>1552</v>
      </c>
      <c r="F138" s="559">
        <v>0</v>
      </c>
      <c r="G138" s="331">
        <f t="shared" ref="G138:G142" si="37">IF(F138=1,1.2,1)</f>
        <v>1</v>
      </c>
      <c r="H138" s="331">
        <f t="shared" ref="H138:H142" si="38">F138</f>
        <v>0</v>
      </c>
    </row>
    <row r="139" spans="1:68">
      <c r="A139" s="535">
        <v>1</v>
      </c>
      <c r="B139" s="355" t="s">
        <v>240</v>
      </c>
      <c r="D139" s="552" t="s">
        <v>2514</v>
      </c>
      <c r="E139" s="449" t="s">
        <v>1553</v>
      </c>
      <c r="F139" s="559">
        <v>0</v>
      </c>
      <c r="G139" s="331">
        <f t="shared" si="37"/>
        <v>1</v>
      </c>
      <c r="H139" s="331">
        <f t="shared" si="38"/>
        <v>0</v>
      </c>
      <c r="J139" s="355" t="s">
        <v>1173</v>
      </c>
      <c r="K139" s="424">
        <f>SUM(H137,H138,H139,H140,H141,K142)/6</f>
        <v>0</v>
      </c>
      <c r="L139" s="333">
        <f>IF(K139&gt;0.79,2,(IF(K139&lt;0.66,0.8,1.2)))</f>
        <v>0.8</v>
      </c>
      <c r="AF139" s="527">
        <f>$L139</f>
        <v>0.8</v>
      </c>
      <c r="AK139" s="527">
        <f>$L139</f>
        <v>0.8</v>
      </c>
      <c r="AL139" s="527">
        <f>$L139</f>
        <v>0.8</v>
      </c>
    </row>
    <row r="140" spans="1:68">
      <c r="A140" s="535">
        <v>1</v>
      </c>
      <c r="B140" s="355" t="s">
        <v>240</v>
      </c>
      <c r="D140" s="552" t="s">
        <v>2513</v>
      </c>
      <c r="E140" s="449" t="s">
        <v>1554</v>
      </c>
      <c r="F140" s="559">
        <v>0</v>
      </c>
      <c r="G140" s="331">
        <f t="shared" si="37"/>
        <v>1</v>
      </c>
      <c r="H140" s="331">
        <f t="shared" si="38"/>
        <v>0</v>
      </c>
    </row>
    <row r="141" spans="1:68">
      <c r="A141" s="535">
        <v>1</v>
      </c>
      <c r="B141" s="355" t="s">
        <v>240</v>
      </c>
      <c r="D141" s="552" t="s">
        <v>2512</v>
      </c>
      <c r="E141" s="449" t="s">
        <v>1555</v>
      </c>
      <c r="F141" s="559">
        <v>0</v>
      </c>
      <c r="G141" s="331">
        <f t="shared" si="37"/>
        <v>1</v>
      </c>
      <c r="H141" s="331">
        <f t="shared" si="38"/>
        <v>0</v>
      </c>
      <c r="J141" s="329" t="s">
        <v>2696</v>
      </c>
      <c r="K141" s="329">
        <f>(F134+F166+F167)/9</f>
        <v>0.33333333333333331</v>
      </c>
    </row>
    <row r="142" spans="1:68">
      <c r="A142" s="535">
        <v>1</v>
      </c>
      <c r="B142" s="355" t="s">
        <v>240</v>
      </c>
      <c r="D142" s="552" t="s">
        <v>2511</v>
      </c>
      <c r="E142" s="449" t="s">
        <v>1556</v>
      </c>
      <c r="F142" s="559">
        <v>0</v>
      </c>
      <c r="G142" s="331">
        <f t="shared" si="37"/>
        <v>1</v>
      </c>
      <c r="H142" s="331">
        <f t="shared" si="38"/>
        <v>0</v>
      </c>
      <c r="J142" s="329" t="s">
        <v>2693</v>
      </c>
      <c r="K142" s="329">
        <f>(F143+(F98*3)+(F159*3))/9</f>
        <v>0</v>
      </c>
    </row>
    <row r="143" spans="1:68" ht="54">
      <c r="A143" s="535">
        <v>1</v>
      </c>
      <c r="B143" s="355" t="s">
        <v>240</v>
      </c>
      <c r="D143" s="540" t="s">
        <v>2673</v>
      </c>
      <c r="E143" s="449" t="s">
        <v>1557</v>
      </c>
      <c r="F143" s="325">
        <v>0</v>
      </c>
      <c r="G143" s="329">
        <f>F143</f>
        <v>0</v>
      </c>
      <c r="H143" s="329">
        <f t="shared" ref="H143:H145" si="39">1-(G143/3)</f>
        <v>1</v>
      </c>
      <c r="I143" s="337">
        <f>IF(G143&gt;2,1.5,IF(G143&lt;2.1,0.8,1.2))</f>
        <v>0.8</v>
      </c>
      <c r="J143" s="337" t="s">
        <v>2694</v>
      </c>
      <c r="K143" s="337">
        <f>(F144+(F160*3)+(F161*3)+(F165*3)+(F169*3))/15</f>
        <v>6.6666666666666666E-2</v>
      </c>
      <c r="R143" s="525">
        <f>$I143</f>
        <v>0.8</v>
      </c>
    </row>
    <row r="144" spans="1:68" ht="54">
      <c r="A144" s="535">
        <v>1</v>
      </c>
      <c r="B144" s="355" t="s">
        <v>240</v>
      </c>
      <c r="D144" s="540" t="s">
        <v>2674</v>
      </c>
      <c r="E144" s="449" t="s">
        <v>1558</v>
      </c>
      <c r="F144" s="325">
        <v>1</v>
      </c>
      <c r="G144" s="329">
        <f t="shared" ref="G144:G146" si="40">F144</f>
        <v>1</v>
      </c>
      <c r="H144" s="329">
        <f t="shared" si="39"/>
        <v>0.66666666666666674</v>
      </c>
      <c r="I144" s="337">
        <f t="shared" ref="I144:I146" si="41">IF(G144&gt;2,1.5,IF(G144&lt;2.1,0.8,1.2))</f>
        <v>0.8</v>
      </c>
      <c r="J144" s="329" t="s">
        <v>2695</v>
      </c>
      <c r="K144" s="329">
        <f>(F145+(F157*3)+(F173*3))/9</f>
        <v>0</v>
      </c>
      <c r="AB144" s="525">
        <f>$I144</f>
        <v>0.8</v>
      </c>
      <c r="BA144" s="525">
        <f>$I144</f>
        <v>0.8</v>
      </c>
    </row>
    <row r="145" spans="1:67" ht="54">
      <c r="A145" s="535">
        <v>1</v>
      </c>
      <c r="B145" s="355" t="s">
        <v>240</v>
      </c>
      <c r="D145" s="540" t="s">
        <v>2675</v>
      </c>
      <c r="E145" s="449" t="s">
        <v>1559</v>
      </c>
      <c r="F145" s="325">
        <v>0</v>
      </c>
      <c r="G145" s="329">
        <f t="shared" si="40"/>
        <v>0</v>
      </c>
      <c r="H145" s="329">
        <f t="shared" si="39"/>
        <v>1</v>
      </c>
      <c r="I145" s="337">
        <f t="shared" si="41"/>
        <v>0.8</v>
      </c>
      <c r="J145" s="329" t="s">
        <v>2697</v>
      </c>
      <c r="K145" s="329">
        <f>(F146+(F155*3)+(F162*3)+(F164*3)+(F170*3)+(F171*3)+(F172*3)+(F174*3))/24</f>
        <v>0</v>
      </c>
      <c r="AU145" s="525">
        <f>$I145</f>
        <v>0.8</v>
      </c>
      <c r="AV145" s="525">
        <f>$I145</f>
        <v>0.8</v>
      </c>
    </row>
    <row r="146" spans="1:67" ht="54">
      <c r="A146" s="535">
        <v>1</v>
      </c>
      <c r="B146" s="355" t="s">
        <v>240</v>
      </c>
      <c r="D146" s="540" t="s">
        <v>2357</v>
      </c>
      <c r="E146" s="449" t="s">
        <v>1560</v>
      </c>
      <c r="F146" s="325">
        <v>0</v>
      </c>
      <c r="G146" s="329">
        <f t="shared" si="40"/>
        <v>0</v>
      </c>
      <c r="H146" s="329">
        <f>1-(G146/3)</f>
        <v>1</v>
      </c>
      <c r="I146" s="337">
        <f t="shared" si="41"/>
        <v>0.8</v>
      </c>
      <c r="J146" s="329" t="s">
        <v>2698</v>
      </c>
      <c r="K146" s="329">
        <f>IF(F152=1,0.5,1)</f>
        <v>0.5</v>
      </c>
      <c r="AJ146" s="525">
        <f>$I146</f>
        <v>0.8</v>
      </c>
      <c r="AM146" s="525">
        <f>$I146</f>
        <v>0.8</v>
      </c>
    </row>
    <row r="147" spans="1:67" s="330" customFormat="1" ht="54">
      <c r="A147" s="535">
        <v>1</v>
      </c>
      <c r="B147" s="355" t="s">
        <v>240</v>
      </c>
      <c r="C147" s="448"/>
      <c r="D147" s="540" t="s">
        <v>2510</v>
      </c>
      <c r="E147" s="449"/>
      <c r="F147" s="326">
        <v>2</v>
      </c>
      <c r="G147" s="329">
        <f>IF(F147=2,1,0)</f>
        <v>1</v>
      </c>
      <c r="H147" s="329">
        <f>1-(G147/3)</f>
        <v>0.66666666666666674</v>
      </c>
      <c r="I147" s="329"/>
      <c r="J147" s="329" t="s">
        <v>2699</v>
      </c>
      <c r="K147" s="329">
        <f>IF(F153=1,0.5,1)</f>
        <v>1</v>
      </c>
      <c r="N147" s="525"/>
      <c r="O147" s="329"/>
      <c r="P147" s="525"/>
      <c r="Q147" s="329"/>
      <c r="R147" s="525"/>
      <c r="S147" s="329"/>
      <c r="T147" s="525"/>
      <c r="U147" s="329"/>
      <c r="V147" s="525"/>
      <c r="W147" s="329"/>
      <c r="X147" s="525"/>
      <c r="Y147" s="329"/>
      <c r="Z147" s="525"/>
      <c r="AA147" s="329"/>
      <c r="AB147" s="525"/>
      <c r="AC147" s="329"/>
      <c r="AD147" s="525"/>
      <c r="AE147" s="329"/>
      <c r="AF147" s="525"/>
      <c r="AG147" s="329"/>
      <c r="AH147" s="525"/>
      <c r="AI147" s="329"/>
      <c r="AJ147" s="525"/>
      <c r="AK147" s="329"/>
      <c r="AL147" s="525"/>
      <c r="AM147" s="329"/>
      <c r="AN147" s="525"/>
      <c r="AO147" s="329"/>
      <c r="AP147" s="525"/>
      <c r="AQ147" s="329"/>
      <c r="AR147" s="525"/>
      <c r="AS147" s="329"/>
      <c r="AT147" s="525"/>
      <c r="AU147" s="329"/>
      <c r="AV147" s="525"/>
      <c r="AW147" s="329"/>
      <c r="AX147" s="525"/>
      <c r="AY147" s="329"/>
      <c r="AZ147" s="331"/>
      <c r="BA147" s="329"/>
      <c r="BB147" s="331"/>
      <c r="BC147" s="329"/>
      <c r="BD147" s="331"/>
      <c r="BE147" s="329"/>
      <c r="BF147" s="331"/>
      <c r="BG147" s="329"/>
      <c r="BH147" s="331"/>
      <c r="BI147" s="329"/>
      <c r="BJ147" s="331"/>
      <c r="BK147" s="329"/>
      <c r="BL147" s="331"/>
      <c r="BM147" s="329"/>
      <c r="BN147" s="331"/>
      <c r="BO147" s="329"/>
    </row>
    <row r="148" spans="1:67" s="532" customFormat="1">
      <c r="C148" s="530"/>
      <c r="D148" s="553"/>
      <c r="E148" s="449"/>
      <c r="F148" s="531"/>
      <c r="M148" s="530" t="s">
        <v>1645</v>
      </c>
      <c r="N148" s="525"/>
      <c r="P148" s="525"/>
      <c r="R148" s="525"/>
      <c r="T148" s="525"/>
      <c r="V148" s="525"/>
      <c r="X148" s="525"/>
      <c r="Z148" s="525"/>
      <c r="AB148" s="525"/>
      <c r="AD148" s="525"/>
      <c r="AF148" s="525"/>
      <c r="AH148" s="525"/>
      <c r="AJ148" s="525"/>
      <c r="AL148" s="525"/>
      <c r="AN148" s="525"/>
      <c r="AP148" s="525"/>
      <c r="AR148" s="525"/>
      <c r="AT148" s="525"/>
      <c r="AV148" s="525"/>
      <c r="AX148" s="525"/>
      <c r="AZ148" s="331"/>
      <c r="BB148" s="331"/>
      <c r="BD148" s="331"/>
      <c r="BF148" s="331"/>
      <c r="BH148" s="331"/>
      <c r="BJ148" s="331"/>
      <c r="BL148" s="331"/>
      <c r="BM148" s="329"/>
      <c r="BN148" s="331"/>
      <c r="BO148" s="329"/>
    </row>
    <row r="149" spans="1:67">
      <c r="B149" s="554" t="s">
        <v>1046</v>
      </c>
      <c r="D149" s="335" t="s">
        <v>2519</v>
      </c>
      <c r="F149" s="559">
        <v>0</v>
      </c>
      <c r="G149" s="331">
        <f>IF(F149=1,2,0)</f>
        <v>0</v>
      </c>
      <c r="H149" s="331">
        <f>IF(G149=1,1.2,0.8)</f>
        <v>0.8</v>
      </c>
      <c r="J149" s="24" t="s">
        <v>1174</v>
      </c>
      <c r="K149" s="356">
        <f>1-(SUM(G149:G169,G172,G173)/28)</f>
        <v>0.9464285714285714</v>
      </c>
    </row>
    <row r="150" spans="1:67" ht="36">
      <c r="A150" s="535">
        <v>1</v>
      </c>
      <c r="B150" s="554" t="s">
        <v>1046</v>
      </c>
      <c r="D150" s="335" t="s">
        <v>2520</v>
      </c>
      <c r="E150" s="449" t="s">
        <v>1561</v>
      </c>
      <c r="F150" s="559">
        <v>0</v>
      </c>
      <c r="G150" s="331">
        <f>IF(F150=1,2,0)</f>
        <v>0</v>
      </c>
      <c r="H150" s="331">
        <f>IF(G150=1,1.2,0.8)</f>
        <v>0.8</v>
      </c>
      <c r="AF150" s="525">
        <f>H150</f>
        <v>0.8</v>
      </c>
      <c r="AW150" s="329">
        <f t="shared" ref="AW150:AX150" si="42">$H150</f>
        <v>0.8</v>
      </c>
      <c r="AX150" s="525">
        <f t="shared" si="42"/>
        <v>0.8</v>
      </c>
    </row>
    <row r="151" spans="1:67">
      <c r="A151" s="535">
        <v>1</v>
      </c>
      <c r="B151" s="554" t="s">
        <v>1046</v>
      </c>
      <c r="D151" s="335" t="s">
        <v>2521</v>
      </c>
      <c r="E151" s="449" t="s">
        <v>1562</v>
      </c>
      <c r="F151" s="559">
        <v>1</v>
      </c>
      <c r="G151" s="333">
        <f>F151</f>
        <v>1</v>
      </c>
      <c r="H151" s="331">
        <f t="shared" ref="H151:H174" si="43">IF(G151=1,1.2,0.8)</f>
        <v>1.2</v>
      </c>
      <c r="J151" s="555"/>
      <c r="AX151" s="525">
        <f>$H151</f>
        <v>1.2</v>
      </c>
      <c r="BH151" s="331">
        <f>$H151</f>
        <v>1.2</v>
      </c>
    </row>
    <row r="152" spans="1:67">
      <c r="B152" s="554" t="s">
        <v>1046</v>
      </c>
      <c r="D152" s="335" t="s">
        <v>2522</v>
      </c>
      <c r="E152" s="449" t="s">
        <v>1563</v>
      </c>
      <c r="F152" s="559">
        <v>1</v>
      </c>
      <c r="G152" s="333">
        <f>IF(F152=1,0.5,0)</f>
        <v>0.5</v>
      </c>
      <c r="H152" s="331">
        <f>IF(F152=1,1.2,0.8)</f>
        <v>1.2</v>
      </c>
      <c r="J152" s="149"/>
    </row>
    <row r="153" spans="1:67" ht="36">
      <c r="B153" s="554" t="s">
        <v>1046</v>
      </c>
      <c r="D153" s="859" t="s">
        <v>2523</v>
      </c>
      <c r="E153" s="449" t="s">
        <v>1564</v>
      </c>
      <c r="F153" s="559">
        <v>0</v>
      </c>
      <c r="G153" s="333">
        <f>IF(F153=1,0.5,0)</f>
        <v>0</v>
      </c>
      <c r="H153" s="331">
        <f>IF(F153=1,1.2,0.8)</f>
        <v>0.8</v>
      </c>
      <c r="J153" s="329" t="s">
        <v>2389</v>
      </c>
      <c r="K153" s="329">
        <f>(MAX(G152,G233,G234,G235,G236)+G153)*2.5</f>
        <v>1.25</v>
      </c>
    </row>
    <row r="154" spans="1:67">
      <c r="B154" s="554" t="s">
        <v>1046</v>
      </c>
      <c r="D154" s="335" t="s">
        <v>2524</v>
      </c>
      <c r="E154" s="449" t="s">
        <v>1565</v>
      </c>
      <c r="F154" s="559">
        <v>0</v>
      </c>
      <c r="G154" s="333">
        <f>F154</f>
        <v>0</v>
      </c>
      <c r="H154" s="331">
        <f t="shared" si="43"/>
        <v>0.8</v>
      </c>
      <c r="I154" s="337"/>
      <c r="J154" s="149"/>
    </row>
    <row r="155" spans="1:67">
      <c r="B155" s="554" t="s">
        <v>1046</v>
      </c>
      <c r="D155" s="335" t="s">
        <v>2525</v>
      </c>
      <c r="E155" s="449" t="s">
        <v>1566</v>
      </c>
      <c r="F155" s="559">
        <v>0</v>
      </c>
      <c r="G155" s="333">
        <f>F155</f>
        <v>0</v>
      </c>
      <c r="H155" s="331">
        <f t="shared" si="43"/>
        <v>0.8</v>
      </c>
      <c r="J155" s="149"/>
      <c r="AO155" s="329">
        <f>$H155</f>
        <v>0.8</v>
      </c>
    </row>
    <row r="156" spans="1:67">
      <c r="A156" s="535"/>
      <c r="B156" s="554" t="s">
        <v>1046</v>
      </c>
      <c r="D156" s="335" t="s">
        <v>2526</v>
      </c>
      <c r="E156" s="449" t="s">
        <v>1567</v>
      </c>
      <c r="F156" s="559">
        <v>0</v>
      </c>
      <c r="G156" s="333">
        <f>F156</f>
        <v>0</v>
      </c>
      <c r="H156" s="331">
        <f t="shared" si="43"/>
        <v>0.8</v>
      </c>
      <c r="J156" s="149"/>
      <c r="P156" s="525">
        <f>$H156</f>
        <v>0.8</v>
      </c>
    </row>
    <row r="157" spans="1:67" ht="36">
      <c r="A157" s="535"/>
      <c r="B157" s="554" t="s">
        <v>1046</v>
      </c>
      <c r="D157" s="859" t="s">
        <v>2527</v>
      </c>
      <c r="F157" s="559">
        <v>0</v>
      </c>
      <c r="G157" s="333">
        <f>F157</f>
        <v>0</v>
      </c>
      <c r="H157" s="331">
        <f t="shared" si="43"/>
        <v>0.8</v>
      </c>
      <c r="J157" s="149"/>
      <c r="AU157" s="329">
        <f>$H157</f>
        <v>0.8</v>
      </c>
      <c r="AV157" s="525">
        <f>$H157</f>
        <v>0.8</v>
      </c>
    </row>
    <row r="158" spans="1:67">
      <c r="A158" s="535">
        <v>1</v>
      </c>
      <c r="B158" s="554" t="s">
        <v>1046</v>
      </c>
      <c r="D158" s="335" t="s">
        <v>2528</v>
      </c>
      <c r="F158" s="559">
        <v>0</v>
      </c>
      <c r="G158" s="333">
        <f t="shared" ref="G158:G165" si="44">F158</f>
        <v>0</v>
      </c>
      <c r="H158" s="331">
        <f t="shared" si="43"/>
        <v>0.8</v>
      </c>
      <c r="J158" s="149"/>
      <c r="AF158" s="525">
        <f>H158</f>
        <v>0.8</v>
      </c>
    </row>
    <row r="159" spans="1:67">
      <c r="A159" s="535">
        <v>1</v>
      </c>
      <c r="B159" s="554" t="s">
        <v>1046</v>
      </c>
      <c r="C159" s="450"/>
      <c r="D159" s="859" t="s">
        <v>2529</v>
      </c>
      <c r="F159" s="559">
        <v>0</v>
      </c>
      <c r="G159" s="333">
        <f t="shared" si="44"/>
        <v>0</v>
      </c>
      <c r="H159" s="331">
        <f t="shared" si="43"/>
        <v>0.8</v>
      </c>
      <c r="I159" s="323"/>
      <c r="J159" s="525" t="s">
        <v>2379</v>
      </c>
      <c r="K159" s="526">
        <f>1-((G174+G171+I170+G162+G135+G146+G155+G164)/12)</f>
        <v>1</v>
      </c>
      <c r="T159" s="525">
        <f>$H159</f>
        <v>0.8</v>
      </c>
      <c r="U159" s="329">
        <f>$H159</f>
        <v>0.8</v>
      </c>
    </row>
    <row r="160" spans="1:67">
      <c r="A160" s="535">
        <v>1</v>
      </c>
      <c r="B160" s="554" t="s">
        <v>1046</v>
      </c>
      <c r="C160" s="450"/>
      <c r="D160" s="335" t="s">
        <v>2530</v>
      </c>
      <c r="F160" s="559">
        <v>0</v>
      </c>
      <c r="G160" s="333">
        <f t="shared" si="44"/>
        <v>0</v>
      </c>
      <c r="H160" s="331">
        <f t="shared" si="43"/>
        <v>0.8</v>
      </c>
      <c r="J160" s="149"/>
      <c r="AB160" s="525">
        <f>$H160</f>
        <v>0.8</v>
      </c>
      <c r="BA160" s="329">
        <f>$H160</f>
        <v>0.8</v>
      </c>
    </row>
    <row r="161" spans="1:57" ht="36">
      <c r="A161" s="535">
        <v>1</v>
      </c>
      <c r="B161" s="554" t="s">
        <v>1046</v>
      </c>
      <c r="C161" s="450"/>
      <c r="D161" s="335" t="s">
        <v>2531</v>
      </c>
      <c r="F161" s="559">
        <v>0</v>
      </c>
      <c r="G161" s="333">
        <f t="shared" si="44"/>
        <v>0</v>
      </c>
      <c r="H161" s="331">
        <f t="shared" si="43"/>
        <v>0.8</v>
      </c>
      <c r="J161" s="149"/>
      <c r="X161" s="525">
        <f>$H161</f>
        <v>0.8</v>
      </c>
      <c r="Y161" s="329">
        <f>$H161</f>
        <v>0.8</v>
      </c>
      <c r="AB161" s="525">
        <f>$H161</f>
        <v>0.8</v>
      </c>
      <c r="BA161" s="329">
        <f>$H161</f>
        <v>0.8</v>
      </c>
    </row>
    <row r="162" spans="1:57" ht="36">
      <c r="A162" s="535">
        <v>1</v>
      </c>
      <c r="B162" s="554" t="s">
        <v>1046</v>
      </c>
      <c r="C162" s="450"/>
      <c r="D162" s="335" t="s">
        <v>2532</v>
      </c>
      <c r="F162" s="559">
        <v>0</v>
      </c>
      <c r="G162" s="333">
        <f t="shared" si="44"/>
        <v>0</v>
      </c>
      <c r="H162" s="331">
        <f t="shared" si="43"/>
        <v>0.8</v>
      </c>
      <c r="P162" s="525">
        <f>$H162</f>
        <v>0.8</v>
      </c>
    </row>
    <row r="163" spans="1:57" ht="36">
      <c r="A163" s="535">
        <v>1</v>
      </c>
      <c r="B163" s="554" t="s">
        <v>1046</v>
      </c>
      <c r="C163" s="450"/>
      <c r="D163" s="335" t="s">
        <v>2533</v>
      </c>
      <c r="F163" s="559">
        <v>0</v>
      </c>
      <c r="G163" s="333">
        <f t="shared" si="44"/>
        <v>0</v>
      </c>
      <c r="H163" s="331">
        <f t="shared" si="43"/>
        <v>0.8</v>
      </c>
    </row>
    <row r="164" spans="1:57">
      <c r="A164" s="535">
        <v>1</v>
      </c>
      <c r="B164" s="554" t="s">
        <v>1046</v>
      </c>
      <c r="D164" s="335" t="s">
        <v>2534</v>
      </c>
      <c r="F164" s="559">
        <v>0</v>
      </c>
      <c r="G164" s="333">
        <f t="shared" si="44"/>
        <v>0</v>
      </c>
      <c r="H164" s="331">
        <f t="shared" si="43"/>
        <v>0.8</v>
      </c>
      <c r="J164" s="644" t="s">
        <v>1955</v>
      </c>
      <c r="K164" s="329">
        <f>MAX(H155,H164,IF(F4&gt;75,1.1,0.8))</f>
        <v>0.8</v>
      </c>
      <c r="AO164" s="329">
        <f>$H164</f>
        <v>0.8</v>
      </c>
    </row>
    <row r="165" spans="1:57" ht="36">
      <c r="A165" s="535">
        <v>1</v>
      </c>
      <c r="B165" s="554" t="s">
        <v>1046</v>
      </c>
      <c r="D165" s="335" t="s">
        <v>2535</v>
      </c>
      <c r="F165" s="559">
        <v>0</v>
      </c>
      <c r="G165" s="333">
        <f t="shared" si="44"/>
        <v>0</v>
      </c>
      <c r="H165" s="331">
        <f t="shared" si="43"/>
        <v>0.8</v>
      </c>
      <c r="Z165" s="525">
        <f>$H165</f>
        <v>0.8</v>
      </c>
      <c r="AA165" s="329">
        <f>$H165</f>
        <v>0.8</v>
      </c>
      <c r="BB165" s="331">
        <f>$H165</f>
        <v>0.8</v>
      </c>
    </row>
    <row r="166" spans="1:57" ht="36">
      <c r="A166" s="535">
        <v>1</v>
      </c>
      <c r="B166" s="554" t="s">
        <v>1046</v>
      </c>
      <c r="D166" s="335" t="s">
        <v>2676</v>
      </c>
      <c r="E166" s="449" t="s">
        <v>1568</v>
      </c>
      <c r="F166" s="325">
        <v>0</v>
      </c>
      <c r="G166" s="329">
        <f t="shared" ref="G166:G167" si="45">F166</f>
        <v>0</v>
      </c>
      <c r="H166" s="331">
        <f t="shared" si="43"/>
        <v>0.8</v>
      </c>
      <c r="I166" s="337"/>
      <c r="J166" s="337"/>
      <c r="K166" s="337"/>
      <c r="L166" s="367"/>
      <c r="M166" s="367"/>
      <c r="Q166" s="329">
        <f>$H166</f>
        <v>0.8</v>
      </c>
    </row>
    <row r="167" spans="1:57" ht="36">
      <c r="A167" s="535">
        <v>1</v>
      </c>
      <c r="B167" s="554" t="s">
        <v>1046</v>
      </c>
      <c r="D167" s="335" t="s">
        <v>2677</v>
      </c>
      <c r="E167" s="449" t="s">
        <v>1569</v>
      </c>
      <c r="F167" s="325">
        <v>0</v>
      </c>
      <c r="G167" s="329">
        <f t="shared" si="45"/>
        <v>0</v>
      </c>
      <c r="H167" s="331">
        <f t="shared" si="43"/>
        <v>0.8</v>
      </c>
      <c r="I167" s="337"/>
      <c r="J167" s="337"/>
      <c r="K167" s="337"/>
      <c r="L167" s="367"/>
      <c r="M167" s="367"/>
      <c r="O167" s="329">
        <f>$H167</f>
        <v>0.8</v>
      </c>
    </row>
    <row r="168" spans="1:57" ht="36">
      <c r="A168" s="535">
        <v>1</v>
      </c>
      <c r="B168" s="554" t="s">
        <v>1046</v>
      </c>
      <c r="D168" s="335" t="s">
        <v>2536</v>
      </c>
      <c r="F168" s="559">
        <v>0</v>
      </c>
      <c r="G168" s="333">
        <f>F168</f>
        <v>0</v>
      </c>
      <c r="H168" s="331">
        <f t="shared" si="43"/>
        <v>0.8</v>
      </c>
    </row>
    <row r="169" spans="1:57">
      <c r="A169" s="535">
        <v>1</v>
      </c>
      <c r="B169" s="554" t="s">
        <v>1046</v>
      </c>
      <c r="D169" s="335" t="s">
        <v>2537</v>
      </c>
      <c r="F169" s="559">
        <v>0</v>
      </c>
      <c r="G169" s="333">
        <f t="shared" ref="G169:G174" si="46">F169</f>
        <v>0</v>
      </c>
      <c r="H169" s="331">
        <f t="shared" si="43"/>
        <v>0.8</v>
      </c>
    </row>
    <row r="170" spans="1:57">
      <c r="B170" s="554" t="s">
        <v>1046</v>
      </c>
      <c r="D170" s="860" t="s">
        <v>2538</v>
      </c>
      <c r="F170" s="559">
        <v>0</v>
      </c>
      <c r="G170" s="333">
        <f t="shared" si="46"/>
        <v>0</v>
      </c>
      <c r="H170" s="331">
        <f t="shared" si="43"/>
        <v>0.8</v>
      </c>
      <c r="I170" s="329">
        <f>IF(F170=1,3,0)</f>
        <v>0</v>
      </c>
      <c r="AJ170" s="525">
        <f>$H170</f>
        <v>0.8</v>
      </c>
      <c r="AM170" s="329">
        <f>$H170</f>
        <v>0.8</v>
      </c>
    </row>
    <row r="171" spans="1:57">
      <c r="B171" s="554" t="s">
        <v>1046</v>
      </c>
      <c r="D171" s="860" t="s">
        <v>2539</v>
      </c>
      <c r="F171" s="559">
        <v>0</v>
      </c>
      <c r="G171" s="333">
        <f t="shared" si="46"/>
        <v>0</v>
      </c>
      <c r="H171" s="331">
        <f t="shared" si="43"/>
        <v>0.8</v>
      </c>
      <c r="AJ171" s="525">
        <f>$H171</f>
        <v>0.8</v>
      </c>
      <c r="AM171" s="329">
        <f>$H171</f>
        <v>0.8</v>
      </c>
    </row>
    <row r="172" spans="1:57" ht="36">
      <c r="B172" s="554" t="s">
        <v>1046</v>
      </c>
      <c r="D172" s="860" t="s">
        <v>2540</v>
      </c>
      <c r="F172" s="559">
        <v>0</v>
      </c>
      <c r="G172" s="333">
        <f t="shared" si="46"/>
        <v>0</v>
      </c>
      <c r="H172" s="331">
        <f t="shared" si="43"/>
        <v>0.8</v>
      </c>
      <c r="AN172" s="525">
        <f>$H172</f>
        <v>0.8</v>
      </c>
    </row>
    <row r="173" spans="1:57" ht="36">
      <c r="A173" s="535">
        <v>1</v>
      </c>
      <c r="B173" s="554" t="s">
        <v>1046</v>
      </c>
      <c r="D173" s="860" t="s">
        <v>2541</v>
      </c>
      <c r="F173" s="559">
        <v>0</v>
      </c>
      <c r="G173" s="333">
        <f t="shared" si="46"/>
        <v>0</v>
      </c>
      <c r="H173" s="331">
        <f t="shared" si="43"/>
        <v>0.8</v>
      </c>
      <c r="AD173" s="525">
        <f>$H173</f>
        <v>0.8</v>
      </c>
      <c r="AE173" s="329">
        <f>$H173</f>
        <v>0.8</v>
      </c>
      <c r="AF173" s="525">
        <f>$H173</f>
        <v>0.8</v>
      </c>
    </row>
    <row r="174" spans="1:57">
      <c r="B174" s="554" t="s">
        <v>1046</v>
      </c>
      <c r="D174" s="861" t="s">
        <v>2542</v>
      </c>
      <c r="F174" s="559">
        <v>0</v>
      </c>
      <c r="G174" s="333">
        <f t="shared" si="46"/>
        <v>0</v>
      </c>
      <c r="H174" s="331">
        <f t="shared" si="43"/>
        <v>0.8</v>
      </c>
      <c r="AJ174" s="525">
        <f>$H174</f>
        <v>0.8</v>
      </c>
      <c r="AM174" s="329">
        <f>$H174</f>
        <v>0.8</v>
      </c>
    </row>
    <row r="175" spans="1:57">
      <c r="C175" s="842"/>
      <c r="D175" s="870"/>
      <c r="E175" s="842"/>
      <c r="F175" s="339"/>
      <c r="BE175" s="329">
        <f>$H175</f>
        <v>0</v>
      </c>
    </row>
    <row r="176" spans="1:57">
      <c r="B176" s="352" t="s">
        <v>1045</v>
      </c>
      <c r="D176" s="871" t="s">
        <v>2543</v>
      </c>
      <c r="F176" s="559">
        <v>0</v>
      </c>
    </row>
    <row r="177" spans="1:67">
      <c r="A177" s="535">
        <v>1</v>
      </c>
      <c r="B177" s="538" t="s">
        <v>1042</v>
      </c>
      <c r="D177" s="862" t="s">
        <v>2544</v>
      </c>
      <c r="F177" s="559">
        <v>0</v>
      </c>
      <c r="G177" s="333">
        <f>F177</f>
        <v>0</v>
      </c>
    </row>
    <row r="178" spans="1:67" ht="36">
      <c r="A178" s="535">
        <v>1</v>
      </c>
      <c r="B178" s="538" t="s">
        <v>1042</v>
      </c>
      <c r="D178" s="862" t="s">
        <v>2545</v>
      </c>
      <c r="F178" s="559">
        <v>0</v>
      </c>
      <c r="G178" s="333">
        <f>F178</f>
        <v>0</v>
      </c>
    </row>
    <row r="179" spans="1:67">
      <c r="B179" s="346" t="s">
        <v>1156</v>
      </c>
      <c r="C179" s="448" t="s">
        <v>2263</v>
      </c>
      <c r="D179" s="863" t="s">
        <v>2546</v>
      </c>
      <c r="F179" s="322">
        <v>1</v>
      </c>
      <c r="G179" s="333">
        <f>IF(F179=1,0,1)</f>
        <v>0</v>
      </c>
    </row>
    <row r="180" spans="1:67" ht="36">
      <c r="B180" s="346" t="s">
        <v>1156</v>
      </c>
      <c r="D180" s="863" t="s">
        <v>2547</v>
      </c>
      <c r="F180" s="559">
        <v>0</v>
      </c>
      <c r="G180" s="333">
        <f>F180</f>
        <v>0</v>
      </c>
    </row>
    <row r="181" spans="1:67">
      <c r="C181" s="842"/>
      <c r="D181" s="870"/>
      <c r="E181" s="842"/>
      <c r="F181" s="339"/>
      <c r="L181" s="332" t="s">
        <v>1707</v>
      </c>
      <c r="M181" s="332"/>
      <c r="N181" s="332">
        <f t="shared" ref="N181:AB181" si="47">MAX(N2:N174)</f>
        <v>1.2</v>
      </c>
      <c r="O181" s="346">
        <f t="shared" si="47"/>
        <v>0.8</v>
      </c>
      <c r="P181" s="346">
        <f t="shared" si="47"/>
        <v>0.8</v>
      </c>
      <c r="Q181" s="332">
        <f t="shared" si="47"/>
        <v>0.8</v>
      </c>
      <c r="R181" s="332">
        <f t="shared" si="47"/>
        <v>0.8</v>
      </c>
      <c r="S181" s="346">
        <f t="shared" si="47"/>
        <v>0.9</v>
      </c>
      <c r="T181" s="332">
        <f t="shared" si="47"/>
        <v>0.9</v>
      </c>
      <c r="U181" s="332">
        <f t="shared" si="47"/>
        <v>0.9</v>
      </c>
      <c r="V181" s="332">
        <f t="shared" si="47"/>
        <v>0.9</v>
      </c>
      <c r="W181" s="332">
        <f t="shared" si="47"/>
        <v>0.9</v>
      </c>
      <c r="X181" s="332">
        <f t="shared" si="47"/>
        <v>0.9</v>
      </c>
      <c r="Y181" s="332">
        <f t="shared" si="47"/>
        <v>0.9</v>
      </c>
      <c r="Z181" s="332">
        <f t="shared" si="47"/>
        <v>0.8</v>
      </c>
      <c r="AA181" s="332">
        <f t="shared" si="47"/>
        <v>0.8</v>
      </c>
      <c r="AB181" s="332">
        <f t="shared" si="47"/>
        <v>0.8</v>
      </c>
      <c r="AC181" s="332">
        <v>1</v>
      </c>
      <c r="AD181" s="333">
        <f t="shared" ref="AD181:BO181" si="48">MAX(AD2:AD174)</f>
        <v>0.8</v>
      </c>
      <c r="AE181" s="333">
        <f t="shared" si="48"/>
        <v>0.9</v>
      </c>
      <c r="AF181" s="346">
        <f t="shared" si="48"/>
        <v>0.9</v>
      </c>
      <c r="AG181" s="332">
        <f t="shared" si="48"/>
        <v>0.8</v>
      </c>
      <c r="AH181" s="346">
        <f t="shared" si="48"/>
        <v>1</v>
      </c>
      <c r="AI181" s="332">
        <f t="shared" si="48"/>
        <v>0.9</v>
      </c>
      <c r="AJ181" s="332">
        <f t="shared" si="48"/>
        <v>0.9</v>
      </c>
      <c r="AK181" s="346">
        <f t="shared" si="48"/>
        <v>0.9</v>
      </c>
      <c r="AL181" s="332">
        <f t="shared" si="48"/>
        <v>0.8</v>
      </c>
      <c r="AM181" s="332">
        <f t="shared" si="48"/>
        <v>0.9</v>
      </c>
      <c r="AN181" s="332">
        <f t="shared" si="48"/>
        <v>0.8</v>
      </c>
      <c r="AO181" s="332">
        <f t="shared" si="48"/>
        <v>0.8</v>
      </c>
      <c r="AP181" s="348">
        <f t="shared" si="48"/>
        <v>0.8</v>
      </c>
      <c r="AQ181" s="348">
        <f t="shared" si="48"/>
        <v>0.9</v>
      </c>
      <c r="AR181" s="346">
        <f t="shared" si="48"/>
        <v>1</v>
      </c>
      <c r="AS181" s="346">
        <f t="shared" si="48"/>
        <v>0.9</v>
      </c>
      <c r="AT181" s="332">
        <f t="shared" si="48"/>
        <v>0.9</v>
      </c>
      <c r="AU181" s="332">
        <f t="shared" si="48"/>
        <v>0.8</v>
      </c>
      <c r="AV181" s="332">
        <f t="shared" si="48"/>
        <v>0.9</v>
      </c>
      <c r="AW181" s="346">
        <f t="shared" si="48"/>
        <v>0.9</v>
      </c>
      <c r="AX181" s="346">
        <f t="shared" si="48"/>
        <v>1.2</v>
      </c>
      <c r="AY181" s="332">
        <f t="shared" si="48"/>
        <v>0.9</v>
      </c>
      <c r="AZ181" s="346">
        <f t="shared" si="48"/>
        <v>1.2</v>
      </c>
      <c r="BA181" s="346">
        <f t="shared" si="48"/>
        <v>2.5</v>
      </c>
      <c r="BB181" s="332">
        <f t="shared" si="48"/>
        <v>2.5</v>
      </c>
      <c r="BC181" s="332">
        <f t="shared" si="48"/>
        <v>1.2</v>
      </c>
      <c r="BD181" s="332">
        <f t="shared" si="48"/>
        <v>1.2</v>
      </c>
      <c r="BE181" s="332">
        <f t="shared" si="48"/>
        <v>1.2</v>
      </c>
      <c r="BF181" s="333">
        <f t="shared" si="48"/>
        <v>1.2</v>
      </c>
      <c r="BG181" s="332">
        <f t="shared" si="48"/>
        <v>1.2</v>
      </c>
      <c r="BH181" s="346">
        <f t="shared" si="48"/>
        <v>1.2</v>
      </c>
      <c r="BI181" s="346">
        <f t="shared" si="48"/>
        <v>1.2</v>
      </c>
      <c r="BJ181" s="346">
        <f t="shared" si="48"/>
        <v>1.2</v>
      </c>
      <c r="BK181" s="332">
        <f t="shared" si="48"/>
        <v>1.2</v>
      </c>
      <c r="BL181" s="346">
        <f t="shared" si="48"/>
        <v>2.5</v>
      </c>
      <c r="BM181" s="333">
        <f t="shared" si="48"/>
        <v>0.9</v>
      </c>
      <c r="BN181" s="332">
        <f t="shared" si="48"/>
        <v>0</v>
      </c>
      <c r="BO181" s="332">
        <f t="shared" si="48"/>
        <v>0.8</v>
      </c>
    </row>
    <row r="182" spans="1:67">
      <c r="A182" s="535">
        <v>1</v>
      </c>
      <c r="B182" s="329" t="s">
        <v>1686</v>
      </c>
      <c r="D182" s="872" t="s">
        <v>2548</v>
      </c>
      <c r="F182" s="559">
        <v>0</v>
      </c>
      <c r="G182" s="329">
        <f>F182</f>
        <v>0</v>
      </c>
      <c r="L182" s="352" t="s">
        <v>1708</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1000</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5">
        <v>1</v>
      </c>
      <c r="B183" s="329" t="s">
        <v>1686</v>
      </c>
      <c r="C183" s="448" t="s">
        <v>2280</v>
      </c>
      <c r="D183" s="668" t="s">
        <v>2549</v>
      </c>
      <c r="F183" s="559">
        <v>0</v>
      </c>
      <c r="G183" s="333">
        <f>F183</f>
        <v>0</v>
      </c>
      <c r="J183" s="329" t="s">
        <v>1959</v>
      </c>
      <c r="K183" s="329">
        <f>G158+G183+G184</f>
        <v>0</v>
      </c>
      <c r="L183" s="346" t="s">
        <v>1709</v>
      </c>
      <c r="M183" s="346"/>
      <c r="N183" s="352">
        <f>IF($F61=1,0.5,1)</f>
        <v>1</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0.5</v>
      </c>
      <c r="BA183" s="352">
        <f>IF($F58=1,0.5,1)</f>
        <v>1</v>
      </c>
      <c r="BB183" s="365">
        <v>1</v>
      </c>
      <c r="BC183" s="352">
        <f>IF($F57=1,0.5,1)</f>
        <v>1</v>
      </c>
      <c r="BD183" s="352">
        <f>IF($F57=1,0.5,1)</f>
        <v>1</v>
      </c>
      <c r="BE183" s="352">
        <f>IF($F54=1,0.5,1)</f>
        <v>0.5</v>
      </c>
      <c r="BF183" s="352">
        <f>IF($F57=1,0.5,1)</f>
        <v>1</v>
      </c>
      <c r="BG183" s="352">
        <f>IF($F55=1,0.5,1)</f>
        <v>0.5</v>
      </c>
      <c r="BH183" s="352">
        <f>IF($F52=1,0.5,1)</f>
        <v>0.5</v>
      </c>
      <c r="BI183" s="352">
        <f>IF($F61=1,0.5,1)</f>
        <v>1</v>
      </c>
      <c r="BJ183" s="365">
        <v>1</v>
      </c>
      <c r="BK183" s="352">
        <f>IF($F57=1,0.5,1)</f>
        <v>1</v>
      </c>
      <c r="BL183" s="365">
        <v>1</v>
      </c>
      <c r="BM183" s="352">
        <f>IF($F65=1,0.5,1)</f>
        <v>0.5</v>
      </c>
      <c r="BN183" s="365">
        <v>1</v>
      </c>
      <c r="BO183" s="365">
        <v>1</v>
      </c>
    </row>
    <row r="184" spans="1:67" ht="36">
      <c r="A184" s="535">
        <v>1</v>
      </c>
      <c r="B184" s="329" t="s">
        <v>1686</v>
      </c>
      <c r="C184" s="448" t="s">
        <v>2280</v>
      </c>
      <c r="D184" s="668" t="s">
        <v>2550</v>
      </c>
      <c r="F184" s="559">
        <v>0</v>
      </c>
      <c r="G184" s="333">
        <f>F184</f>
        <v>0</v>
      </c>
      <c r="J184" s="329" t="s">
        <v>1958</v>
      </c>
      <c r="K184" s="329">
        <f>H68+G94+G95+G97+I122</f>
        <v>1</v>
      </c>
      <c r="L184" s="329" t="s">
        <v>610</v>
      </c>
      <c r="N184" s="329"/>
      <c r="O184" s="329">
        <f>$H$3</f>
        <v>1</v>
      </c>
      <c r="P184" s="329"/>
      <c r="R184" s="329">
        <f>$H$3</f>
        <v>1</v>
      </c>
      <c r="T184" s="329">
        <f>$I$3</f>
        <v>0</v>
      </c>
      <c r="U184" s="329">
        <f>$I$3</f>
        <v>0</v>
      </c>
      <c r="V184" s="329"/>
      <c r="X184" s="329"/>
      <c r="Z184" s="329"/>
      <c r="AB184" s="329"/>
      <c r="AD184" s="329"/>
      <c r="AF184" s="329"/>
      <c r="AH184" s="329"/>
      <c r="AJ184" s="329"/>
      <c r="AL184" s="329"/>
      <c r="AN184" s="329"/>
      <c r="AP184" s="329"/>
      <c r="AR184" s="329"/>
      <c r="AT184" s="329"/>
      <c r="AV184" s="329"/>
      <c r="AX184" s="329"/>
      <c r="AZ184" s="329">
        <f>$H$3</f>
        <v>1</v>
      </c>
      <c r="BB184" s="329"/>
      <c r="BD184" s="329"/>
      <c r="BE184" s="329">
        <f>IF(H3=1,0.01,1)</f>
        <v>0.01</v>
      </c>
      <c r="BF184" s="329">
        <f>$I$3</f>
        <v>0</v>
      </c>
      <c r="BG184" s="329">
        <f>$I$3</f>
        <v>0</v>
      </c>
      <c r="BH184" s="329"/>
      <c r="BJ184" s="329"/>
      <c r="BL184" s="329"/>
      <c r="BM184" s="329">
        <f>$I$3</f>
        <v>0</v>
      </c>
      <c r="BN184" s="329"/>
    </row>
    <row r="185" spans="1:67">
      <c r="A185" s="535">
        <v>1</v>
      </c>
      <c r="B185" s="538" t="s">
        <v>1042</v>
      </c>
      <c r="D185" s="664" t="s">
        <v>2551</v>
      </c>
      <c r="F185" s="559">
        <v>0</v>
      </c>
      <c r="G185" s="329" t="s">
        <v>1964</v>
      </c>
      <c r="J185" s="645" t="s">
        <v>1961</v>
      </c>
      <c r="K185" s="329">
        <f>-9.49+(0.058*F4)+(1.34*H3)+(0.83*K183)+(0.68*K184)</f>
        <v>-4.5120000000000005</v>
      </c>
      <c r="L185" s="523" t="s">
        <v>1711</v>
      </c>
      <c r="N185" s="347">
        <f>N181*N182*N183</f>
        <v>1.2</v>
      </c>
      <c r="O185" s="347">
        <f>(O181*O182*O183*O184)*IF(F4&lt;50,0.5,1)</f>
        <v>0.8</v>
      </c>
      <c r="P185" s="347">
        <f t="shared" ref="P185:BO185" si="49">P181*P182*P183</f>
        <v>0.8</v>
      </c>
      <c r="Q185" s="347">
        <f t="shared" si="49"/>
        <v>0.8</v>
      </c>
      <c r="R185" s="347">
        <f>R181*R182*R183*R184</f>
        <v>0.8</v>
      </c>
      <c r="S185" s="347">
        <f t="shared" si="49"/>
        <v>0.9</v>
      </c>
      <c r="T185" s="347">
        <f>T181*T182*T183*T184</f>
        <v>0</v>
      </c>
      <c r="U185" s="347">
        <f>U181*U182*U183*U184</f>
        <v>0</v>
      </c>
      <c r="V185" s="347">
        <f t="shared" si="49"/>
        <v>0.9</v>
      </c>
      <c r="W185" s="347">
        <f t="shared" si="49"/>
        <v>0.9</v>
      </c>
      <c r="X185" s="347">
        <f t="shared" si="49"/>
        <v>0.9</v>
      </c>
      <c r="Y185" s="347">
        <f t="shared" si="49"/>
        <v>0.9</v>
      </c>
      <c r="Z185" s="347">
        <f t="shared" si="49"/>
        <v>0.8</v>
      </c>
      <c r="AA185" s="347">
        <f t="shared" si="49"/>
        <v>0.8</v>
      </c>
      <c r="AB185" s="347">
        <f t="shared" si="49"/>
        <v>0.8</v>
      </c>
      <c r="AC185" s="347">
        <f t="shared" si="49"/>
        <v>1</v>
      </c>
      <c r="AD185" s="347">
        <f t="shared" si="49"/>
        <v>0.8</v>
      </c>
      <c r="AE185" s="347">
        <f t="shared" si="49"/>
        <v>0.9</v>
      </c>
      <c r="AF185" s="347">
        <f t="shared" si="49"/>
        <v>0.9</v>
      </c>
      <c r="AG185" s="347">
        <f t="shared" si="49"/>
        <v>0.8</v>
      </c>
      <c r="AH185" s="347">
        <f t="shared" si="49"/>
        <v>1</v>
      </c>
      <c r="AI185" s="347">
        <f t="shared" si="49"/>
        <v>0.9</v>
      </c>
      <c r="AJ185" s="347">
        <f t="shared" si="49"/>
        <v>0.9</v>
      </c>
      <c r="AK185" s="347">
        <f t="shared" si="49"/>
        <v>0.9</v>
      </c>
      <c r="AL185" s="347">
        <f t="shared" si="49"/>
        <v>0.8</v>
      </c>
      <c r="AM185" s="347">
        <f t="shared" si="49"/>
        <v>0.9</v>
      </c>
      <c r="AN185" s="347">
        <f t="shared" si="49"/>
        <v>0.8</v>
      </c>
      <c r="AO185" s="347">
        <f t="shared" si="49"/>
        <v>0.8</v>
      </c>
      <c r="AP185" s="347">
        <f t="shared" si="49"/>
        <v>0.8</v>
      </c>
      <c r="AQ185" s="347">
        <f t="shared" si="49"/>
        <v>0.9</v>
      </c>
      <c r="AR185" s="347">
        <f t="shared" si="49"/>
        <v>1000</v>
      </c>
      <c r="AS185" s="347">
        <f t="shared" si="49"/>
        <v>0.9</v>
      </c>
      <c r="AT185" s="347">
        <f t="shared" si="49"/>
        <v>0.9</v>
      </c>
      <c r="AU185" s="347">
        <f t="shared" si="49"/>
        <v>0.8</v>
      </c>
      <c r="AV185" s="347">
        <f t="shared" si="49"/>
        <v>0.9</v>
      </c>
      <c r="AW185" s="347">
        <f t="shared" si="49"/>
        <v>900</v>
      </c>
      <c r="AX185" s="347">
        <f t="shared" si="49"/>
        <v>1.2</v>
      </c>
      <c r="AY185" s="347">
        <f t="shared" si="49"/>
        <v>900</v>
      </c>
      <c r="AZ185" s="347">
        <f>AZ181*AZ182*AZ183*AZ184*AZ186</f>
        <v>0.6</v>
      </c>
      <c r="BA185" s="347">
        <f>BA181*BA182*BA183*BA186</f>
        <v>2.5</v>
      </c>
      <c r="BB185" s="347">
        <f>BB181*BB182*BB183*BB186</f>
        <v>2.5</v>
      </c>
      <c r="BC185" s="347">
        <f>BC181*BC182*BC183*BC186</f>
        <v>1.2</v>
      </c>
      <c r="BD185" s="347">
        <f>BD181*BD182*BD183*BD186</f>
        <v>1.2</v>
      </c>
      <c r="BE185" s="347">
        <f>BE181*BE182*BE183*BE184*BE186</f>
        <v>6.0000000000000001E-3</v>
      </c>
      <c r="BF185" s="347">
        <f>BF181*BF182*BF183*BF184*BF186</f>
        <v>0</v>
      </c>
      <c r="BG185" s="347">
        <f>BG181*BG182*BG183*BG184*BG186</f>
        <v>0</v>
      </c>
      <c r="BH185" s="347">
        <f>BH181*BH182*BH183*BH186</f>
        <v>0.6</v>
      </c>
      <c r="BI185" s="347">
        <f>BI181*BI182*BI183*BI186</f>
        <v>1.2</v>
      </c>
      <c r="BJ185" s="347">
        <f>BJ181*BJ182*BJ183*BJ186</f>
        <v>1.2</v>
      </c>
      <c r="BK185" s="347">
        <f>BK181*BK182*BK183*BK186</f>
        <v>1.2</v>
      </c>
      <c r="BL185" s="347">
        <f>BL181*BL182*BL183*BL186</f>
        <v>2.5</v>
      </c>
      <c r="BM185" s="347">
        <f>BM181*BM182*BM183*BM184</f>
        <v>0</v>
      </c>
      <c r="BN185" s="347">
        <f t="shared" si="49"/>
        <v>0</v>
      </c>
      <c r="BO185" s="347">
        <f t="shared" si="49"/>
        <v>0.8</v>
      </c>
    </row>
    <row r="186" spans="1:67">
      <c r="B186" s="329" t="s">
        <v>1686</v>
      </c>
      <c r="C186" s="448" t="s">
        <v>2282</v>
      </c>
      <c r="D186" s="665" t="s">
        <v>2552</v>
      </c>
      <c r="F186" s="559">
        <v>0</v>
      </c>
      <c r="G186" s="331">
        <f>IF(F186=1,0,1)</f>
        <v>1</v>
      </c>
      <c r="J186" s="329" t="s">
        <v>1962</v>
      </c>
      <c r="K186" s="329">
        <f>EXP(-K185)</f>
        <v>91.103844112477404</v>
      </c>
      <c r="L186" s="329" t="s">
        <v>1968</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50">$M$186</f>
        <v>1</v>
      </c>
      <c r="BB186" s="329">
        <f t="shared" si="50"/>
        <v>1</v>
      </c>
      <c r="BC186" s="329">
        <f t="shared" si="50"/>
        <v>1</v>
      </c>
      <c r="BD186" s="329">
        <f>$M$186</f>
        <v>1</v>
      </c>
      <c r="BE186" s="329">
        <f t="shared" si="50"/>
        <v>1</v>
      </c>
      <c r="BF186" s="329">
        <f t="shared" si="50"/>
        <v>1</v>
      </c>
      <c r="BG186" s="329">
        <f t="shared" si="50"/>
        <v>1</v>
      </c>
      <c r="BH186" s="329">
        <f>$M$186</f>
        <v>1</v>
      </c>
      <c r="BI186" s="329">
        <f t="shared" si="50"/>
        <v>1</v>
      </c>
      <c r="BJ186" s="329">
        <f t="shared" si="50"/>
        <v>1</v>
      </c>
      <c r="BK186" s="329">
        <f t="shared" si="50"/>
        <v>1</v>
      </c>
      <c r="BL186" s="329">
        <f>$M$186</f>
        <v>1</v>
      </c>
      <c r="BM186" s="329">
        <f t="shared" si="50"/>
        <v>1</v>
      </c>
      <c r="BN186" s="329"/>
      <c r="BO186" s="329">
        <f t="shared" si="50"/>
        <v>1</v>
      </c>
    </row>
    <row r="187" spans="1:67" ht="36">
      <c r="B187" s="329" t="s">
        <v>1686</v>
      </c>
      <c r="D187" s="534" t="s">
        <v>2553</v>
      </c>
      <c r="F187" s="559">
        <v>0</v>
      </c>
      <c r="G187" s="331">
        <f>IF(F187=1,0,1)</f>
        <v>1</v>
      </c>
      <c r="J187" s="331" t="s">
        <v>1960</v>
      </c>
      <c r="K187" s="331">
        <f>1/(1+K186)</f>
        <v>1.0857310133318625E-2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1686</v>
      </c>
      <c r="C188" s="448" t="s">
        <v>2284</v>
      </c>
      <c r="D188" s="534" t="s">
        <v>2554</v>
      </c>
      <c r="F188" s="322">
        <v>1</v>
      </c>
      <c r="G188" s="331">
        <f t="shared" ref="G188:G191" si="51">IF(F188=1,0,1)</f>
        <v>0</v>
      </c>
      <c r="J188" s="331" t="s">
        <v>1963</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1156</v>
      </c>
      <c r="C189" s="448" t="s">
        <v>2260</v>
      </c>
      <c r="D189" s="534" t="s">
        <v>2555</v>
      </c>
      <c r="F189" s="322">
        <v>1</v>
      </c>
      <c r="G189" s="331">
        <f t="shared" si="51"/>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1686</v>
      </c>
      <c r="C190" s="448" t="s">
        <v>2260</v>
      </c>
      <c r="D190" s="534" t="s">
        <v>2556</v>
      </c>
      <c r="F190" s="322">
        <v>1</v>
      </c>
      <c r="G190" s="331">
        <f t="shared" si="51"/>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702" t="s">
        <v>1156</v>
      </c>
      <c r="C191" s="448" t="s">
        <v>2264</v>
      </c>
      <c r="D191" s="534" t="s">
        <v>2732</v>
      </c>
      <c r="E191" s="449"/>
      <c r="F191" s="322">
        <v>1</v>
      </c>
      <c r="G191" s="331">
        <f t="shared" si="51"/>
        <v>0</v>
      </c>
      <c r="H191" s="339">
        <f>IF(F191=1,1,0)</f>
        <v>1</v>
      </c>
      <c r="I191" s="329"/>
      <c r="J191" s="329"/>
      <c r="K191" s="347"/>
      <c r="N191" s="525"/>
      <c r="O191" s="329"/>
      <c r="P191" s="525"/>
      <c r="Q191" s="329"/>
      <c r="R191" s="525"/>
      <c r="S191" s="329"/>
      <c r="T191" s="525"/>
      <c r="U191" s="329"/>
      <c r="V191" s="525"/>
      <c r="W191" s="329"/>
      <c r="X191" s="525"/>
      <c r="Y191" s="329"/>
      <c r="Z191" s="525"/>
      <c r="AA191" s="329"/>
      <c r="AB191" s="525"/>
      <c r="AC191" s="329"/>
      <c r="AD191" s="525"/>
      <c r="AE191" s="329"/>
      <c r="AF191" s="525"/>
      <c r="AG191" s="329"/>
      <c r="AH191" s="525"/>
      <c r="AI191" s="329"/>
      <c r="AJ191" s="525"/>
      <c r="AK191" s="329"/>
      <c r="AL191" s="525"/>
      <c r="AM191" s="329"/>
      <c r="AN191" s="525"/>
      <c r="AO191" s="329"/>
      <c r="AP191" s="525"/>
      <c r="AQ191" s="329"/>
      <c r="AR191" s="525"/>
      <c r="AS191" s="329"/>
      <c r="AT191" s="525"/>
      <c r="AU191" s="329"/>
      <c r="AV191" s="525"/>
      <c r="AW191" s="329"/>
      <c r="AX191" s="525"/>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702" t="s">
        <v>1156</v>
      </c>
      <c r="C192" s="448" t="s">
        <v>2265</v>
      </c>
      <c r="D192" s="534" t="s">
        <v>2557</v>
      </c>
      <c r="E192" s="449"/>
      <c r="F192" s="322">
        <v>1</v>
      </c>
      <c r="G192" s="331">
        <f>IF(F192=1,0,1)</f>
        <v>0</v>
      </c>
      <c r="H192" s="339">
        <f>IF(F192=1,1,0)</f>
        <v>1</v>
      </c>
      <c r="I192" s="329"/>
      <c r="J192" s="329"/>
      <c r="K192" s="347"/>
      <c r="N192" s="525"/>
      <c r="O192" s="329"/>
      <c r="P192" s="525"/>
      <c r="Q192" s="329"/>
      <c r="R192" s="525"/>
      <c r="S192" s="329"/>
      <c r="T192" s="525"/>
      <c r="U192" s="329"/>
      <c r="V192" s="525"/>
      <c r="W192" s="329"/>
      <c r="X192" s="525"/>
      <c r="Y192" s="329"/>
      <c r="Z192" s="525"/>
      <c r="AA192" s="329"/>
      <c r="AB192" s="525"/>
      <c r="AC192" s="329"/>
      <c r="AD192" s="525"/>
      <c r="AE192" s="329"/>
      <c r="AF192" s="525"/>
      <c r="AG192" s="329"/>
      <c r="AH192" s="525"/>
      <c r="AI192" s="329"/>
      <c r="AJ192" s="525"/>
      <c r="AK192" s="329"/>
      <c r="AL192" s="525"/>
      <c r="AM192" s="329"/>
      <c r="AN192" s="525"/>
      <c r="AO192" s="329"/>
      <c r="AP192" s="525"/>
      <c r="AQ192" s="329"/>
      <c r="AR192" s="525"/>
      <c r="AS192" s="329"/>
      <c r="AT192" s="525"/>
      <c r="AU192" s="329"/>
      <c r="AV192" s="525"/>
      <c r="AW192" s="329"/>
      <c r="AX192" s="525"/>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702" t="s">
        <v>1156</v>
      </c>
      <c r="C193" s="448" t="s">
        <v>2264</v>
      </c>
      <c r="D193" s="534" t="s">
        <v>2733</v>
      </c>
      <c r="E193" s="449"/>
      <c r="F193" s="322">
        <v>1</v>
      </c>
      <c r="G193" s="331">
        <f t="shared" ref="G193" si="52">IF(F193=1,0,1)</f>
        <v>0</v>
      </c>
      <c r="H193" s="339">
        <f>IF(F193=1,1,0)</f>
        <v>1</v>
      </c>
      <c r="I193" s="329"/>
      <c r="M193" s="346" t="s">
        <v>1641</v>
      </c>
      <c r="N193" s="525"/>
      <c r="P193" s="525"/>
      <c r="R193" s="525"/>
      <c r="T193" s="525"/>
      <c r="V193" s="525"/>
      <c r="X193" s="525"/>
      <c r="Z193" s="525"/>
      <c r="AB193" s="525"/>
      <c r="AD193" s="525"/>
      <c r="AF193" s="525"/>
      <c r="AH193" s="525"/>
      <c r="AJ193" s="525"/>
      <c r="AL193" s="525"/>
      <c r="AN193" s="525"/>
      <c r="AP193" s="525"/>
      <c r="AR193" s="525"/>
      <c r="AT193" s="525"/>
      <c r="AV193" s="525"/>
      <c r="AX193" s="525"/>
      <c r="AZ193" s="331"/>
      <c r="BB193" s="331"/>
      <c r="BD193" s="331"/>
      <c r="BF193" s="331"/>
      <c r="BH193" s="331"/>
      <c r="BJ193" s="331"/>
      <c r="BL193" s="331"/>
      <c r="BM193" s="329"/>
      <c r="BN193" s="331"/>
      <c r="BO193" s="329"/>
    </row>
    <row r="194" spans="1:67" ht="36">
      <c r="B194" s="346" t="s">
        <v>1156</v>
      </c>
      <c r="D194" s="534" t="s">
        <v>2558</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5">
        <v>1</v>
      </c>
      <c r="B195" s="329" t="s">
        <v>1687</v>
      </c>
      <c r="C195" s="448" t="s">
        <v>2285</v>
      </c>
      <c r="D195" s="541" t="s">
        <v>2559</v>
      </c>
      <c r="F195" s="559">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c r="A196" s="535">
        <v>1</v>
      </c>
      <c r="B196" s="329" t="s">
        <v>1687</v>
      </c>
      <c r="C196" s="448" t="s">
        <v>2286</v>
      </c>
      <c r="D196" s="541" t="s">
        <v>2560</v>
      </c>
      <c r="F196" s="559">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5">
        <v>1</v>
      </c>
      <c r="B197" s="329" t="s">
        <v>1687</v>
      </c>
      <c r="D197" s="541" t="s">
        <v>2561</v>
      </c>
      <c r="F197" s="559">
        <v>0</v>
      </c>
      <c r="G197" s="333">
        <f t="shared" ref="G197:G205" si="53">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6">
      <c r="A198" s="535">
        <v>1</v>
      </c>
      <c r="B198" s="329" t="s">
        <v>1687</v>
      </c>
      <c r="D198" s="541" t="s">
        <v>2562</v>
      </c>
      <c r="F198" s="559">
        <v>0</v>
      </c>
      <c r="G198" s="333">
        <f t="shared" si="53"/>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5">
        <v>1</v>
      </c>
      <c r="B199" s="329" t="s">
        <v>1687</v>
      </c>
      <c r="D199" s="541" t="s">
        <v>2563</v>
      </c>
      <c r="F199" s="559">
        <v>0</v>
      </c>
      <c r="G199" s="333">
        <f t="shared" si="53"/>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5">
        <v>1</v>
      </c>
      <c r="B200" s="329" t="s">
        <v>1687</v>
      </c>
      <c r="C200" s="448" t="s">
        <v>2259</v>
      </c>
      <c r="D200" s="541" t="s">
        <v>2564</v>
      </c>
      <c r="F200" s="559">
        <v>0</v>
      </c>
      <c r="G200" s="333">
        <f t="shared" si="53"/>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5">
        <v>1</v>
      </c>
      <c r="B201" s="329" t="s">
        <v>1687</v>
      </c>
      <c r="C201" s="448" t="s">
        <v>2259</v>
      </c>
      <c r="D201" s="541" t="s">
        <v>2565</v>
      </c>
      <c r="F201" s="559">
        <v>0</v>
      </c>
      <c r="G201" s="333">
        <f t="shared" si="53"/>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5">
        <v>1</v>
      </c>
      <c r="B202" s="329" t="s">
        <v>1687</v>
      </c>
      <c r="D202" s="541" t="s">
        <v>2566</v>
      </c>
      <c r="F202" s="559">
        <v>0</v>
      </c>
      <c r="G202" s="333">
        <f t="shared" si="53"/>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5">
        <v>1</v>
      </c>
      <c r="B203" s="329" t="s">
        <v>1687</v>
      </c>
      <c r="D203" s="541" t="s">
        <v>2567</v>
      </c>
      <c r="F203" s="559">
        <v>0</v>
      </c>
      <c r="G203" s="333">
        <f t="shared" si="53"/>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5">
        <v>1</v>
      </c>
      <c r="B204" s="329" t="s">
        <v>1687</v>
      </c>
      <c r="D204" s="541" t="s">
        <v>2568</v>
      </c>
      <c r="F204" s="559">
        <v>0</v>
      </c>
      <c r="G204" s="333">
        <f t="shared" si="53"/>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5">
        <v>1</v>
      </c>
      <c r="B205" s="329" t="s">
        <v>1687</v>
      </c>
      <c r="D205" s="541" t="s">
        <v>2569</v>
      </c>
      <c r="F205" s="559">
        <v>0</v>
      </c>
      <c r="G205" s="333">
        <f t="shared" si="53"/>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5">
        <v>1</v>
      </c>
      <c r="B206" s="329" t="s">
        <v>1687</v>
      </c>
      <c r="D206" s="541" t="s">
        <v>1470</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5">
        <v>1</v>
      </c>
      <c r="B207" s="329" t="s">
        <v>1687</v>
      </c>
      <c r="D207" s="541" t="s">
        <v>2570</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5">
        <v>1</v>
      </c>
      <c r="B208" s="329" t="s">
        <v>1687</v>
      </c>
      <c r="D208" s="541" t="s">
        <v>2571</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5">
        <v>1</v>
      </c>
      <c r="B209" s="329" t="s">
        <v>1687</v>
      </c>
      <c r="D209" s="541" t="s">
        <v>1471</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5">
        <v>1</v>
      </c>
      <c r="B210" s="329" t="s">
        <v>1687</v>
      </c>
      <c r="D210" s="541" t="s">
        <v>2572</v>
      </c>
      <c r="F210" s="559">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5">
        <v>1</v>
      </c>
      <c r="B211" s="329" t="s">
        <v>1687</v>
      </c>
      <c r="D211" s="541" t="s">
        <v>2573</v>
      </c>
      <c r="F211" s="559">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5">
        <v>1</v>
      </c>
      <c r="B214" s="329" t="s">
        <v>1456</v>
      </c>
      <c r="D214" s="873" t="s">
        <v>1944</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5">
        <v>1</v>
      </c>
      <c r="B215" s="329" t="s">
        <v>1456</v>
      </c>
      <c r="D215" s="870" t="s">
        <v>1474</v>
      </c>
      <c r="E215" s="449" t="s">
        <v>1574</v>
      </c>
      <c r="F215" s="339"/>
      <c r="G215" s="329">
        <f>((F6*0.5)*H3)</f>
        <v>82.5</v>
      </c>
      <c r="H215" s="329">
        <f>((F6*0.48)*I3)</f>
        <v>0</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5">
        <v>1</v>
      </c>
      <c r="B216" s="329" t="s">
        <v>1456</v>
      </c>
      <c r="D216" s="870" t="s">
        <v>1469</v>
      </c>
      <c r="F216" s="339"/>
      <c r="G216" s="329">
        <f>(F6*0.225)*I3</f>
        <v>0</v>
      </c>
      <c r="H216" s="329">
        <f>(F6*0.245)*H3</f>
        <v>40.424999999999997</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5">
        <v>1</v>
      </c>
      <c r="B217" s="329" t="s">
        <v>1456</v>
      </c>
      <c r="D217" s="541" t="s">
        <v>2704</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5">
        <v>1</v>
      </c>
      <c r="B218" s="329" t="s">
        <v>1456</v>
      </c>
      <c r="D218" s="864" t="s">
        <v>2574</v>
      </c>
      <c r="E218" s="449" t="s">
        <v>1576</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1456</v>
      </c>
      <c r="D219" s="864" t="s">
        <v>2575</v>
      </c>
      <c r="E219" s="449" t="s">
        <v>1575</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1456</v>
      </c>
      <c r="D220" s="541" t="s">
        <v>2705</v>
      </c>
      <c r="F220" s="324">
        <v>90</v>
      </c>
      <c r="I220" s="550" t="s">
        <v>1742</v>
      </c>
      <c r="J220" s="602">
        <f>(-93.565+(2.9979*H3)+(7.9979*H68)+(1.1998*F4)+(0.1499375*F218)+(0.7995*H6))/100</f>
        <v>-0.12663927066115702</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1456</v>
      </c>
      <c r="D221" s="541" t="s">
        <v>2706</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1456</v>
      </c>
      <c r="D222" s="541" t="s">
        <v>2711</v>
      </c>
      <c r="F222" s="559">
        <v>2</v>
      </c>
      <c r="G222" s="333">
        <f>IF(F222=2,1,0)</f>
        <v>1</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1456</v>
      </c>
      <c r="D223" s="393" t="s">
        <v>2362</v>
      </c>
      <c r="E223" s="590"/>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1456</v>
      </c>
      <c r="D224" s="393" t="s">
        <v>2363</v>
      </c>
      <c r="E224" s="590"/>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1456</v>
      </c>
      <c r="D225" s="393" t="s">
        <v>2364</v>
      </c>
      <c r="E225" s="590"/>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1456</v>
      </c>
      <c r="D226" s="393" t="s">
        <v>2365</v>
      </c>
      <c r="E226" s="590"/>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1456</v>
      </c>
      <c r="D227" s="393" t="s">
        <v>2366</v>
      </c>
      <c r="E227" s="590"/>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5">
        <v>1</v>
      </c>
      <c r="B228" s="329" t="s">
        <v>1456</v>
      </c>
      <c r="D228" s="393" t="s">
        <v>2367</v>
      </c>
      <c r="E228" s="590"/>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5"/>
      <c r="B229" s="329" t="s">
        <v>1456</v>
      </c>
      <c r="D229" s="393" t="s">
        <v>2368</v>
      </c>
      <c r="E229" s="590"/>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5">
        <v>1</v>
      </c>
      <c r="B230" s="329" t="s">
        <v>1456</v>
      </c>
      <c r="D230" s="393" t="s">
        <v>2730</v>
      </c>
      <c r="E230" s="590"/>
      <c r="F230" s="88">
        <v>1</v>
      </c>
      <c r="G230" s="319">
        <f>IF(F230=1,2,1)</f>
        <v>2</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5">
        <v>1</v>
      </c>
      <c r="B231" s="329" t="s">
        <v>1456</v>
      </c>
      <c r="D231" s="393" t="s">
        <v>2731</v>
      </c>
      <c r="E231" s="590"/>
      <c r="F231" s="88">
        <v>1</v>
      </c>
      <c r="G231" s="319">
        <f>IF(F231=1,2,1)</f>
        <v>2</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1456</v>
      </c>
      <c r="D232" s="389" t="s">
        <v>751</v>
      </c>
      <c r="E232" s="591"/>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1456</v>
      </c>
      <c r="D233" s="210" t="s">
        <v>753</v>
      </c>
      <c r="E233" s="600" t="s">
        <v>1732</v>
      </c>
      <c r="F233" s="76">
        <v>20</v>
      </c>
      <c r="G233" s="764">
        <f>IF(F233&lt;6,1,IF(F233&gt;16,0,0.5))</f>
        <v>0</v>
      </c>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1456</v>
      </c>
      <c r="D234" s="210" t="s">
        <v>2576</v>
      </c>
      <c r="E234" s="600" t="s">
        <v>1733</v>
      </c>
      <c r="F234" s="76">
        <v>1</v>
      </c>
      <c r="G234" s="764">
        <f t="shared" ref="G234:G235" si="54">IF(F234=1,0.5,0)</f>
        <v>0.5</v>
      </c>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1456</v>
      </c>
      <c r="D235" s="210" t="s">
        <v>2577</v>
      </c>
      <c r="E235" s="600" t="s">
        <v>1734</v>
      </c>
      <c r="F235" s="76">
        <v>0</v>
      </c>
      <c r="G235" s="764">
        <f t="shared" si="54"/>
        <v>0</v>
      </c>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84" t="s">
        <v>2578</v>
      </c>
      <c r="F236" s="76">
        <v>0</v>
      </c>
      <c r="G236" s="764">
        <f>IF(F236=1,0.5,0)</f>
        <v>0</v>
      </c>
      <c r="H236" s="329">
        <f>IF(G236=1,1.5,1)</f>
        <v>1</v>
      </c>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6">
      <c r="B237" s="329" t="s">
        <v>1456</v>
      </c>
      <c r="D237" s="390" t="s">
        <v>2396</v>
      </c>
      <c r="E237" s="600" t="s">
        <v>1735</v>
      </c>
      <c r="F237" s="324">
        <v>3</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1456</v>
      </c>
      <c r="C238" s="448" t="s">
        <v>2358</v>
      </c>
      <c r="D238" s="394" t="s">
        <v>757</v>
      </c>
      <c r="E238" s="601"/>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1456</v>
      </c>
      <c r="C239" s="448" t="s">
        <v>2358</v>
      </c>
      <c r="D239" s="390" t="s">
        <v>756</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1456</v>
      </c>
      <c r="C240" s="448" t="s">
        <v>2358</v>
      </c>
      <c r="D240" s="394" t="s">
        <v>758</v>
      </c>
      <c r="E240" s="592"/>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1456</v>
      </c>
      <c r="C241" s="448" t="s">
        <v>2258</v>
      </c>
      <c r="D241" s="116" t="s">
        <v>1647</v>
      </c>
      <c r="E241" s="449" t="s">
        <v>1731</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1456</v>
      </c>
      <c r="C242" s="448" t="s">
        <v>2287</v>
      </c>
      <c r="D242" s="116" t="s">
        <v>2579</v>
      </c>
      <c r="F242" s="76">
        <v>0</v>
      </c>
      <c r="G242" s="333">
        <f t="shared" ref="G242:G248" si="55">IF(F242=1,1,0)</f>
        <v>0</v>
      </c>
      <c r="H242" s="331">
        <f t="shared" ref="H242:H244" si="56">IF(G242=1,1.2,0.8)</f>
        <v>0.8</v>
      </c>
      <c r="I242" s="351" t="s">
        <v>1727</v>
      </c>
      <c r="J242" s="329">
        <f>MAX(H242:H246)</f>
        <v>1.2</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1456</v>
      </c>
      <c r="C243" s="448" t="s">
        <v>2287</v>
      </c>
      <c r="D243" s="116" t="s">
        <v>2580</v>
      </c>
      <c r="F243" s="76">
        <v>0</v>
      </c>
      <c r="G243" s="333">
        <f t="shared" si="55"/>
        <v>0</v>
      </c>
      <c r="H243" s="331">
        <f t="shared" si="56"/>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5.4">
      <c r="B244" s="329" t="s">
        <v>1456</v>
      </c>
      <c r="C244" s="448" t="s">
        <v>2287</v>
      </c>
      <c r="D244" s="116" t="s">
        <v>2581</v>
      </c>
      <c r="F244" s="76">
        <v>0</v>
      </c>
      <c r="G244" s="333">
        <f t="shared" si="55"/>
        <v>0</v>
      </c>
      <c r="H244" s="331">
        <f t="shared" si="56"/>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1456</v>
      </c>
      <c r="C245" s="448" t="s">
        <v>2287</v>
      </c>
      <c r="D245" s="116" t="s">
        <v>2582</v>
      </c>
      <c r="F245" s="76">
        <v>1</v>
      </c>
      <c r="G245" s="333">
        <f t="shared" si="55"/>
        <v>1</v>
      </c>
      <c r="H245" s="331">
        <f t="shared" ref="H245" si="57">IF(G245=1,1.2,0.8)</f>
        <v>1.2</v>
      </c>
      <c r="I245" s="769">
        <f>IF(F245=1,2.5,1)</f>
        <v>2.5</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1456</v>
      </c>
      <c r="D246" s="541" t="s">
        <v>2583</v>
      </c>
      <c r="F246" s="76">
        <v>0</v>
      </c>
      <c r="G246" s="333">
        <f t="shared" si="55"/>
        <v>0</v>
      </c>
      <c r="H246" s="331">
        <f t="shared" ref="H246" si="58">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1456</v>
      </c>
      <c r="C247" s="448" t="s">
        <v>2288</v>
      </c>
      <c r="D247" s="541" t="s">
        <v>2584</v>
      </c>
      <c r="F247" s="76">
        <v>0</v>
      </c>
      <c r="G247" s="333">
        <f t="shared" si="55"/>
        <v>0</v>
      </c>
      <c r="H247" s="331">
        <f t="shared" ref="H247:H248" si="59">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1456</v>
      </c>
      <c r="C248" s="448" t="s">
        <v>2288</v>
      </c>
      <c r="D248" s="541" t="s">
        <v>2585</v>
      </c>
      <c r="F248" s="76">
        <v>0</v>
      </c>
      <c r="G248" s="333">
        <f t="shared" si="55"/>
        <v>0</v>
      </c>
      <c r="H248" s="331">
        <f t="shared" si="59"/>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5">
        <v>1</v>
      </c>
      <c r="B249" s="342" t="s">
        <v>1047</v>
      </c>
      <c r="C249" s="448" t="s">
        <v>2267</v>
      </c>
      <c r="D249" s="546" t="s">
        <v>2586</v>
      </c>
      <c r="E249" s="886"/>
      <c r="F249" s="887">
        <v>30</v>
      </c>
      <c r="G249" s="683" t="s">
        <v>1723</v>
      </c>
      <c r="H249" s="329">
        <f>(F249/20)*F250</f>
        <v>7.5</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5">
        <v>1</v>
      </c>
      <c r="B250" s="342" t="s">
        <v>1047</v>
      </c>
      <c r="C250" s="448" t="s">
        <v>2267</v>
      </c>
      <c r="D250" s="546" t="s">
        <v>2678</v>
      </c>
      <c r="E250" s="886"/>
      <c r="F250" s="887">
        <v>5</v>
      </c>
      <c r="G250" s="324" t="s">
        <v>2356</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c r="A251" s="535">
        <v>1</v>
      </c>
      <c r="B251" s="342" t="s">
        <v>1047</v>
      </c>
      <c r="D251" s="546" t="s">
        <v>2587</v>
      </c>
      <c r="F251" s="559">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1686</v>
      </c>
      <c r="D254" s="549" t="s">
        <v>2588</v>
      </c>
      <c r="F254" s="559">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1686</v>
      </c>
      <c r="C255" s="448" t="s">
        <v>2276</v>
      </c>
      <c r="D255" s="549" t="s">
        <v>2589</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1686</v>
      </c>
      <c r="C256" s="448" t="s">
        <v>2275</v>
      </c>
      <c r="D256" s="549" t="s">
        <v>2590</v>
      </c>
      <c r="F256" s="559">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1046</v>
      </c>
      <c r="C257" s="448" t="s">
        <v>2278</v>
      </c>
      <c r="D257" s="668" t="s">
        <v>2591</v>
      </c>
      <c r="F257" s="559">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1046</v>
      </c>
      <c r="C258" s="448" t="s">
        <v>2278</v>
      </c>
      <c r="D258" s="668" t="s">
        <v>2679</v>
      </c>
      <c r="F258" s="559">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1046</v>
      </c>
      <c r="C259" s="448" t="s">
        <v>2279</v>
      </c>
      <c r="D259" s="668" t="s">
        <v>2592</v>
      </c>
      <c r="F259" s="559">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1686</v>
      </c>
      <c r="C261" s="448" t="s">
        <v>2289</v>
      </c>
      <c r="D261" s="703" t="s">
        <v>1988</v>
      </c>
      <c r="F261" s="326" t="s">
        <v>2247</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1686</v>
      </c>
      <c r="C262" s="448" t="s">
        <v>2290</v>
      </c>
      <c r="D262" s="703" t="s">
        <v>1989</v>
      </c>
      <c r="F262" s="326" t="s">
        <v>2247</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1686</v>
      </c>
      <c r="C263" s="448" t="s">
        <v>2291</v>
      </c>
      <c r="D263" s="703" t="s">
        <v>1988</v>
      </c>
      <c r="F263" s="326" t="s">
        <v>2247</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1686</v>
      </c>
      <c r="C264" s="448" t="s">
        <v>2292</v>
      </c>
      <c r="D264" s="703" t="s">
        <v>1989</v>
      </c>
      <c r="F264" s="326" t="s">
        <v>2247</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1686</v>
      </c>
      <c r="C265" s="448" t="s">
        <v>2293</v>
      </c>
      <c r="D265" s="703" t="s">
        <v>1989</v>
      </c>
      <c r="F265" s="326" t="s">
        <v>2247</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1686</v>
      </c>
      <c r="C266" s="448" t="s">
        <v>2294</v>
      </c>
      <c r="D266" s="703" t="s">
        <v>1988</v>
      </c>
      <c r="F266" s="326" t="s">
        <v>2247</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1686</v>
      </c>
      <c r="C267" s="448" t="s">
        <v>2295</v>
      </c>
      <c r="D267" s="703" t="s">
        <v>1989</v>
      </c>
      <c r="F267" s="326" t="s">
        <v>2247</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1686</v>
      </c>
      <c r="C268" s="448" t="s">
        <v>2296</v>
      </c>
      <c r="D268" s="703" t="s">
        <v>1989</v>
      </c>
      <c r="F268" s="326" t="s">
        <v>2247</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1686</v>
      </c>
      <c r="C269" s="448" t="s">
        <v>2297</v>
      </c>
      <c r="D269" s="703" t="s">
        <v>1988</v>
      </c>
      <c r="F269" s="326" t="s">
        <v>2247</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1686</v>
      </c>
      <c r="C270" s="448" t="s">
        <v>2298</v>
      </c>
      <c r="D270" s="703" t="s">
        <v>1988</v>
      </c>
      <c r="F270" s="326" t="s">
        <v>2247</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6">
      <c r="B271" s="329" t="s">
        <v>1686</v>
      </c>
      <c r="C271" s="448" t="s">
        <v>2257</v>
      </c>
      <c r="D271" s="703" t="s">
        <v>1990</v>
      </c>
      <c r="F271" s="326" t="s">
        <v>2247</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6">
      <c r="B272" s="329" t="s">
        <v>1686</v>
      </c>
      <c r="C272" s="448" t="s">
        <v>2275</v>
      </c>
      <c r="D272" s="871" t="s">
        <v>1991</v>
      </c>
      <c r="F272" s="326" t="s">
        <v>2247</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6">
      <c r="B273" s="329" t="s">
        <v>1686</v>
      </c>
      <c r="C273" s="448" t="s">
        <v>2276</v>
      </c>
      <c r="D273" s="871" t="s">
        <v>1992</v>
      </c>
      <c r="F273" s="326" t="s">
        <v>2247</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1686</v>
      </c>
      <c r="C274" s="448" t="s">
        <v>2299</v>
      </c>
      <c r="D274" s="871" t="s">
        <v>1993</v>
      </c>
      <c r="F274" s="326" t="s">
        <v>2247</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1686</v>
      </c>
      <c r="C275" s="448" t="s">
        <v>2300</v>
      </c>
      <c r="D275" s="871" t="s">
        <v>1994</v>
      </c>
      <c r="F275" s="326" t="s">
        <v>2247</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1686</v>
      </c>
      <c r="C276" s="448" t="s">
        <v>2301</v>
      </c>
      <c r="D276" s="871" t="s">
        <v>1993</v>
      </c>
      <c r="F276" s="326" t="s">
        <v>2247</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1686</v>
      </c>
      <c r="C277" s="448" t="s">
        <v>2302</v>
      </c>
      <c r="D277" s="871" t="s">
        <v>1993</v>
      </c>
      <c r="F277" s="326" t="s">
        <v>2247</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1686</v>
      </c>
      <c r="C278" s="448" t="s">
        <v>2303</v>
      </c>
      <c r="D278" s="871" t="s">
        <v>1994</v>
      </c>
      <c r="F278" s="326" t="s">
        <v>2247</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1686</v>
      </c>
      <c r="C279" s="448" t="s">
        <v>2304</v>
      </c>
      <c r="D279" s="871" t="s">
        <v>1993</v>
      </c>
      <c r="F279" s="326" t="s">
        <v>2247</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1686</v>
      </c>
      <c r="C280" s="448" t="s">
        <v>2305</v>
      </c>
      <c r="D280" s="871" t="s">
        <v>1993</v>
      </c>
      <c r="F280" s="326" t="s">
        <v>2247</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1686</v>
      </c>
      <c r="C281" s="448" t="s">
        <v>2306</v>
      </c>
      <c r="D281" s="871" t="s">
        <v>1995</v>
      </c>
      <c r="F281" s="326" t="s">
        <v>2247</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1686</v>
      </c>
      <c r="C282" s="448" t="s">
        <v>2307</v>
      </c>
      <c r="D282" s="871" t="s">
        <v>1993</v>
      </c>
      <c r="F282" s="326" t="s">
        <v>2247</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1686</v>
      </c>
      <c r="C283" s="448" t="s">
        <v>2308</v>
      </c>
      <c r="D283" s="871" t="s">
        <v>1993</v>
      </c>
      <c r="F283" s="326" t="s">
        <v>2247</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1686</v>
      </c>
      <c r="C284" s="448" t="s">
        <v>2309</v>
      </c>
      <c r="D284" s="871" t="s">
        <v>1993</v>
      </c>
      <c r="F284" s="326" t="s">
        <v>2247</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1686</v>
      </c>
      <c r="C285" s="448" t="s">
        <v>2310</v>
      </c>
      <c r="D285" s="871" t="s">
        <v>1993</v>
      </c>
      <c r="F285" s="326" t="s">
        <v>2247</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1686</v>
      </c>
      <c r="C286" s="448" t="s">
        <v>2311</v>
      </c>
      <c r="D286" s="871" t="s">
        <v>1993</v>
      </c>
      <c r="F286" s="326" t="s">
        <v>2247</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6">
      <c r="B287" s="329" t="s">
        <v>1686</v>
      </c>
      <c r="D287" s="871" t="s">
        <v>1996</v>
      </c>
      <c r="F287" s="326" t="s">
        <v>2247</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1686</v>
      </c>
      <c r="C288" s="448" t="s">
        <v>2312</v>
      </c>
      <c r="D288" s="703" t="s">
        <v>1997</v>
      </c>
      <c r="F288" s="326" t="s">
        <v>2247</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1686</v>
      </c>
      <c r="C289" s="448" t="s">
        <v>2313</v>
      </c>
      <c r="D289" s="703" t="s">
        <v>1997</v>
      </c>
      <c r="F289" s="326" t="s">
        <v>2247</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1686</v>
      </c>
      <c r="C290" s="448" t="s">
        <v>2314</v>
      </c>
      <c r="D290" s="703" t="s">
        <v>1997</v>
      </c>
      <c r="F290" s="326" t="s">
        <v>2247</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1686</v>
      </c>
      <c r="C291" s="448" t="s">
        <v>2315</v>
      </c>
      <c r="D291" s="703" t="s">
        <v>1998</v>
      </c>
      <c r="F291" s="326" t="s">
        <v>2247</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1686</v>
      </c>
      <c r="C292" s="448" t="s">
        <v>2316</v>
      </c>
      <c r="D292" s="703" t="s">
        <v>1997</v>
      </c>
      <c r="F292" s="326" t="s">
        <v>2247</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1686</v>
      </c>
      <c r="C293" s="448" t="s">
        <v>2317</v>
      </c>
      <c r="D293" s="703" t="s">
        <v>1997</v>
      </c>
      <c r="F293" s="326" t="s">
        <v>2247</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1686</v>
      </c>
      <c r="C294" s="448" t="s">
        <v>2318</v>
      </c>
      <c r="D294" s="703" t="s">
        <v>1997</v>
      </c>
      <c r="F294" s="326" t="s">
        <v>2247</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1686</v>
      </c>
      <c r="C295" s="448" t="s">
        <v>2319</v>
      </c>
      <c r="D295" s="703" t="s">
        <v>1997</v>
      </c>
      <c r="F295" s="326" t="s">
        <v>2247</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1686</v>
      </c>
      <c r="C296" s="448" t="s">
        <v>2320</v>
      </c>
      <c r="D296" s="703" t="s">
        <v>1997</v>
      </c>
      <c r="F296" s="326" t="s">
        <v>2247</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1686</v>
      </c>
      <c r="C297" s="448" t="s">
        <v>2321</v>
      </c>
      <c r="D297" s="703" t="s">
        <v>1997</v>
      </c>
      <c r="F297" s="326" t="s">
        <v>2247</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1686</v>
      </c>
      <c r="C298" s="448" t="s">
        <v>2322</v>
      </c>
      <c r="D298" s="703" t="s">
        <v>1997</v>
      </c>
      <c r="F298" s="326" t="s">
        <v>2247</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1686</v>
      </c>
      <c r="C299" s="448" t="s">
        <v>2323</v>
      </c>
      <c r="D299" s="703" t="s">
        <v>1997</v>
      </c>
      <c r="F299" s="326" t="s">
        <v>2247</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1686</v>
      </c>
      <c r="C300" s="448" t="s">
        <v>2324</v>
      </c>
      <c r="D300" s="703" t="s">
        <v>1997</v>
      </c>
      <c r="F300" s="326" t="s">
        <v>2247</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1686</v>
      </c>
      <c r="C301" s="448" t="s">
        <v>2325</v>
      </c>
      <c r="D301" s="703" t="s">
        <v>1998</v>
      </c>
      <c r="F301" s="326" t="s">
        <v>2247</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1686</v>
      </c>
      <c r="C302" s="448" t="s">
        <v>2326</v>
      </c>
      <c r="D302" s="703" t="s">
        <v>1997</v>
      </c>
      <c r="F302" s="326" t="s">
        <v>2247</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1686</v>
      </c>
      <c r="C303" s="448" t="s">
        <v>2327</v>
      </c>
      <c r="D303" s="703" t="s">
        <v>1997</v>
      </c>
      <c r="F303" s="326" t="s">
        <v>2247</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1686</v>
      </c>
      <c r="C304" s="448" t="s">
        <v>2328</v>
      </c>
      <c r="D304" s="703" t="s">
        <v>1997</v>
      </c>
      <c r="F304" s="326" t="s">
        <v>2247</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6">
      <c r="B305" s="329" t="s">
        <v>1686</v>
      </c>
      <c r="D305" s="703" t="s">
        <v>1999</v>
      </c>
      <c r="F305" s="326" t="s">
        <v>2247</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1686</v>
      </c>
      <c r="C306" s="448" t="s">
        <v>2285</v>
      </c>
      <c r="D306" s="703" t="s">
        <v>2000</v>
      </c>
      <c r="F306" s="326" t="s">
        <v>2247</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6">
      <c r="B307" s="329" t="s">
        <v>1686</v>
      </c>
      <c r="C307" s="448" t="s">
        <v>2329</v>
      </c>
      <c r="D307" s="540" t="s">
        <v>2001</v>
      </c>
      <c r="F307" s="326" t="s">
        <v>2247</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6">
      <c r="B308" s="329" t="s">
        <v>1686</v>
      </c>
      <c r="C308" s="448" t="s">
        <v>2330</v>
      </c>
      <c r="D308" s="540" t="s">
        <v>2001</v>
      </c>
      <c r="F308" s="326" t="s">
        <v>2247</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6">
      <c r="B309" s="329" t="s">
        <v>1686</v>
      </c>
      <c r="C309" s="448" t="s">
        <v>2331</v>
      </c>
      <c r="D309" s="540" t="s">
        <v>2001</v>
      </c>
      <c r="F309" s="326" t="s">
        <v>2247</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6">
      <c r="B310" s="329" t="s">
        <v>1686</v>
      </c>
      <c r="C310" s="448" t="s">
        <v>2332</v>
      </c>
      <c r="D310" s="540" t="s">
        <v>2001</v>
      </c>
      <c r="F310" s="326" t="s">
        <v>2247</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6">
      <c r="B311" s="329" t="s">
        <v>1686</v>
      </c>
      <c r="C311" s="448" t="s">
        <v>2333</v>
      </c>
      <c r="D311" s="540" t="s">
        <v>2001</v>
      </c>
      <c r="F311" s="326" t="s">
        <v>2247</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6">
      <c r="B312" s="329" t="s">
        <v>1686</v>
      </c>
      <c r="C312" s="448" t="s">
        <v>2334</v>
      </c>
      <c r="D312" s="540" t="s">
        <v>2001</v>
      </c>
      <c r="F312" s="326" t="s">
        <v>2247</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6">
      <c r="B313" s="329" t="s">
        <v>1686</v>
      </c>
      <c r="C313" s="448" t="s">
        <v>2335</v>
      </c>
      <c r="D313" s="540" t="s">
        <v>2001</v>
      </c>
      <c r="F313" s="326" t="s">
        <v>2247</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6">
      <c r="B314" s="329" t="s">
        <v>1686</v>
      </c>
      <c r="C314" s="448" t="s">
        <v>2336</v>
      </c>
      <c r="D314" s="540" t="s">
        <v>2001</v>
      </c>
      <c r="F314" s="326" t="s">
        <v>2247</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6">
      <c r="B315" s="329" t="s">
        <v>1686</v>
      </c>
      <c r="C315" s="448" t="s">
        <v>2337</v>
      </c>
      <c r="D315" s="540" t="s">
        <v>2001</v>
      </c>
      <c r="F315" s="326" t="s">
        <v>2247</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6">
      <c r="B316" s="329" t="s">
        <v>1686</v>
      </c>
      <c r="C316" s="448" t="s">
        <v>2338</v>
      </c>
      <c r="D316" s="540" t="s">
        <v>2001</v>
      </c>
      <c r="F316" s="326" t="s">
        <v>2247</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6">
      <c r="B317" s="329" t="s">
        <v>1686</v>
      </c>
      <c r="C317" s="448" t="s">
        <v>2339</v>
      </c>
      <c r="D317" s="540" t="s">
        <v>2001</v>
      </c>
      <c r="F317" s="326" t="s">
        <v>2247</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6">
      <c r="B318" s="329" t="s">
        <v>1686</v>
      </c>
      <c r="C318" s="448" t="s">
        <v>2340</v>
      </c>
      <c r="D318" s="540" t="s">
        <v>2001</v>
      </c>
      <c r="F318" s="326" t="s">
        <v>2247</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6">
      <c r="B319" s="329" t="s">
        <v>1686</v>
      </c>
      <c r="C319" s="448" t="s">
        <v>2341</v>
      </c>
      <c r="D319" s="540" t="s">
        <v>2001</v>
      </c>
      <c r="F319" s="326" t="s">
        <v>2247</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36">
      <c r="B320" s="329" t="s">
        <v>1686</v>
      </c>
      <c r="C320" s="448" t="s">
        <v>2270</v>
      </c>
      <c r="D320" s="540" t="s">
        <v>2002</v>
      </c>
      <c r="F320" s="326" t="s">
        <v>2247</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1686</v>
      </c>
      <c r="C321" s="448" t="s">
        <v>2342</v>
      </c>
      <c r="D321" s="703" t="s">
        <v>2003</v>
      </c>
      <c r="F321" s="326" t="s">
        <v>2247</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1686</v>
      </c>
      <c r="C322" s="448" t="s">
        <v>2343</v>
      </c>
      <c r="D322" s="703" t="s">
        <v>2003</v>
      </c>
      <c r="F322" s="326" t="s">
        <v>2247</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1686</v>
      </c>
      <c r="C323" s="448" t="s">
        <v>2344</v>
      </c>
      <c r="D323" s="703" t="s">
        <v>2004</v>
      </c>
      <c r="F323" s="326" t="s">
        <v>2247</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6">
      <c r="B324" s="329" t="s">
        <v>1686</v>
      </c>
      <c r="C324" s="448" t="s">
        <v>2281</v>
      </c>
      <c r="D324" s="703" t="s">
        <v>2005</v>
      </c>
      <c r="F324" s="326" t="s">
        <v>2247</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c r="B325" s="329" t="s">
        <v>1686</v>
      </c>
      <c r="C325" s="448" t="s">
        <v>2345</v>
      </c>
      <c r="D325" s="534" t="s">
        <v>2006</v>
      </c>
      <c r="F325" s="326" t="s">
        <v>2247</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1686</v>
      </c>
      <c r="C326" s="448" t="s">
        <v>2346</v>
      </c>
      <c r="D326" s="534" t="s">
        <v>2007</v>
      </c>
      <c r="F326" s="326" t="s">
        <v>2247</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1686</v>
      </c>
      <c r="C327" s="448" t="s">
        <v>2347</v>
      </c>
      <c r="D327" s="335" t="s">
        <v>2008</v>
      </c>
      <c r="F327" s="326" t="s">
        <v>2247</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1686</v>
      </c>
      <c r="C328" s="448" t="s">
        <v>2348</v>
      </c>
      <c r="D328" s="537" t="s">
        <v>2009</v>
      </c>
      <c r="F328" s="326" t="s">
        <v>2247</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1686</v>
      </c>
      <c r="C329" s="448" t="s">
        <v>2349</v>
      </c>
      <c r="D329" s="546" t="s">
        <v>2010</v>
      </c>
      <c r="F329" s="326" t="s">
        <v>2247</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1686</v>
      </c>
      <c r="C330" s="448" t="s">
        <v>2350</v>
      </c>
      <c r="D330" s="546" t="s">
        <v>2011</v>
      </c>
      <c r="F330" s="326" t="s">
        <v>2247</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1686</v>
      </c>
      <c r="C331" s="448" t="s">
        <v>2351</v>
      </c>
      <c r="D331" s="546" t="s">
        <v>2011</v>
      </c>
      <c r="F331" s="326" t="s">
        <v>2247</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1686</v>
      </c>
      <c r="C332" s="448" t="s">
        <v>2352</v>
      </c>
      <c r="D332" s="546" t="s">
        <v>2012</v>
      </c>
      <c r="F332" s="326" t="s">
        <v>2247</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1686</v>
      </c>
      <c r="C333" s="448" t="s">
        <v>2353</v>
      </c>
      <c r="D333" s="546" t="s">
        <v>2013</v>
      </c>
      <c r="F333" s="326" t="s">
        <v>2247</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1686</v>
      </c>
      <c r="C334" s="448" t="s">
        <v>2354</v>
      </c>
      <c r="D334" s="546" t="s">
        <v>2014</v>
      </c>
      <c r="F334" s="326" t="s">
        <v>2247</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0">
      <c r="B336" s="329" t="s">
        <v>2015</v>
      </c>
      <c r="C336" s="837" t="s">
        <v>2248</v>
      </c>
      <c r="D336" s="537" t="s">
        <v>2593</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5">
        <v>1</v>
      </c>
      <c r="B337" s="329" t="s">
        <v>2015</v>
      </c>
      <c r="C337" s="448" t="s">
        <v>2245</v>
      </c>
      <c r="D337" s="705" t="s">
        <v>2594</v>
      </c>
      <c r="F337" s="559">
        <v>1</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ht="36">
      <c r="A338" s="535">
        <v>1</v>
      </c>
      <c r="B338" s="329" t="s">
        <v>2015</v>
      </c>
      <c r="C338" s="448" t="s">
        <v>2246</v>
      </c>
      <c r="D338" s="537" t="s">
        <v>2595</v>
      </c>
      <c r="F338" s="559">
        <v>1</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5">
        <v>1</v>
      </c>
      <c r="B339" s="329" t="s">
        <v>2015</v>
      </c>
      <c r="C339" s="448" t="s">
        <v>2246</v>
      </c>
      <c r="D339" s="537" t="s">
        <v>2596</v>
      </c>
      <c r="F339" s="559">
        <v>1</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6">
      <c r="A340" s="535">
        <v>1</v>
      </c>
      <c r="B340" s="329" t="s">
        <v>2015</v>
      </c>
      <c r="C340" s="448" t="s">
        <v>2246</v>
      </c>
      <c r="D340" s="537" t="s">
        <v>2597</v>
      </c>
      <c r="F340" s="559">
        <v>1</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2015</v>
      </c>
      <c r="D341" s="703" t="s">
        <v>2016</v>
      </c>
      <c r="F341" s="326" t="s">
        <v>2397</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c r="B342" s="329" t="s">
        <v>2015</v>
      </c>
      <c r="C342" s="448" t="s">
        <v>2268</v>
      </c>
      <c r="D342" s="546" t="s">
        <v>2598</v>
      </c>
      <c r="F342" s="559">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6">
      <c r="B343" s="329" t="s">
        <v>2015</v>
      </c>
      <c r="C343" s="448" t="s">
        <v>2269</v>
      </c>
      <c r="D343" s="546" t="s">
        <v>2600</v>
      </c>
      <c r="F343" s="559">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6">
      <c r="B344" s="329" t="s">
        <v>2015</v>
      </c>
      <c r="D344" s="541" t="s">
        <v>2017</v>
      </c>
      <c r="F344" s="849" t="s">
        <v>2397</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2015</v>
      </c>
      <c r="C345" s="448" t="s">
        <v>2266</v>
      </c>
      <c r="D345" s="534" t="s">
        <v>2599</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s="329" t="s">
        <v>2015</v>
      </c>
      <c r="C346"/>
      <c r="D346" s="890" t="s">
        <v>2712</v>
      </c>
      <c r="E346"/>
      <c r="F346" s="890">
        <v>80</v>
      </c>
      <c r="G346" s="329">
        <f>F346-F217</f>
        <v>10</v>
      </c>
      <c r="H346" s="329">
        <f>IF(G346&gt;30,1,0)</f>
        <v>0</v>
      </c>
      <c r="I346" s="891" t="s">
        <v>2714</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D347" s="541" t="s">
        <v>2713</v>
      </c>
      <c r="F347" s="324">
        <v>70</v>
      </c>
      <c r="G347" s="329">
        <f>F218-F347</f>
        <v>40</v>
      </c>
      <c r="H347" s="329">
        <f>IF(G347&gt;20,1,0)</f>
        <v>1</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5">
        <v>1</v>
      </c>
      <c r="B351" s="360" t="s">
        <v>1041</v>
      </c>
      <c r="D351" s="541" t="s">
        <v>2239</v>
      </c>
      <c r="F351" s="326" t="s">
        <v>2370</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5">
        <v>1</v>
      </c>
      <c r="B352" s="360" t="s">
        <v>1041</v>
      </c>
      <c r="D352" s="541" t="s">
        <v>2240</v>
      </c>
      <c r="F352" s="326" t="s">
        <v>2371</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5">
        <v>1</v>
      </c>
      <c r="B353" s="360" t="s">
        <v>1041</v>
      </c>
      <c r="D353" s="541" t="s">
        <v>2241</v>
      </c>
      <c r="F353" s="839" t="s">
        <v>2372</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5">
        <v>1</v>
      </c>
      <c r="B354" s="360" t="s">
        <v>1041</v>
      </c>
      <c r="D354" s="541" t="s">
        <v>2242</v>
      </c>
      <c r="F354" s="850">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5">
        <v>1</v>
      </c>
      <c r="B355" s="360" t="s">
        <v>1041</v>
      </c>
      <c r="D355" s="541" t="s">
        <v>2243</v>
      </c>
      <c r="F355" s="838" t="s">
        <v>2249</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5">
        <v>1</v>
      </c>
      <c r="B356" s="360" t="s">
        <v>1041</v>
      </c>
      <c r="D356" s="541" t="s">
        <v>2244</v>
      </c>
      <c r="F356" s="326" t="s">
        <v>2247</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92:H99 H194: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4:F236 F242:F248 F345 F63:F64 F66 F114:F132 F179 F188:F194 F5 F12 F17 D336 F147 F222 F230:F231"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34" activePane="bottomLeft" state="frozen"/>
      <selection activeCell="B1" sqref="B1"/>
      <selection pane="bottomLeft" activeCell="F251" sqref="F251"/>
    </sheetView>
  </sheetViews>
  <sheetFormatPr defaultColWidth="97.5546875" defaultRowHeight="17.399999999999999"/>
  <cols>
    <col min="1" max="1" width="49.6640625" style="284" customWidth="1"/>
    <col min="2" max="2" width="41.109375" style="72" customWidth="1"/>
    <col min="3" max="3" width="16.5546875" style="70" customWidth="1"/>
    <col min="4" max="4" width="97.5546875" style="116"/>
    <col min="5" max="5" width="29.77734375" style="72" customWidth="1"/>
    <col min="6" max="6" width="27.5546875" style="76" customWidth="1"/>
    <col min="7" max="7" width="5.5546875" style="72" bestFit="1" customWidth="1"/>
    <col min="8" max="8" width="22.5546875" style="72" bestFit="1" customWidth="1"/>
    <col min="9" max="9" width="18.21875" style="72" bestFit="1" customWidth="1"/>
    <col min="10" max="10" width="25.77734375" style="72" bestFit="1" customWidth="1"/>
    <col min="11" max="11" width="29.88671875" style="72" bestFit="1" customWidth="1"/>
    <col min="12" max="12" width="23.21875" style="72" bestFit="1" customWidth="1"/>
    <col min="13" max="13" width="20.21875" style="72" bestFit="1" customWidth="1"/>
    <col min="14" max="14" width="15" style="72" bestFit="1" customWidth="1"/>
    <col min="15" max="15" width="20.109375" style="72" bestFit="1" customWidth="1"/>
    <col min="16" max="16" width="23" style="72" bestFit="1" customWidth="1"/>
    <col min="17" max="17" width="31.21875" style="72" bestFit="1" customWidth="1"/>
    <col min="18" max="18" width="31.77734375" style="72" bestFit="1" customWidth="1"/>
    <col min="19" max="19" width="28.21875" style="72" bestFit="1" customWidth="1"/>
    <col min="20" max="20" width="27.5546875" style="72" bestFit="1" customWidth="1"/>
    <col min="21" max="21" width="20.77734375" style="72" bestFit="1" customWidth="1"/>
    <col min="22" max="22" width="31.88671875" style="72" bestFit="1" customWidth="1"/>
    <col min="23" max="23" width="33.88671875" style="72" bestFit="1" customWidth="1"/>
    <col min="24" max="24" width="29.88671875" style="72" bestFit="1" customWidth="1"/>
    <col min="25" max="25" width="23" style="72" bestFit="1" customWidth="1"/>
    <col min="26" max="26" width="15.21875" style="72" bestFit="1" customWidth="1"/>
    <col min="27" max="27" width="20.44140625" style="72" bestFit="1" customWidth="1"/>
    <col min="28" max="28" width="22.109375" style="72" bestFit="1" customWidth="1"/>
    <col min="29" max="29" width="35.88671875" style="72" bestFit="1" customWidth="1"/>
    <col min="30" max="30" width="20.44140625" style="72" bestFit="1" customWidth="1"/>
    <col min="31" max="31" width="18.21875" style="72" customWidth="1"/>
    <col min="32" max="16384" width="97.5546875" style="72"/>
  </cols>
  <sheetData>
    <row r="1" spans="1:33">
      <c r="B1" s="97"/>
      <c r="D1" s="114"/>
      <c r="F1" s="98" t="s">
        <v>85</v>
      </c>
      <c r="H1" s="79" t="s">
        <v>86</v>
      </c>
      <c r="I1" s="99">
        <f ca="1">TODAY()</f>
        <v>46126</v>
      </c>
    </row>
    <row r="2" spans="1:33">
      <c r="A2" s="281" t="s">
        <v>203</v>
      </c>
      <c r="B2" s="100"/>
      <c r="D2" s="115" t="s">
        <v>81</v>
      </c>
      <c r="F2" s="73">
        <f ca="1">TODAY()</f>
        <v>46126</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954</v>
      </c>
      <c r="D3" s="115" t="s">
        <v>656</v>
      </c>
      <c r="F3" s="74" t="str">
        <f>IF(AUTOQUESTIONNAIRE!F3=1,"H","F")</f>
        <v>H</v>
      </c>
      <c r="H3" s="75">
        <f>IF(F3="H",1,0)</f>
        <v>1</v>
      </c>
    </row>
    <row r="4" spans="1:33">
      <c r="A4" s="283" t="s">
        <v>955</v>
      </c>
      <c r="B4" s="85"/>
      <c r="D4" s="116" t="s">
        <v>657</v>
      </c>
      <c r="H4" s="75">
        <f>IF(F3="F",1,0)</f>
        <v>0</v>
      </c>
    </row>
    <row r="5" spans="1:33">
      <c r="A5" s="283" t="s">
        <v>956</v>
      </c>
      <c r="D5" s="116" t="s">
        <v>658</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812</v>
      </c>
      <c r="B6" s="72" t="s">
        <v>1034</v>
      </c>
      <c r="D6" s="115" t="s">
        <v>666</v>
      </c>
      <c r="F6" s="111">
        <f>AUTOQUESTIONNAIRE!F4</f>
        <v>51</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957</v>
      </c>
      <c r="B7" s="85"/>
      <c r="D7" s="115" t="s">
        <v>745</v>
      </c>
      <c r="E7" s="72" t="s">
        <v>1035</v>
      </c>
      <c r="F7" s="74" t="str">
        <f>IF(AUTOQUESTIONNAIRE!F5=0,"E",IF(AUTOQUESTIONNAIRE!F5=1,"AS","AF"))</f>
        <v>E</v>
      </c>
    </row>
    <row r="8" spans="1:33">
      <c r="A8" s="286" t="s">
        <v>801</v>
      </c>
      <c r="D8" s="116" t="s">
        <v>661</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958</v>
      </c>
      <c r="D9" s="116" t="s">
        <v>662</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959</v>
      </c>
      <c r="D10" s="116" t="s">
        <v>663</v>
      </c>
    </row>
    <row r="11" spans="1:33">
      <c r="A11" s="287" t="s">
        <v>804</v>
      </c>
      <c r="B11" s="85"/>
      <c r="D11" s="117" t="s">
        <v>667</v>
      </c>
      <c r="F11" s="120" t="str">
        <f>IF(AUTOQUESTIONNAIRE!F22=0,"N","Y")</f>
        <v>Y</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958</v>
      </c>
      <c r="D12" s="118" t="s">
        <v>659</v>
      </c>
    </row>
    <row r="13" spans="1:33">
      <c r="A13" s="283" t="s">
        <v>959</v>
      </c>
      <c r="D13" s="118" t="s">
        <v>660</v>
      </c>
    </row>
    <row r="14" spans="1:33" ht="57.6">
      <c r="A14" s="288" t="s">
        <v>805</v>
      </c>
      <c r="D14" s="118" t="s">
        <v>668</v>
      </c>
      <c r="F14" s="594"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958</v>
      </c>
      <c r="D15" s="118" t="s">
        <v>659</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959</v>
      </c>
      <c r="D16" s="118" t="s">
        <v>660</v>
      </c>
    </row>
    <row r="17" spans="1:31" ht="28.8">
      <c r="A17" s="288" t="s">
        <v>806</v>
      </c>
      <c r="D17" s="118" t="s">
        <v>669</v>
      </c>
      <c r="F17" s="594"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958</v>
      </c>
      <c r="D18" s="118" t="s">
        <v>659</v>
      </c>
      <c r="I18" s="84" t="s">
        <v>0</v>
      </c>
      <c r="J18" s="85">
        <f>IF($H$77&gt;0.25,1.2,1)</f>
        <v>1.2</v>
      </c>
      <c r="K18" s="85">
        <f t="shared" ref="K18:AC18" si="0">IF($H$77&gt;0.25,1.2,1)</f>
        <v>1.2</v>
      </c>
      <c r="L18" s="85">
        <f t="shared" si="0"/>
        <v>1.2</v>
      </c>
      <c r="M18" s="85">
        <f t="shared" si="0"/>
        <v>1.2</v>
      </c>
      <c r="N18" s="85">
        <f>IF($H$77&gt;0.25,0.8,1)</f>
        <v>0.8</v>
      </c>
      <c r="O18" s="85">
        <f t="shared" si="0"/>
        <v>1.2</v>
      </c>
      <c r="P18" s="85">
        <f t="shared" si="0"/>
        <v>1.2</v>
      </c>
      <c r="Q18" s="72">
        <v>1</v>
      </c>
      <c r="R18" s="85">
        <f t="shared" si="0"/>
        <v>1.2</v>
      </c>
      <c r="S18" s="85">
        <f t="shared" si="0"/>
        <v>1.2</v>
      </c>
      <c r="T18" s="85">
        <f t="shared" si="0"/>
        <v>1.2</v>
      </c>
      <c r="U18" s="72">
        <v>1</v>
      </c>
      <c r="V18" s="85">
        <f t="shared" si="0"/>
        <v>1.2</v>
      </c>
      <c r="W18" s="85">
        <f t="shared" si="0"/>
        <v>1.2</v>
      </c>
      <c r="X18" s="85">
        <f t="shared" si="0"/>
        <v>1.2</v>
      </c>
      <c r="Y18" s="72">
        <v>1</v>
      </c>
      <c r="Z18" s="72">
        <v>1</v>
      </c>
      <c r="AA18" s="72">
        <v>1</v>
      </c>
      <c r="AB18" s="72">
        <v>1</v>
      </c>
      <c r="AC18" s="85">
        <f t="shared" si="0"/>
        <v>1.2</v>
      </c>
      <c r="AD18" s="72">
        <v>1</v>
      </c>
      <c r="AE18" s="72">
        <v>1</v>
      </c>
    </row>
    <row r="19" spans="1:31">
      <c r="A19" s="283" t="s">
        <v>959</v>
      </c>
      <c r="D19" s="118" t="s">
        <v>660</v>
      </c>
      <c r="I19" s="84" t="s">
        <v>73</v>
      </c>
      <c r="J19" s="72">
        <v>1</v>
      </c>
      <c r="K19" s="72">
        <v>1</v>
      </c>
      <c r="L19" s="85">
        <f t="shared" ref="L19:AD19" si="1">IF($F$82="Y",1.2,1)</f>
        <v>1</v>
      </c>
      <c r="M19" s="72">
        <v>1</v>
      </c>
      <c r="N19" s="85">
        <f t="shared" si="1"/>
        <v>1</v>
      </c>
      <c r="O19" s="72">
        <v>1</v>
      </c>
      <c r="P19" s="72">
        <v>1</v>
      </c>
      <c r="Q19" s="72">
        <v>1</v>
      </c>
      <c r="R19" s="72">
        <v>1</v>
      </c>
      <c r="S19" s="72">
        <v>1</v>
      </c>
      <c r="T19" s="72">
        <v>1</v>
      </c>
      <c r="U19" s="85">
        <f t="shared" si="1"/>
        <v>1</v>
      </c>
      <c r="V19" s="85">
        <f t="shared" si="1"/>
        <v>1</v>
      </c>
      <c r="W19" s="85">
        <f t="shared" si="1"/>
        <v>1</v>
      </c>
      <c r="X19" s="85">
        <f t="shared" si="1"/>
        <v>1</v>
      </c>
      <c r="Y19" s="85">
        <f>IF(F82="Y",20,0.1)</f>
        <v>0.1</v>
      </c>
      <c r="Z19" s="85">
        <f>IF($F$82="Y",5,0.1)</f>
        <v>0.1</v>
      </c>
      <c r="AA19" s="85">
        <f t="shared" si="1"/>
        <v>1</v>
      </c>
      <c r="AB19" s="72">
        <v>1</v>
      </c>
      <c r="AC19" s="72">
        <v>1</v>
      </c>
      <c r="AD19" s="85">
        <f t="shared" si="1"/>
        <v>1</v>
      </c>
      <c r="AE19" s="85">
        <f>IF($F$82="Y",20,1)</f>
        <v>1</v>
      </c>
    </row>
    <row r="20" spans="1:31">
      <c r="A20" s="286" t="s">
        <v>807</v>
      </c>
      <c r="D20" s="118" t="s">
        <v>670</v>
      </c>
      <c r="F20" s="594" t="str">
        <f>IF(AUTOQUESTIONNAIRE!F25=0,"N","Y")</f>
        <v>N</v>
      </c>
      <c r="H20" s="80" t="str">
        <f>IF($F$11="Y",F20,"N")</f>
        <v>N</v>
      </c>
      <c r="I20" s="84" t="s">
        <v>74</v>
      </c>
      <c r="J20" s="72">
        <v>1</v>
      </c>
      <c r="K20" s="72">
        <v>1</v>
      </c>
      <c r="L20" s="72">
        <v>1</v>
      </c>
      <c r="M20" s="72">
        <v>1</v>
      </c>
      <c r="N20" s="72">
        <v>1</v>
      </c>
      <c r="O20" s="85">
        <f t="shared" ref="O20:AD20" si="2">IF($F$86="Y",1.2,1)</f>
        <v>1</v>
      </c>
      <c r="P20" s="85">
        <f t="shared" si="2"/>
        <v>1</v>
      </c>
      <c r="Q20" s="72">
        <v>1</v>
      </c>
      <c r="R20" s="72">
        <v>1</v>
      </c>
      <c r="S20" s="72">
        <v>1</v>
      </c>
      <c r="T20" s="72">
        <v>1</v>
      </c>
      <c r="U20" s="72">
        <v>1</v>
      </c>
      <c r="V20" s="72">
        <v>1</v>
      </c>
      <c r="W20" s="72">
        <v>1</v>
      </c>
      <c r="X20" s="72">
        <v>1</v>
      </c>
      <c r="Y20" s="72">
        <v>1</v>
      </c>
      <c r="Z20" s="85">
        <f>IF($F$86="Y",5,1)</f>
        <v>1</v>
      </c>
      <c r="AA20" s="72">
        <v>1</v>
      </c>
      <c r="AB20" s="72">
        <v>1</v>
      </c>
      <c r="AC20" s="72">
        <v>1</v>
      </c>
      <c r="AD20" s="85">
        <f t="shared" si="2"/>
        <v>1</v>
      </c>
      <c r="AE20" s="72">
        <v>1</v>
      </c>
    </row>
    <row r="21" spans="1:31">
      <c r="A21" s="284" t="s">
        <v>808</v>
      </c>
      <c r="D21" s="118" t="s">
        <v>659</v>
      </c>
      <c r="I21" s="84" t="s">
        <v>75</v>
      </c>
      <c r="J21" s="85">
        <f>IF($F$89="Y",0.8,1)</f>
        <v>0.8</v>
      </c>
      <c r="K21" s="85">
        <f>IF($F$89="Y",0.8,1)</f>
        <v>0.8</v>
      </c>
      <c r="L21" s="72">
        <v>1</v>
      </c>
      <c r="M21" s="72">
        <v>1</v>
      </c>
      <c r="N21" s="85">
        <f>IF($F$89="Y",0.8,1)</f>
        <v>0.8</v>
      </c>
      <c r="O21" s="85">
        <f>IF($F$89="Y",0.8,1)</f>
        <v>0.8</v>
      </c>
      <c r="P21" s="85">
        <f>IF($F$89="Y",0.8,1)</f>
        <v>0.8</v>
      </c>
      <c r="Q21" s="72">
        <v>1</v>
      </c>
      <c r="R21" s="72">
        <v>1</v>
      </c>
      <c r="S21" s="85">
        <f t="shared" ref="S21:X21" si="3">IF($F$89="Y",0.8,1)</f>
        <v>0.8</v>
      </c>
      <c r="T21" s="85">
        <f t="shared" si="3"/>
        <v>0.8</v>
      </c>
      <c r="U21" s="85">
        <f t="shared" si="3"/>
        <v>0.8</v>
      </c>
      <c r="V21" s="85">
        <f t="shared" si="3"/>
        <v>0.8</v>
      </c>
      <c r="W21" s="85">
        <f t="shared" si="3"/>
        <v>0.8</v>
      </c>
      <c r="X21" s="85">
        <f t="shared" si="3"/>
        <v>0.8</v>
      </c>
      <c r="Y21" s="72">
        <v>1</v>
      </c>
      <c r="Z21" s="72">
        <v>1</v>
      </c>
      <c r="AA21" s="72">
        <v>1</v>
      </c>
      <c r="AB21" s="72">
        <v>1</v>
      </c>
      <c r="AC21" s="85">
        <f>IF($F$89="Y",0.8,1)</f>
        <v>0.8</v>
      </c>
      <c r="AD21" s="72">
        <v>1</v>
      </c>
      <c r="AE21" s="72">
        <v>1</v>
      </c>
    </row>
    <row r="22" spans="1:31">
      <c r="A22" s="284" t="s">
        <v>809</v>
      </c>
      <c r="B22" s="102"/>
      <c r="D22" s="118" t="s">
        <v>660</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810</v>
      </c>
      <c r="B23" s="102"/>
      <c r="D23" s="118" t="s">
        <v>671</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811</v>
      </c>
      <c r="B24" s="102"/>
      <c r="D24" s="118" t="s">
        <v>659</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v>
      </c>
      <c r="X24" s="85">
        <f>MAX(IF(F122="Y",1.2,1),IF(H140&gt;4,1.2,1),IF(F107="Y",1.2,1))</f>
        <v>1</v>
      </c>
      <c r="Y24" s="72">
        <v>1</v>
      </c>
      <c r="Z24" s="72">
        <v>1</v>
      </c>
      <c r="AA24" s="72">
        <v>1</v>
      </c>
      <c r="AB24" s="72">
        <v>1</v>
      </c>
      <c r="AC24" s="72">
        <v>1</v>
      </c>
      <c r="AD24" s="72">
        <v>1</v>
      </c>
      <c r="AE24" s="72">
        <v>1</v>
      </c>
    </row>
    <row r="25" spans="1:31">
      <c r="A25" s="284" t="s">
        <v>812</v>
      </c>
      <c r="B25" s="102"/>
      <c r="D25" s="118" t="s">
        <v>660</v>
      </c>
      <c r="I25" s="86" t="s">
        <v>126</v>
      </c>
      <c r="J25" s="72">
        <f>J18*J19*J20*(MAX(J21,J22)*J23*J24)</f>
        <v>1.2</v>
      </c>
      <c r="K25" s="72">
        <f t="shared" ref="K25:AD25" si="4">K18*K19*K20*(MAX(K21,K22)*K23*K24)</f>
        <v>1.2</v>
      </c>
      <c r="L25" s="72">
        <f t="shared" si="4"/>
        <v>1.2</v>
      </c>
      <c r="M25" s="72">
        <f t="shared" si="4"/>
        <v>1.2</v>
      </c>
      <c r="N25" s="72">
        <f t="shared" si="4"/>
        <v>0.8</v>
      </c>
      <c r="O25" s="72">
        <f>O18*O19*O20*(MAX(O21,O22)*O23*O24)</f>
        <v>1.2</v>
      </c>
      <c r="P25" s="72">
        <f t="shared" si="4"/>
        <v>1.2</v>
      </c>
      <c r="Q25" s="72">
        <f t="shared" si="4"/>
        <v>1</v>
      </c>
      <c r="R25" s="72">
        <f t="shared" si="4"/>
        <v>1.2</v>
      </c>
      <c r="S25" s="72">
        <f t="shared" si="4"/>
        <v>1.2</v>
      </c>
      <c r="T25" s="72">
        <f t="shared" si="4"/>
        <v>1.2</v>
      </c>
      <c r="U25" s="72">
        <f t="shared" si="4"/>
        <v>1</v>
      </c>
      <c r="V25" s="72">
        <f t="shared" si="4"/>
        <v>1.2</v>
      </c>
      <c r="W25" s="72">
        <f t="shared" si="4"/>
        <v>1.2</v>
      </c>
      <c r="X25" s="72">
        <f t="shared" si="4"/>
        <v>1.2</v>
      </c>
      <c r="Y25" s="72">
        <f t="shared" si="4"/>
        <v>0.1</v>
      </c>
      <c r="Z25" s="72">
        <f t="shared" si="4"/>
        <v>0.1</v>
      </c>
      <c r="AA25" s="72">
        <f t="shared" si="4"/>
        <v>1</v>
      </c>
      <c r="AB25" s="72">
        <f t="shared" si="4"/>
        <v>1</v>
      </c>
      <c r="AC25" s="72">
        <f t="shared" si="4"/>
        <v>1.2</v>
      </c>
      <c r="AD25" s="72">
        <f t="shared" si="4"/>
        <v>1</v>
      </c>
      <c r="AE25" s="147">
        <f>AE19</f>
        <v>1</v>
      </c>
    </row>
    <row r="26" spans="1:31">
      <c r="A26" s="286" t="s">
        <v>813</v>
      </c>
      <c r="B26" s="102"/>
      <c r="D26" s="118" t="s">
        <v>672</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814</v>
      </c>
      <c r="B27" s="102"/>
      <c r="D27" s="118" t="s">
        <v>659</v>
      </c>
    </row>
    <row r="28" spans="1:31">
      <c r="A28" s="284" t="s">
        <v>960</v>
      </c>
      <c r="B28" s="102"/>
      <c r="D28" s="118" t="s">
        <v>660</v>
      </c>
    </row>
    <row r="29" spans="1:31">
      <c r="A29" s="284" t="s">
        <v>816</v>
      </c>
      <c r="B29" s="102"/>
      <c r="D29" s="118" t="s">
        <v>673</v>
      </c>
      <c r="F29" s="121" t="str">
        <f>IF(AUTOQUESTIONNAIRE!F31=0,"N","Y")</f>
        <v>N</v>
      </c>
      <c r="H29" s="80" t="str">
        <f>IF($F$11="Y",F29,"N")</f>
        <v>N</v>
      </c>
    </row>
    <row r="30" spans="1:31">
      <c r="A30" s="284" t="s">
        <v>817</v>
      </c>
      <c r="B30" s="102"/>
      <c r="D30" s="118" t="s">
        <v>659</v>
      </c>
    </row>
    <row r="31" spans="1:31">
      <c r="A31" s="286" t="s">
        <v>818</v>
      </c>
      <c r="B31" s="102"/>
      <c r="D31" s="118" t="s">
        <v>660</v>
      </c>
    </row>
    <row r="32" spans="1:31" ht="34.799999999999997">
      <c r="A32" s="283" t="s">
        <v>958</v>
      </c>
      <c r="B32" s="102"/>
      <c r="D32" s="119" t="s">
        <v>674</v>
      </c>
      <c r="F32" s="120" t="str">
        <f>IF(AUTOQUESTIONNAIRE!F34=0,"N","Y")</f>
        <v>N</v>
      </c>
    </row>
    <row r="33" spans="1:8">
      <c r="A33" s="283" t="s">
        <v>959</v>
      </c>
      <c r="B33" s="102"/>
      <c r="D33" s="118" t="s">
        <v>659</v>
      </c>
    </row>
    <row r="34" spans="1:8">
      <c r="A34" s="284" t="s">
        <v>819</v>
      </c>
      <c r="D34" s="118" t="s">
        <v>660</v>
      </c>
    </row>
    <row r="35" spans="1:8" ht="34.799999999999997">
      <c r="A35" s="289" t="s">
        <v>820</v>
      </c>
      <c r="D35" s="118" t="s">
        <v>675</v>
      </c>
      <c r="F35" s="121" t="str">
        <f>IF(AUTOQUESTIONNAIRE!F33=0,"N","Y")</f>
        <v>N</v>
      </c>
      <c r="H35" s="80" t="str">
        <f>IF($F$32="Y",F35,"N")</f>
        <v>N</v>
      </c>
    </row>
    <row r="36" spans="1:8">
      <c r="A36" s="283" t="s">
        <v>958</v>
      </c>
      <c r="B36" s="103"/>
      <c r="D36" s="118" t="s">
        <v>659</v>
      </c>
    </row>
    <row r="37" spans="1:8">
      <c r="A37" s="283" t="s">
        <v>959</v>
      </c>
      <c r="B37" s="103"/>
      <c r="D37" s="118" t="s">
        <v>660</v>
      </c>
    </row>
    <row r="38" spans="1:8" ht="43.2">
      <c r="A38" s="290" t="s">
        <v>821</v>
      </c>
      <c r="B38" s="103"/>
      <c r="D38" s="118" t="s">
        <v>676</v>
      </c>
      <c r="F38" s="121" t="str">
        <f>IF(AUTOQUESTIONNAIRE!F34=0,"N","Y")</f>
        <v>N</v>
      </c>
      <c r="H38" s="80" t="str">
        <f>IF($F$32="Y",F38,"N")</f>
        <v>N</v>
      </c>
    </row>
    <row r="39" spans="1:8">
      <c r="A39" s="283" t="s">
        <v>958</v>
      </c>
      <c r="B39" s="103"/>
      <c r="D39" s="118" t="s">
        <v>659</v>
      </c>
    </row>
    <row r="40" spans="1:8">
      <c r="A40" s="283" t="s">
        <v>959</v>
      </c>
      <c r="B40" s="103"/>
      <c r="D40" s="118" t="s">
        <v>660</v>
      </c>
    </row>
    <row r="41" spans="1:8" ht="34.799999999999997">
      <c r="A41" s="291" t="s">
        <v>961</v>
      </c>
      <c r="B41" s="103"/>
      <c r="D41" s="118" t="s">
        <v>677</v>
      </c>
      <c r="F41" s="121" t="str">
        <f>IF(AUTOQUESTIONNAIRE!F36=0,"N","Y")</f>
        <v>N</v>
      </c>
      <c r="H41" s="80" t="str">
        <f>IF($F$32="Y",F41,"N")</f>
        <v>N</v>
      </c>
    </row>
    <row r="42" spans="1:8">
      <c r="A42" s="284" t="s">
        <v>962</v>
      </c>
      <c r="B42" s="103"/>
      <c r="D42" s="118" t="s">
        <v>659</v>
      </c>
    </row>
    <row r="43" spans="1:8" ht="28.8">
      <c r="A43" s="292" t="s">
        <v>963</v>
      </c>
      <c r="D43" s="118" t="s">
        <v>660</v>
      </c>
    </row>
    <row r="44" spans="1:8">
      <c r="A44" s="283" t="s">
        <v>958</v>
      </c>
      <c r="D44" s="118" t="s">
        <v>678</v>
      </c>
      <c r="F44" s="121" t="str">
        <f>IF(AUTOQUESTIONNAIRE!F38=0,"N","Y")</f>
        <v>N</v>
      </c>
      <c r="H44" s="80" t="str">
        <f>IF($F$32="Y",F44,"N")</f>
        <v>N</v>
      </c>
    </row>
    <row r="45" spans="1:8">
      <c r="A45" s="283" t="s">
        <v>959</v>
      </c>
      <c r="D45" s="118" t="s">
        <v>659</v>
      </c>
    </row>
    <row r="46" spans="1:8">
      <c r="A46" s="292" t="s">
        <v>964</v>
      </c>
      <c r="D46" s="118" t="s">
        <v>660</v>
      </c>
    </row>
    <row r="47" spans="1:8">
      <c r="A47" s="283" t="s">
        <v>958</v>
      </c>
      <c r="D47" s="118" t="s">
        <v>679</v>
      </c>
      <c r="F47" s="121" t="str">
        <f>IF(AUTOQUESTIONNAIRE!F39=0,"N","Y")</f>
        <v>N</v>
      </c>
      <c r="H47" s="80" t="str">
        <f>IF($F$32="Y",F47,"N")</f>
        <v>N</v>
      </c>
    </row>
    <row r="48" spans="1:8">
      <c r="A48" s="283" t="s">
        <v>959</v>
      </c>
      <c r="D48" s="118" t="s">
        <v>659</v>
      </c>
    </row>
    <row r="49" spans="1:8" ht="28.8">
      <c r="A49" s="292" t="s">
        <v>965</v>
      </c>
      <c r="D49" s="118" t="s">
        <v>660</v>
      </c>
    </row>
    <row r="50" spans="1:8">
      <c r="A50" s="283" t="s">
        <v>958</v>
      </c>
      <c r="D50" s="118" t="s">
        <v>680</v>
      </c>
      <c r="F50" s="121" t="str">
        <f>IF(AUTOQUESTIONNAIRE!F43=0,"N","Y")</f>
        <v>Y</v>
      </c>
      <c r="H50" s="80" t="str">
        <f>IF($F$32="Y",F50,"N")</f>
        <v>N</v>
      </c>
    </row>
    <row r="51" spans="1:8">
      <c r="A51" s="283" t="s">
        <v>959</v>
      </c>
      <c r="D51" s="118" t="s">
        <v>659</v>
      </c>
    </row>
    <row r="52" spans="1:8">
      <c r="A52" s="293" t="s">
        <v>966</v>
      </c>
      <c r="D52" s="118" t="s">
        <v>660</v>
      </c>
    </row>
    <row r="53" spans="1:8">
      <c r="A53" s="283" t="s">
        <v>958</v>
      </c>
      <c r="D53" s="115" t="s">
        <v>681</v>
      </c>
      <c r="F53" s="121" t="str">
        <f>IF(AUTOQUESTIONNAIRE!F47=0,"N","Y")</f>
        <v>N</v>
      </c>
      <c r="H53" s="80" t="str">
        <f>IF($F$32="Y",F53,"N")</f>
        <v>N</v>
      </c>
    </row>
    <row r="54" spans="1:8">
      <c r="A54" s="283" t="s">
        <v>959</v>
      </c>
      <c r="D54" s="118" t="s">
        <v>659</v>
      </c>
    </row>
    <row r="55" spans="1:8">
      <c r="A55" s="292" t="s">
        <v>967</v>
      </c>
      <c r="D55" s="118" t="s">
        <v>660</v>
      </c>
    </row>
    <row r="56" spans="1:8" ht="69.599999999999994">
      <c r="A56" s="283" t="s">
        <v>958</v>
      </c>
      <c r="B56" s="85"/>
      <c r="D56" s="135" t="s">
        <v>682</v>
      </c>
      <c r="F56" s="136" t="s">
        <v>89</v>
      </c>
    </row>
    <row r="57" spans="1:8">
      <c r="A57" s="283" t="s">
        <v>959</v>
      </c>
      <c r="D57" s="118" t="s">
        <v>659</v>
      </c>
    </row>
    <row r="58" spans="1:8" ht="28.8">
      <c r="A58" s="292" t="s">
        <v>968</v>
      </c>
      <c r="D58" s="118" t="s">
        <v>660</v>
      </c>
    </row>
    <row r="59" spans="1:8" ht="34.799999999999997">
      <c r="A59" s="283" t="s">
        <v>958</v>
      </c>
      <c r="D59" s="118" t="s">
        <v>683</v>
      </c>
      <c r="F59" s="121" t="str">
        <f>IF(AUTOQUESTIONNAIRE!F52=0,"N","Y")</f>
        <v>Y</v>
      </c>
      <c r="H59" s="137" t="str">
        <f>F59</f>
        <v>Y</v>
      </c>
    </row>
    <row r="60" spans="1:8">
      <c r="A60" s="283" t="s">
        <v>959</v>
      </c>
      <c r="D60" s="118" t="s">
        <v>659</v>
      </c>
      <c r="H60" s="89"/>
    </row>
    <row r="61" spans="1:8">
      <c r="A61" s="292" t="s">
        <v>822</v>
      </c>
      <c r="D61" s="118" t="s">
        <v>660</v>
      </c>
      <c r="H61" s="89"/>
    </row>
    <row r="62" spans="1:8" ht="34.799999999999997">
      <c r="A62" s="283" t="s">
        <v>958</v>
      </c>
      <c r="D62" s="118" t="s">
        <v>684</v>
      </c>
      <c r="F62" s="121" t="str">
        <f>IF(AUTOQUESTIONNAIRE!F53=0,"N","Y")</f>
        <v>Y</v>
      </c>
      <c r="H62" s="137" t="str">
        <f>F62</f>
        <v>Y</v>
      </c>
    </row>
    <row r="63" spans="1:8">
      <c r="A63" s="283" t="s">
        <v>959</v>
      </c>
      <c r="D63" s="118" t="s">
        <v>659</v>
      </c>
      <c r="H63" s="89"/>
    </row>
    <row r="64" spans="1:8" ht="28.8">
      <c r="A64" s="292" t="s">
        <v>823</v>
      </c>
      <c r="D64" s="118" t="s">
        <v>660</v>
      </c>
      <c r="H64" s="89"/>
    </row>
    <row r="65" spans="1:9" ht="34.799999999999997">
      <c r="A65" s="283" t="s">
        <v>958</v>
      </c>
      <c r="D65" s="118" t="s">
        <v>685</v>
      </c>
      <c r="F65" s="121" t="str">
        <f>IF(AUTOQUESTIONNAIRE!F54=0,"N","Y")</f>
        <v>Y</v>
      </c>
      <c r="H65" s="138" t="str">
        <f>F65</f>
        <v>Y</v>
      </c>
    </row>
    <row r="66" spans="1:9">
      <c r="A66" s="283" t="s">
        <v>959</v>
      </c>
      <c r="D66" s="118" t="s">
        <v>659</v>
      </c>
      <c r="H66" s="89"/>
    </row>
    <row r="67" spans="1:9">
      <c r="A67" s="294" t="s">
        <v>824</v>
      </c>
      <c r="D67" s="118" t="s">
        <v>660</v>
      </c>
      <c r="H67" s="89"/>
    </row>
    <row r="68" spans="1:9" ht="34.799999999999997">
      <c r="A68" s="283" t="s">
        <v>958</v>
      </c>
      <c r="B68" s="85"/>
      <c r="D68" s="207" t="s">
        <v>686</v>
      </c>
      <c r="F68" s="121" t="str">
        <f>IF(AUTOQUESTIONNAIRE!F55=0,"N","Y")</f>
        <v>Y</v>
      </c>
      <c r="H68" s="138" t="str">
        <f>F68</f>
        <v>Y</v>
      </c>
    </row>
    <row r="69" spans="1:9">
      <c r="A69" s="283" t="s">
        <v>959</v>
      </c>
      <c r="D69" s="118" t="s">
        <v>659</v>
      </c>
      <c r="H69" s="89"/>
      <c r="I69" s="87"/>
    </row>
    <row r="70" spans="1:9" ht="28.8">
      <c r="A70" s="294" t="s">
        <v>825</v>
      </c>
      <c r="D70" s="118" t="s">
        <v>660</v>
      </c>
      <c r="H70" s="89"/>
    </row>
    <row r="71" spans="1:9" ht="34.799999999999997">
      <c r="A71" s="283" t="s">
        <v>958</v>
      </c>
      <c r="B71" s="103"/>
      <c r="D71" s="207" t="s">
        <v>687</v>
      </c>
      <c r="F71" s="121" t="str">
        <f>IF(AUTOQUESTIONNAIRE!F56=0,"N","Y")</f>
        <v>N</v>
      </c>
      <c r="H71" s="138" t="str">
        <f>F71</f>
        <v>N</v>
      </c>
    </row>
    <row r="72" spans="1:9">
      <c r="A72" s="283" t="s">
        <v>959</v>
      </c>
      <c r="B72" s="103"/>
      <c r="D72" s="118" t="s">
        <v>659</v>
      </c>
      <c r="H72" s="89"/>
    </row>
    <row r="73" spans="1:9">
      <c r="A73" s="292" t="s">
        <v>826</v>
      </c>
      <c r="B73" s="103"/>
      <c r="D73" s="118" t="s">
        <v>660</v>
      </c>
      <c r="H73" s="89"/>
    </row>
    <row r="74" spans="1:9" ht="34.799999999999997">
      <c r="A74" s="283" t="s">
        <v>958</v>
      </c>
      <c r="B74" s="103"/>
      <c r="D74" s="118" t="s">
        <v>688</v>
      </c>
      <c r="F74" s="121" t="str">
        <f>IF(AUTOQUESTIONNAIRE!F58=0,"N","Y")</f>
        <v>N</v>
      </c>
      <c r="H74" s="138" t="str">
        <f>F74</f>
        <v>N</v>
      </c>
    </row>
    <row r="75" spans="1:9">
      <c r="A75" s="283" t="s">
        <v>959</v>
      </c>
      <c r="B75" s="103"/>
      <c r="D75" s="118" t="s">
        <v>659</v>
      </c>
    </row>
    <row r="76" spans="1:9">
      <c r="A76" s="295" t="s">
        <v>827</v>
      </c>
      <c r="B76" s="103"/>
      <c r="D76" s="118" t="s">
        <v>660</v>
      </c>
    </row>
    <row r="77" spans="1:9">
      <c r="A77" s="283" t="s">
        <v>958</v>
      </c>
      <c r="B77" s="103"/>
      <c r="D77" s="115" t="s">
        <v>689</v>
      </c>
      <c r="F77" s="88">
        <f>AUTOQUESTIONNAIRE!F6</f>
        <v>165</v>
      </c>
      <c r="G77" s="89" t="s">
        <v>0</v>
      </c>
      <c r="H77" s="90">
        <f>(F78*100)/(F77*F77)</f>
        <v>0.27548209366391185</v>
      </c>
    </row>
    <row r="78" spans="1:9">
      <c r="A78" s="283" t="s">
        <v>959</v>
      </c>
      <c r="D78" s="115" t="s">
        <v>690</v>
      </c>
      <c r="F78" s="88">
        <f>AUTOQUESTIONNAIRE!F7</f>
        <v>75</v>
      </c>
    </row>
    <row r="79" spans="1:9" ht="28.8">
      <c r="A79" s="292" t="s">
        <v>828</v>
      </c>
      <c r="B79" s="103"/>
      <c r="D79" s="115" t="s">
        <v>691</v>
      </c>
      <c r="F79" s="88">
        <f>AUTOQUESTIONNAIRE!F215</f>
        <v>0</v>
      </c>
    </row>
    <row r="80" spans="1:9" ht="34.799999999999997">
      <c r="A80" s="296" t="s">
        <v>829</v>
      </c>
      <c r="D80" s="115" t="s">
        <v>692</v>
      </c>
      <c r="F80" s="91">
        <f>AUTOQUESTIONNAIRE!F218</f>
        <v>110</v>
      </c>
    </row>
    <row r="81" spans="1:6" ht="34.799999999999997">
      <c r="A81" s="296" t="s">
        <v>830</v>
      </c>
      <c r="D81" s="115" t="s">
        <v>693</v>
      </c>
      <c r="F81" s="91">
        <f>AUTOQUESTIONNAIRE!F219</f>
        <v>65</v>
      </c>
    </row>
    <row r="82" spans="1:6" ht="43.2">
      <c r="A82" s="292" t="s">
        <v>1037</v>
      </c>
      <c r="D82" s="115" t="s">
        <v>694</v>
      </c>
      <c r="F82" s="121" t="str">
        <f>IF(AUTOQUESTIONNAIRE!F68=0,"N","Y")</f>
        <v>N</v>
      </c>
    </row>
    <row r="83" spans="1:6" ht="52.2">
      <c r="A83" s="283" t="s">
        <v>958</v>
      </c>
      <c r="B83" s="315" t="s">
        <v>1038</v>
      </c>
      <c r="D83" s="116" t="s">
        <v>664</v>
      </c>
    </row>
    <row r="84" spans="1:6">
      <c r="A84" s="283" t="s">
        <v>959</v>
      </c>
      <c r="B84" s="103"/>
      <c r="D84" s="116" t="s">
        <v>665</v>
      </c>
    </row>
    <row r="85" spans="1:6">
      <c r="A85" s="296" t="s">
        <v>819</v>
      </c>
    </row>
    <row r="86" spans="1:6" ht="43.2">
      <c r="A86" s="292" t="s">
        <v>969</v>
      </c>
      <c r="B86" s="315" t="s">
        <v>1039</v>
      </c>
      <c r="D86" s="115" t="s">
        <v>695</v>
      </c>
      <c r="F86" s="121" t="str">
        <f>IF(AUTOQUESTIONNAIRE!F71=0,"N","Y")</f>
        <v>N</v>
      </c>
    </row>
    <row r="87" spans="1:6">
      <c r="A87" s="283" t="s">
        <v>958</v>
      </c>
      <c r="D87" s="116" t="s">
        <v>659</v>
      </c>
    </row>
    <row r="88" spans="1:6">
      <c r="A88" s="283" t="s">
        <v>959</v>
      </c>
      <c r="D88" s="116" t="s">
        <v>660</v>
      </c>
    </row>
    <row r="89" spans="1:6" ht="34.799999999999997">
      <c r="A89" s="296" t="s">
        <v>819</v>
      </c>
      <c r="D89" s="115" t="s">
        <v>696</v>
      </c>
      <c r="F89" s="121" t="str">
        <f>IF(AUTOQUESTIONNAIRE!F72=0,"N","Y")</f>
        <v>Y</v>
      </c>
    </row>
    <row r="90" spans="1:6">
      <c r="A90" s="292" t="s">
        <v>840</v>
      </c>
      <c r="D90" s="116" t="s">
        <v>659</v>
      </c>
    </row>
    <row r="91" spans="1:6">
      <c r="A91" s="283" t="s">
        <v>958</v>
      </c>
      <c r="B91" s="79" t="s">
        <v>1036</v>
      </c>
      <c r="D91" s="116" t="s">
        <v>660</v>
      </c>
    </row>
    <row r="92" spans="1:6" ht="52.2">
      <c r="A92" s="283" t="s">
        <v>959</v>
      </c>
      <c r="D92" s="115" t="s">
        <v>697</v>
      </c>
      <c r="F92" s="121" t="str">
        <f>IF(AUTOQUESTIONNAIRE!F73=0,"N","Y")</f>
        <v>N</v>
      </c>
    </row>
    <row r="93" spans="1:6">
      <c r="A93" s="282" t="s">
        <v>970</v>
      </c>
      <c r="D93" s="116" t="s">
        <v>659</v>
      </c>
    </row>
    <row r="94" spans="1:6">
      <c r="A94" s="282" t="s">
        <v>971</v>
      </c>
      <c r="D94" s="116" t="s">
        <v>660</v>
      </c>
    </row>
    <row r="95" spans="1:6">
      <c r="A95" s="285" t="s">
        <v>836</v>
      </c>
      <c r="D95" s="115" t="s">
        <v>698</v>
      </c>
      <c r="F95" s="121" t="str">
        <f>IF(AUTOQUESTIONNAIRE!F94=0,"N","Y")</f>
        <v>N</v>
      </c>
    </row>
    <row r="96" spans="1:6">
      <c r="A96" s="284" t="s">
        <v>837</v>
      </c>
      <c r="D96" s="116" t="s">
        <v>659</v>
      </c>
    </row>
    <row r="97" spans="1:6">
      <c r="A97" s="284" t="s">
        <v>838</v>
      </c>
      <c r="D97" s="116" t="s">
        <v>660</v>
      </c>
    </row>
    <row r="98" spans="1:6" ht="34.799999999999997">
      <c r="A98" s="296" t="s">
        <v>645</v>
      </c>
      <c r="D98" s="115" t="s">
        <v>699</v>
      </c>
      <c r="F98" s="121" t="str">
        <f>IF(AUTOQUESTIONNAIRE!F95=0,"N","Y")</f>
        <v>Y</v>
      </c>
    </row>
    <row r="99" spans="1:6" ht="43.2">
      <c r="A99" s="297" t="s">
        <v>972</v>
      </c>
      <c r="D99" s="116" t="s">
        <v>659</v>
      </c>
    </row>
    <row r="100" spans="1:6">
      <c r="A100" s="283" t="s">
        <v>958</v>
      </c>
      <c r="D100" s="116" t="s">
        <v>660</v>
      </c>
    </row>
    <row r="101" spans="1:6" ht="34.799999999999997">
      <c r="A101" s="283" t="s">
        <v>959</v>
      </c>
      <c r="D101" s="115" t="s">
        <v>702</v>
      </c>
      <c r="F101" s="121" t="str">
        <f>IF(AUTOQUESTIONNAIRE!F96=0,"N","Y")</f>
        <v>N</v>
      </c>
    </row>
    <row r="102" spans="1:6" ht="28.8">
      <c r="A102" s="289" t="s">
        <v>973</v>
      </c>
      <c r="D102" s="116" t="s">
        <v>659</v>
      </c>
    </row>
    <row r="103" spans="1:6">
      <c r="A103" s="283" t="s">
        <v>958</v>
      </c>
      <c r="D103" s="116" t="s">
        <v>660</v>
      </c>
    </row>
    <row r="104" spans="1:6">
      <c r="A104" s="283" t="s">
        <v>959</v>
      </c>
      <c r="D104" s="115" t="s">
        <v>700</v>
      </c>
      <c r="F104" s="121" t="str">
        <f>IF(AUTOQUESTIONNAIRE!F97=0,"N","Y")</f>
        <v>N</v>
      </c>
    </row>
    <row r="105" spans="1:6">
      <c r="A105" s="297" t="s">
        <v>974</v>
      </c>
      <c r="D105" s="116" t="s">
        <v>659</v>
      </c>
    </row>
    <row r="106" spans="1:6">
      <c r="A106" s="283" t="s">
        <v>958</v>
      </c>
      <c r="D106" s="116" t="s">
        <v>660</v>
      </c>
    </row>
    <row r="107" spans="1:6">
      <c r="A107" s="283" t="s">
        <v>959</v>
      </c>
      <c r="D107" s="115" t="s">
        <v>701</v>
      </c>
      <c r="F107" s="121" t="str">
        <f>IF(AUTOQUESTIONNAIRE!F98=0,"N","Y")</f>
        <v>N</v>
      </c>
    </row>
    <row r="108" spans="1:6">
      <c r="A108" s="285" t="s">
        <v>975</v>
      </c>
      <c r="D108" s="116" t="s">
        <v>659</v>
      </c>
    </row>
    <row r="109" spans="1:6">
      <c r="A109" s="283" t="s">
        <v>958</v>
      </c>
      <c r="D109" s="116" t="s">
        <v>660</v>
      </c>
    </row>
    <row r="110" spans="1:6" ht="34.799999999999997">
      <c r="A110" s="283" t="s">
        <v>959</v>
      </c>
      <c r="D110" s="115" t="s">
        <v>709</v>
      </c>
      <c r="F110" s="121" t="str">
        <f>IF(AUTOQUESTIONNAIRE!F101=0,"N","Y")</f>
        <v>N</v>
      </c>
    </row>
    <row r="111" spans="1:6">
      <c r="A111" s="285" t="s">
        <v>976</v>
      </c>
      <c r="D111" s="116" t="s">
        <v>659</v>
      </c>
    </row>
    <row r="112" spans="1:6">
      <c r="A112" s="283" t="s">
        <v>958</v>
      </c>
      <c r="D112" s="116" t="s">
        <v>660</v>
      </c>
    </row>
    <row r="113" spans="1:8" ht="34.799999999999997">
      <c r="A113" s="283" t="s">
        <v>959</v>
      </c>
      <c r="D113" s="115" t="s">
        <v>710</v>
      </c>
      <c r="F113" s="121" t="str">
        <f>IF(AUTOQUESTIONNAIRE!F105=0,"N","Y")</f>
        <v>N</v>
      </c>
    </row>
    <row r="114" spans="1:8" ht="57.6">
      <c r="A114" s="297" t="s">
        <v>977</v>
      </c>
      <c r="D114" s="116" t="s">
        <v>659</v>
      </c>
    </row>
    <row r="115" spans="1:8">
      <c r="A115" s="283" t="s">
        <v>958</v>
      </c>
      <c r="D115" s="116" t="s">
        <v>660</v>
      </c>
    </row>
    <row r="116" spans="1:8">
      <c r="A116" s="283" t="s">
        <v>959</v>
      </c>
      <c r="D116" s="115" t="s">
        <v>711</v>
      </c>
      <c r="F116" s="88"/>
    </row>
    <row r="117" spans="1:8" ht="52.2">
      <c r="A117" s="285" t="s">
        <v>978</v>
      </c>
      <c r="D117" s="116" t="s">
        <v>712</v>
      </c>
      <c r="F117" s="121" t="str">
        <f>IF(AUTOQUESTIONNAIRE!F79=0,"N","Y")</f>
        <v>N</v>
      </c>
      <c r="G117" s="92">
        <f>IF(F117="Y",1.2,1)</f>
        <v>1</v>
      </c>
    </row>
    <row r="118" spans="1:8" ht="34.799999999999997">
      <c r="A118" s="284" t="s">
        <v>979</v>
      </c>
      <c r="D118" s="116" t="s">
        <v>713</v>
      </c>
      <c r="F118" s="121" t="str">
        <f>IF(AUTOQUESTIONNAIRE!F80=0,"N","Y")</f>
        <v>N</v>
      </c>
      <c r="G118" s="112">
        <f>IF(F118="Y",1.2,1)</f>
        <v>1</v>
      </c>
    </row>
    <row r="119" spans="1:8" ht="34.799999999999997">
      <c r="A119" s="298" t="s">
        <v>980</v>
      </c>
      <c r="D119" s="116" t="s">
        <v>714</v>
      </c>
      <c r="F119" s="121" t="str">
        <f>IF(AUTOQUESTIONNAIRE!F81=0,"N","Y")</f>
        <v>N</v>
      </c>
      <c r="G119" s="92">
        <f>IF(F119="Y",1.2,1)</f>
        <v>1</v>
      </c>
    </row>
    <row r="120" spans="1:8" ht="34.799999999999997">
      <c r="A120" s="299" t="s">
        <v>981</v>
      </c>
      <c r="D120" s="116" t="s">
        <v>715</v>
      </c>
      <c r="F120" s="121" t="str">
        <f>IF(AUTOQUESTIONNAIRE!F82=0,"N","Y")</f>
        <v>N</v>
      </c>
      <c r="G120" s="92">
        <f>IF(F120="Y",1.2,1)</f>
        <v>1</v>
      </c>
    </row>
    <row r="121" spans="1:8">
      <c r="A121" s="283" t="s">
        <v>958</v>
      </c>
      <c r="F121" s="93"/>
    </row>
    <row r="122" spans="1:8" ht="34.799999999999997">
      <c r="A122" s="283" t="s">
        <v>959</v>
      </c>
      <c r="D122" s="115" t="s">
        <v>716</v>
      </c>
      <c r="F122" s="121" t="str">
        <f>IF(AUTOQUESTIONNAIRE!F150=0,"N","Y")</f>
        <v>N</v>
      </c>
      <c r="G122" s="92">
        <f>IF(F122="Y",2,0)</f>
        <v>0</v>
      </c>
    </row>
    <row r="123" spans="1:8">
      <c r="D123" s="116" t="s">
        <v>659</v>
      </c>
    </row>
    <row r="124" spans="1:8" ht="28.8">
      <c r="A124" s="300" t="s">
        <v>952</v>
      </c>
      <c r="D124" s="116" t="s">
        <v>660</v>
      </c>
    </row>
    <row r="125" spans="1:8" ht="34.799999999999997">
      <c r="A125" s="283" t="s">
        <v>958</v>
      </c>
      <c r="D125" s="117" t="s">
        <v>743</v>
      </c>
      <c r="F125" s="88">
        <f>AUTOQUESTIONNAIRE!F134</f>
        <v>3</v>
      </c>
      <c r="H125" s="94">
        <f>F125+F130+F135</f>
        <v>3</v>
      </c>
    </row>
    <row r="126" spans="1:8">
      <c r="A126" s="283" t="s">
        <v>959</v>
      </c>
      <c r="D126" s="118" t="s">
        <v>315</v>
      </c>
      <c r="E126" s="72">
        <v>0</v>
      </c>
    </row>
    <row r="127" spans="1:8">
      <c r="A127" s="301" t="s">
        <v>953</v>
      </c>
      <c r="D127" s="118" t="s">
        <v>316</v>
      </c>
      <c r="E127" s="72">
        <v>1</v>
      </c>
    </row>
    <row r="128" spans="1:8">
      <c r="A128" s="283" t="s">
        <v>958</v>
      </c>
      <c r="D128" s="118" t="s">
        <v>317</v>
      </c>
      <c r="E128" s="72">
        <v>2</v>
      </c>
    </row>
    <row r="129" spans="1:8">
      <c r="A129" s="283" t="s">
        <v>959</v>
      </c>
      <c r="D129" s="118" t="s">
        <v>318</v>
      </c>
      <c r="E129" s="72">
        <v>3</v>
      </c>
    </row>
    <row r="130" spans="1:8" ht="34.799999999999997">
      <c r="A130" s="289" t="s">
        <v>982</v>
      </c>
      <c r="D130" s="118" t="s">
        <v>717</v>
      </c>
      <c r="F130" s="88">
        <f>AUTOQUESTIONNAIRE!F166</f>
        <v>0</v>
      </c>
    </row>
    <row r="131" spans="1:8">
      <c r="A131" s="283" t="s">
        <v>958</v>
      </c>
      <c r="D131" s="118" t="s">
        <v>319</v>
      </c>
      <c r="E131" s="72">
        <v>0</v>
      </c>
    </row>
    <row r="132" spans="1:8">
      <c r="A132" s="283" t="s">
        <v>959</v>
      </c>
      <c r="D132" s="118" t="s">
        <v>320</v>
      </c>
      <c r="E132" s="72">
        <v>1</v>
      </c>
    </row>
    <row r="133" spans="1:8">
      <c r="A133" s="301" t="s">
        <v>983</v>
      </c>
      <c r="D133" s="118" t="s">
        <v>321</v>
      </c>
      <c r="E133" s="72">
        <v>2</v>
      </c>
    </row>
    <row r="134" spans="1:8">
      <c r="A134" s="283" t="s">
        <v>958</v>
      </c>
      <c r="D134" s="118" t="s">
        <v>322</v>
      </c>
      <c r="E134" s="72">
        <v>3</v>
      </c>
    </row>
    <row r="135" spans="1:8" ht="34.799999999999997">
      <c r="A135" s="283" t="s">
        <v>959</v>
      </c>
      <c r="D135" s="118" t="s">
        <v>718</v>
      </c>
      <c r="F135" s="88">
        <f>AUTOQUESTIONNAIRE!F167</f>
        <v>0</v>
      </c>
    </row>
    <row r="136" spans="1:8">
      <c r="A136" s="290" t="s">
        <v>984</v>
      </c>
      <c r="D136" s="118" t="s">
        <v>323</v>
      </c>
      <c r="E136" s="72">
        <v>0</v>
      </c>
    </row>
    <row r="137" spans="1:8">
      <c r="A137" s="283" t="s">
        <v>958</v>
      </c>
      <c r="D137" s="118" t="s">
        <v>324</v>
      </c>
      <c r="E137" s="72">
        <v>1</v>
      </c>
    </row>
    <row r="138" spans="1:8">
      <c r="A138" s="283" t="s">
        <v>959</v>
      </c>
      <c r="D138" s="118" t="s">
        <v>325</v>
      </c>
      <c r="E138" s="72">
        <v>2</v>
      </c>
    </row>
    <row r="139" spans="1:8" ht="28.8">
      <c r="A139" s="290" t="s">
        <v>985</v>
      </c>
      <c r="D139" s="118" t="s">
        <v>326</v>
      </c>
      <c r="E139" s="72">
        <v>3</v>
      </c>
    </row>
    <row r="140" spans="1:8" ht="34.799999999999997">
      <c r="A140" s="283" t="s">
        <v>958</v>
      </c>
      <c r="C140" s="87"/>
      <c r="D140" s="115" t="s">
        <v>719</v>
      </c>
      <c r="F140" s="93"/>
      <c r="H140" s="94">
        <f>SUM(G141:G146)</f>
        <v>0</v>
      </c>
    </row>
    <row r="141" spans="1:8">
      <c r="A141" s="283" t="s">
        <v>959</v>
      </c>
      <c r="D141" s="116" t="s">
        <v>720</v>
      </c>
      <c r="E141" s="72">
        <v>0</v>
      </c>
      <c r="F141" s="121" t="str">
        <f>IF(AUTOQUESTIONNAIRE!F137=0,"N","Y")</f>
        <v>N</v>
      </c>
      <c r="G141" s="92">
        <f>IF(F141="Y",1,0)</f>
        <v>0</v>
      </c>
    </row>
    <row r="142" spans="1:8">
      <c r="A142" s="283" t="s">
        <v>819</v>
      </c>
      <c r="D142" s="116" t="s">
        <v>721</v>
      </c>
      <c r="E142" s="72">
        <v>1</v>
      </c>
      <c r="F142" s="121" t="str">
        <f>IF(AUTOQUESTIONNAIRE!F138=0,"N","Y")</f>
        <v>N</v>
      </c>
      <c r="G142" s="92">
        <f t="shared" ref="G142:G146" si="5">IF(F142="Y",1,0)</f>
        <v>0</v>
      </c>
    </row>
    <row r="143" spans="1:8">
      <c r="A143" s="293" t="s">
        <v>986</v>
      </c>
      <c r="D143" s="116" t="s">
        <v>722</v>
      </c>
      <c r="E143" s="72">
        <v>2</v>
      </c>
      <c r="F143" s="121" t="str">
        <f>IF(AUTOQUESTIONNAIRE!F139=0,"N","Y")</f>
        <v>N</v>
      </c>
      <c r="G143" s="92">
        <f t="shared" si="5"/>
        <v>0</v>
      </c>
    </row>
    <row r="144" spans="1:8">
      <c r="A144" s="302" t="s">
        <v>987</v>
      </c>
      <c r="D144" s="116" t="s">
        <v>723</v>
      </c>
      <c r="E144" s="72">
        <v>3</v>
      </c>
      <c r="F144" s="121" t="str">
        <f>IF(AUTOQUESTIONNAIRE!F140=0,"N","Y")</f>
        <v>N</v>
      </c>
      <c r="G144" s="92">
        <f t="shared" si="5"/>
        <v>0</v>
      </c>
    </row>
    <row r="145" spans="1:23" ht="36.6" customHeight="1">
      <c r="A145" s="302" t="s">
        <v>988</v>
      </c>
      <c r="D145" s="116" t="s">
        <v>724</v>
      </c>
      <c r="E145" s="72">
        <v>4</v>
      </c>
      <c r="F145" s="121" t="str">
        <f>IF(AUTOQUESTIONNAIRE!F141=0,"N","Y")</f>
        <v>N</v>
      </c>
      <c r="G145" s="92">
        <f t="shared" si="5"/>
        <v>0</v>
      </c>
    </row>
    <row r="146" spans="1:23" ht="46.2" customHeight="1">
      <c r="A146" s="302" t="s">
        <v>989</v>
      </c>
      <c r="D146" s="116" t="s">
        <v>725</v>
      </c>
      <c r="E146" s="72">
        <v>5</v>
      </c>
      <c r="F146" s="121" t="str">
        <f>IF(AUTOQUESTIONNAIRE!F142=0,"N","Y")</f>
        <v>N</v>
      </c>
      <c r="G146" s="92">
        <f t="shared" si="5"/>
        <v>0</v>
      </c>
    </row>
    <row r="147" spans="1:23">
      <c r="A147" s="302" t="s">
        <v>990</v>
      </c>
      <c r="B147" s="85"/>
      <c r="D147" s="116" t="s">
        <v>241</v>
      </c>
      <c r="H147" s="75">
        <f>G142+G144+G145</f>
        <v>0</v>
      </c>
    </row>
    <row r="148" spans="1:23">
      <c r="A148" s="302" t="s">
        <v>991</v>
      </c>
      <c r="B148" s="85"/>
      <c r="D148" s="117" t="s">
        <v>726</v>
      </c>
      <c r="E148" s="594"/>
      <c r="F148" s="121" t="str">
        <f>IF(AUTOQUESTIONNAIRE!F108=0,"N","Y")</f>
        <v>N</v>
      </c>
    </row>
    <row r="149" spans="1:23">
      <c r="A149" s="302" t="s">
        <v>992</v>
      </c>
      <c r="D149" s="118" t="s">
        <v>659</v>
      </c>
      <c r="E149" s="594"/>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993</v>
      </c>
      <c r="D150" s="118" t="s">
        <v>660</v>
      </c>
      <c r="E150" s="594"/>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c r="A151" s="291" t="s">
        <v>994</v>
      </c>
      <c r="D151" s="118" t="s">
        <v>729</v>
      </c>
      <c r="E151" s="594"/>
      <c r="F151" s="121" t="str">
        <f>IF(AUTOQUESTIONNAIRE!F109=0,"N","Y")</f>
        <v>N</v>
      </c>
      <c r="G151" s="80" t="str">
        <f>IF($F$148="Y",F151,"N")</f>
        <v>N</v>
      </c>
      <c r="H151" s="72">
        <f>IF(G151="Y",1.5,0.9)</f>
        <v>0.9</v>
      </c>
    </row>
    <row r="152" spans="1:23">
      <c r="A152" s="303" t="s">
        <v>940</v>
      </c>
      <c r="D152" s="118" t="s">
        <v>659</v>
      </c>
      <c r="E152" s="594"/>
    </row>
    <row r="153" spans="1:23">
      <c r="A153" s="284" t="s">
        <v>870</v>
      </c>
      <c r="D153" s="118" t="s">
        <v>660</v>
      </c>
      <c r="E153" s="594"/>
    </row>
    <row r="154" spans="1:23">
      <c r="A154" s="284" t="s">
        <v>941</v>
      </c>
      <c r="D154" s="118" t="s">
        <v>767</v>
      </c>
      <c r="E154" s="594"/>
      <c r="F154" s="121" t="str">
        <f>IF(AUTOQUESTIONNAIRE!F110=0,"N","Y")</f>
        <v>N</v>
      </c>
      <c r="G154" s="80" t="str">
        <f>IF($F$148="Y",F154,"N")</f>
        <v>N</v>
      </c>
      <c r="H154" s="72">
        <f>IF(G154="Y",2.5,0.9)</f>
        <v>0.9</v>
      </c>
    </row>
    <row r="155" spans="1:23">
      <c r="A155" s="284" t="s">
        <v>942</v>
      </c>
      <c r="D155" s="118" t="s">
        <v>659</v>
      </c>
      <c r="E155" s="594"/>
    </row>
    <row r="156" spans="1:23">
      <c r="A156" s="284" t="s">
        <v>943</v>
      </c>
      <c r="D156" s="118" t="s">
        <v>660</v>
      </c>
      <c r="E156" s="594"/>
    </row>
    <row r="157" spans="1:23">
      <c r="A157" s="286" t="s">
        <v>835</v>
      </c>
      <c r="D157" s="118" t="s">
        <v>728</v>
      </c>
      <c r="E157" s="594"/>
      <c r="F157" s="121" t="s">
        <v>89</v>
      </c>
      <c r="G157" s="80" t="str">
        <f>IF($F$148="Y",F157,"N")</f>
        <v>N</v>
      </c>
      <c r="H157" s="72">
        <f>IF(G157="Y",1.2,0.9)</f>
        <v>0.9</v>
      </c>
    </row>
    <row r="158" spans="1:23">
      <c r="A158" s="283" t="s">
        <v>958</v>
      </c>
      <c r="D158" s="118" t="s">
        <v>659</v>
      </c>
      <c r="E158" s="594"/>
    </row>
    <row r="159" spans="1:23">
      <c r="A159" s="283" t="s">
        <v>959</v>
      </c>
      <c r="D159" s="118" t="s">
        <v>660</v>
      </c>
      <c r="E159" s="594"/>
    </row>
    <row r="160" spans="1:23">
      <c r="A160" s="286" t="s">
        <v>995</v>
      </c>
      <c r="B160" s="85"/>
      <c r="D160" s="117" t="s">
        <v>727</v>
      </c>
      <c r="E160" s="594"/>
      <c r="F160" s="121" t="s">
        <v>89</v>
      </c>
      <c r="H160" s="72">
        <f>IF(F160="Y",1.2,0.9)</f>
        <v>0.9</v>
      </c>
    </row>
    <row r="161" spans="1:8">
      <c r="A161" s="284" t="s">
        <v>996</v>
      </c>
      <c r="D161" s="118" t="s">
        <v>659</v>
      </c>
      <c r="E161" s="594"/>
    </row>
    <row r="162" spans="1:8">
      <c r="A162" s="284" t="s">
        <v>997</v>
      </c>
      <c r="D162" s="118" t="s">
        <v>660</v>
      </c>
      <c r="E162" s="594"/>
    </row>
    <row r="163" spans="1:8">
      <c r="A163" s="284" t="s">
        <v>998</v>
      </c>
      <c r="D163" s="118" t="s">
        <v>768</v>
      </c>
      <c r="E163" s="594"/>
      <c r="F163" s="121" t="s">
        <v>89</v>
      </c>
      <c r="G163" s="80" t="str">
        <f>IF($F$160="Y",F163,"N")</f>
        <v>N</v>
      </c>
      <c r="H163" s="72">
        <f>IF(G163="Y",2,0.9)</f>
        <v>0.9</v>
      </c>
    </row>
    <row r="164" spans="1:8">
      <c r="A164" s="284" t="s">
        <v>999</v>
      </c>
      <c r="D164" s="118" t="s">
        <v>659</v>
      </c>
      <c r="E164" s="594"/>
    </row>
    <row r="165" spans="1:8">
      <c r="A165" s="304" t="s">
        <v>1000</v>
      </c>
      <c r="D165" s="118" t="s">
        <v>660</v>
      </c>
      <c r="E165" s="594"/>
    </row>
    <row r="166" spans="1:8">
      <c r="A166" s="284" t="s">
        <v>936</v>
      </c>
      <c r="D166" s="118" t="s">
        <v>730</v>
      </c>
      <c r="E166" s="594"/>
      <c r="F166" s="121" t="s">
        <v>89</v>
      </c>
      <c r="G166" s="80" t="str">
        <f>IF($F$160="Y",F166,"N")</f>
        <v>N</v>
      </c>
      <c r="H166" s="72">
        <f>IF(G166="Y",2.5,0.9)</f>
        <v>0.9</v>
      </c>
    </row>
    <row r="167" spans="1:8">
      <c r="A167" s="284" t="s">
        <v>937</v>
      </c>
      <c r="D167" s="118" t="s">
        <v>659</v>
      </c>
      <c r="E167" s="594"/>
    </row>
    <row r="168" spans="1:8">
      <c r="A168" s="284" t="s">
        <v>938</v>
      </c>
      <c r="D168" s="118" t="s">
        <v>660</v>
      </c>
      <c r="E168" s="594"/>
    </row>
    <row r="169" spans="1:8">
      <c r="A169" s="284" t="s">
        <v>939</v>
      </c>
      <c r="D169" s="118" t="s">
        <v>731</v>
      </c>
      <c r="E169" s="594"/>
      <c r="F169" s="121" t="s">
        <v>89</v>
      </c>
      <c r="G169" s="80" t="str">
        <f>IF($F$160="Y",F169,"N")</f>
        <v>N</v>
      </c>
      <c r="H169" s="72">
        <f>IF(G169="Y",1.2,0.9)</f>
        <v>0.9</v>
      </c>
    </row>
    <row r="170" spans="1:8">
      <c r="A170" s="304" t="s">
        <v>1001</v>
      </c>
      <c r="D170" s="118" t="s">
        <v>659</v>
      </c>
      <c r="E170" s="594"/>
    </row>
    <row r="171" spans="1:8">
      <c r="A171" s="284" t="s">
        <v>1002</v>
      </c>
      <c r="D171" s="118" t="s">
        <v>660</v>
      </c>
      <c r="E171" s="594"/>
    </row>
    <row r="172" spans="1:8">
      <c r="A172" s="284" t="s">
        <v>1003</v>
      </c>
      <c r="D172" s="118" t="s">
        <v>732</v>
      </c>
      <c r="F172" s="88">
        <v>0</v>
      </c>
      <c r="H172" s="89">
        <f>IF(F172=1,1.2,(IF(F172&gt;1,2.5,0.9)))</f>
        <v>0.9</v>
      </c>
    </row>
    <row r="173" spans="1:8">
      <c r="A173" s="284" t="s">
        <v>1004</v>
      </c>
      <c r="D173" s="118" t="s">
        <v>82</v>
      </c>
    </row>
    <row r="174" spans="1:8">
      <c r="A174" s="284" t="s">
        <v>1005</v>
      </c>
      <c r="D174" s="118" t="s">
        <v>83</v>
      </c>
    </row>
    <row r="175" spans="1:8">
      <c r="A175" s="284" t="s">
        <v>1006</v>
      </c>
      <c r="D175" s="118" t="s">
        <v>90</v>
      </c>
    </row>
    <row r="176" spans="1:8">
      <c r="A176" s="304" t="s">
        <v>1007</v>
      </c>
      <c r="D176" s="118" t="s">
        <v>733</v>
      </c>
      <c r="F176" s="88">
        <v>0</v>
      </c>
      <c r="H176" s="89">
        <f>IF(F176=1,1.2,(IF(F176&gt;1,2.5,0.9)))</f>
        <v>0.9</v>
      </c>
    </row>
    <row r="177" spans="1:8">
      <c r="A177" s="284" t="s">
        <v>1008</v>
      </c>
      <c r="D177" s="118" t="s">
        <v>82</v>
      </c>
    </row>
    <row r="178" spans="1:8">
      <c r="A178" s="284" t="s">
        <v>1009</v>
      </c>
      <c r="D178" s="118" t="s">
        <v>83</v>
      </c>
    </row>
    <row r="179" spans="1:8">
      <c r="A179" s="284" t="s">
        <v>1003</v>
      </c>
      <c r="D179" s="118" t="s">
        <v>90</v>
      </c>
    </row>
    <row r="180" spans="1:8">
      <c r="A180" s="284" t="s">
        <v>1010</v>
      </c>
      <c r="D180" s="118" t="s">
        <v>734</v>
      </c>
      <c r="F180" s="88">
        <v>0</v>
      </c>
      <c r="H180" s="89">
        <f>IF(F180=1,1.2,(IF(F180&gt;1,1.5,0.9)))</f>
        <v>0.9</v>
      </c>
    </row>
    <row r="181" spans="1:8">
      <c r="A181" s="284" t="s">
        <v>1006</v>
      </c>
      <c r="D181" s="118" t="s">
        <v>82</v>
      </c>
    </row>
    <row r="182" spans="1:8">
      <c r="A182" s="285" t="s">
        <v>1011</v>
      </c>
      <c r="D182" s="118" t="s">
        <v>83</v>
      </c>
    </row>
    <row r="183" spans="1:8">
      <c r="A183" s="286" t="s">
        <v>1012</v>
      </c>
      <c r="D183" s="118" t="s">
        <v>90</v>
      </c>
    </row>
    <row r="184" spans="1:8">
      <c r="A184" s="284" t="s">
        <v>1013</v>
      </c>
      <c r="D184" s="118" t="s">
        <v>735</v>
      </c>
      <c r="F184" s="88">
        <v>0</v>
      </c>
      <c r="H184" s="89">
        <f>IF(F184=1,1.2,(IF(F184&gt;1,2.5,0.9)))</f>
        <v>0.9</v>
      </c>
    </row>
    <row r="185" spans="1:8">
      <c r="A185" s="284" t="s">
        <v>1014</v>
      </c>
      <c r="D185" s="118" t="s">
        <v>82</v>
      </c>
    </row>
    <row r="186" spans="1:8">
      <c r="A186" s="284" t="s">
        <v>1015</v>
      </c>
      <c r="D186" s="118" t="s">
        <v>83</v>
      </c>
    </row>
    <row r="187" spans="1:8">
      <c r="A187" s="286" t="s">
        <v>1016</v>
      </c>
      <c r="D187" s="118" t="s">
        <v>90</v>
      </c>
    </row>
    <row r="188" spans="1:8" ht="34.799999999999997">
      <c r="A188" s="284" t="s">
        <v>1017</v>
      </c>
      <c r="D188" s="119" t="s">
        <v>736</v>
      </c>
      <c r="F188" s="71" t="str">
        <f>IF(AUTOQUESTIONNAIRE!F121=0,"N","Y")</f>
        <v>N</v>
      </c>
      <c r="H188" s="72">
        <f>IF(F188="Y",1.2,0.9)</f>
        <v>0.9</v>
      </c>
    </row>
    <row r="189" spans="1:8">
      <c r="A189" s="284" t="s">
        <v>1018</v>
      </c>
      <c r="D189" s="118" t="s">
        <v>659</v>
      </c>
    </row>
    <row r="190" spans="1:8">
      <c r="A190" s="284" t="s">
        <v>1019</v>
      </c>
      <c r="D190" s="118" t="s">
        <v>660</v>
      </c>
    </row>
    <row r="191" spans="1:8" ht="34.799999999999997">
      <c r="A191" s="284" t="s">
        <v>1020</v>
      </c>
      <c r="D191" s="119" t="s">
        <v>737</v>
      </c>
      <c r="F191" s="121" t="str">
        <f>IF(AUTOQUESTIONNAIRE!F122=0,"N","Y")</f>
        <v>N</v>
      </c>
      <c r="G191" s="80" t="str">
        <f>IF($F$188="Y",F191,"N")</f>
        <v>N</v>
      </c>
      <c r="H191" s="72">
        <f>IF(G191="Y",1.2,0.9)</f>
        <v>0.9</v>
      </c>
    </row>
    <row r="192" spans="1:8">
      <c r="A192" s="299" t="s">
        <v>842</v>
      </c>
      <c r="D192" s="118" t="s">
        <v>659</v>
      </c>
    </row>
    <row r="193" spans="1:8">
      <c r="A193" s="284" t="s">
        <v>843</v>
      </c>
      <c r="D193" s="118" t="s">
        <v>660</v>
      </c>
    </row>
    <row r="194" spans="1:8" ht="34.799999999999997">
      <c r="A194" s="284" t="s">
        <v>844</v>
      </c>
      <c r="D194" s="119" t="s">
        <v>738</v>
      </c>
      <c r="F194" s="121" t="str">
        <f>IF(AUTOQUESTIONNAIRE!F124=0,"N","Y")</f>
        <v>N</v>
      </c>
      <c r="G194" s="80" t="str">
        <f>IF($F$188="Y",F194,"N")</f>
        <v>N</v>
      </c>
      <c r="H194" s="72">
        <f>IF(G194="Y",1.2,0.9)</f>
        <v>0.9</v>
      </c>
    </row>
    <row r="195" spans="1:8">
      <c r="A195" s="284" t="s">
        <v>845</v>
      </c>
      <c r="D195" s="118" t="s">
        <v>659</v>
      </c>
    </row>
    <row r="196" spans="1:8">
      <c r="A196" s="286" t="s">
        <v>846</v>
      </c>
      <c r="D196" s="118" t="s">
        <v>660</v>
      </c>
    </row>
    <row r="197" spans="1:8" ht="34.799999999999997">
      <c r="A197" s="284" t="s">
        <v>847</v>
      </c>
      <c r="D197" s="119" t="s">
        <v>739</v>
      </c>
      <c r="F197" s="71" t="str">
        <f>IF(AUTOQUESTIONNAIRE!F125=0,"N","Y")</f>
        <v>N</v>
      </c>
      <c r="G197" s="80" t="str">
        <f>IF($F$188="Y",F197,"N")</f>
        <v>N</v>
      </c>
      <c r="H197" s="72">
        <f>IF(G197="Y",1.2,0.9)</f>
        <v>0.9</v>
      </c>
    </row>
    <row r="198" spans="1:8">
      <c r="A198" s="284" t="s">
        <v>848</v>
      </c>
      <c r="D198" s="118" t="s">
        <v>659</v>
      </c>
    </row>
    <row r="199" spans="1:8">
      <c r="A199" s="284" t="s">
        <v>645</v>
      </c>
      <c r="D199" s="118" t="s">
        <v>660</v>
      </c>
    </row>
    <row r="200" spans="1:8" ht="34.799999999999997">
      <c r="A200" s="286" t="s">
        <v>849</v>
      </c>
      <c r="D200" s="119" t="s">
        <v>740</v>
      </c>
      <c r="F200" s="121" t="str">
        <f>IF(AUTOQUESTIONNAIRE!F126=0,"N","Y")</f>
        <v>N</v>
      </c>
      <c r="G200" s="80" t="str">
        <f>IF($F$188="Y",F200,"N")</f>
        <v>N</v>
      </c>
      <c r="H200" s="72">
        <f>IF(G200="Y",1.2,0.9)</f>
        <v>0.9</v>
      </c>
    </row>
    <row r="201" spans="1:8">
      <c r="A201" s="284" t="s">
        <v>850</v>
      </c>
      <c r="D201" s="118" t="s">
        <v>659</v>
      </c>
    </row>
    <row r="202" spans="1:8">
      <c r="A202" s="284" t="s">
        <v>851</v>
      </c>
      <c r="D202" s="118" t="s">
        <v>660</v>
      </c>
    </row>
    <row r="203" spans="1:8" ht="34.799999999999997">
      <c r="A203" s="284" t="s">
        <v>852</v>
      </c>
      <c r="D203" s="119" t="s">
        <v>741</v>
      </c>
      <c r="F203" s="121" t="str">
        <f>IF(AUTOQUESTIONNAIRE!F127=0,"N","Y")</f>
        <v>N</v>
      </c>
      <c r="G203" s="80" t="str">
        <f>IF($F$188="Y",F203,"N")</f>
        <v>N</v>
      </c>
      <c r="H203" s="72">
        <f>IF(G203="Y",1.2,0.9)</f>
        <v>0.9</v>
      </c>
    </row>
    <row r="204" spans="1:8">
      <c r="A204" s="284" t="s">
        <v>645</v>
      </c>
      <c r="D204" s="118" t="s">
        <v>659</v>
      </c>
    </row>
    <row r="205" spans="1:8">
      <c r="A205" s="291" t="s">
        <v>1021</v>
      </c>
      <c r="D205" s="118" t="s">
        <v>660</v>
      </c>
    </row>
    <row r="206" spans="1:8" ht="34.799999999999997">
      <c r="A206" s="286" t="s">
        <v>935</v>
      </c>
      <c r="D206" s="119" t="s">
        <v>742</v>
      </c>
      <c r="F206" s="121" t="str">
        <f>IF(AUTOQUESTIONNAIRE!F129=0,"N","Y")</f>
        <v>N</v>
      </c>
      <c r="G206" s="80" t="str">
        <f>IF($F$188="Y",F206,"N")</f>
        <v>N</v>
      </c>
      <c r="H206" s="72">
        <f>IF(G206="Y",1.2,0.9)</f>
        <v>0.9</v>
      </c>
    </row>
    <row r="207" spans="1:8">
      <c r="A207" s="283" t="s">
        <v>958</v>
      </c>
      <c r="D207" s="118" t="s">
        <v>659</v>
      </c>
    </row>
    <row r="208" spans="1:8">
      <c r="A208" s="283" t="s">
        <v>959</v>
      </c>
      <c r="D208" s="118" t="s">
        <v>660</v>
      </c>
    </row>
    <row r="209" spans="1:6" ht="34.799999999999997">
      <c r="A209" s="283" t="s">
        <v>819</v>
      </c>
      <c r="D209" s="122" t="s">
        <v>708</v>
      </c>
      <c r="F209" s="88">
        <f>AUTOQUESTIONNAIRE!F143</f>
        <v>0</v>
      </c>
    </row>
    <row r="210" spans="1:6" ht="28.8">
      <c r="A210" s="282" t="s">
        <v>1022</v>
      </c>
      <c r="D210" s="118" t="s">
        <v>315</v>
      </c>
    </row>
    <row r="211" spans="1:6">
      <c r="A211" s="283" t="s">
        <v>1023</v>
      </c>
      <c r="D211" s="118" t="s">
        <v>316</v>
      </c>
    </row>
    <row r="212" spans="1:6">
      <c r="A212" s="283" t="s">
        <v>1024</v>
      </c>
      <c r="D212" s="118" t="s">
        <v>317</v>
      </c>
    </row>
    <row r="213" spans="1:6">
      <c r="A213" s="283" t="s">
        <v>1025</v>
      </c>
      <c r="D213" s="118" t="s">
        <v>318</v>
      </c>
    </row>
    <row r="214" spans="1:6" ht="34.799999999999997">
      <c r="A214" s="283" t="s">
        <v>1006</v>
      </c>
      <c r="D214" s="122" t="s">
        <v>707</v>
      </c>
      <c r="F214" s="88">
        <f>AUTOQUESTIONNAIRE!F144</f>
        <v>1</v>
      </c>
    </row>
    <row r="215" spans="1:6">
      <c r="A215" s="305" t="s">
        <v>1026</v>
      </c>
      <c r="D215" s="118" t="s">
        <v>315</v>
      </c>
    </row>
    <row r="216" spans="1:6">
      <c r="A216" s="283" t="s">
        <v>1023</v>
      </c>
      <c r="D216" s="118" t="s">
        <v>316</v>
      </c>
    </row>
    <row r="217" spans="1:6">
      <c r="A217" s="283" t="s">
        <v>1024</v>
      </c>
      <c r="D217" s="118" t="s">
        <v>317</v>
      </c>
    </row>
    <row r="218" spans="1:6">
      <c r="A218" s="283" t="s">
        <v>1025</v>
      </c>
      <c r="D218" s="118" t="s">
        <v>318</v>
      </c>
    </row>
    <row r="219" spans="1:6" ht="34.799999999999997">
      <c r="A219" s="283" t="s">
        <v>1006</v>
      </c>
      <c r="D219" s="122" t="s">
        <v>706</v>
      </c>
      <c r="F219" s="88">
        <f>AUTOQUESTIONNAIRE!F145</f>
        <v>0</v>
      </c>
    </row>
    <row r="220" spans="1:6">
      <c r="A220" s="286" t="s">
        <v>1027</v>
      </c>
      <c r="D220" s="118" t="s">
        <v>315</v>
      </c>
    </row>
    <row r="221" spans="1:6">
      <c r="A221" s="283" t="s">
        <v>958</v>
      </c>
      <c r="D221" s="118" t="s">
        <v>316</v>
      </c>
    </row>
    <row r="222" spans="1:6">
      <c r="A222" s="283" t="s">
        <v>959</v>
      </c>
      <c r="D222" s="118" t="s">
        <v>317</v>
      </c>
    </row>
    <row r="223" spans="1:6">
      <c r="A223" s="283" t="s">
        <v>819</v>
      </c>
      <c r="D223" s="118" t="s">
        <v>318</v>
      </c>
    </row>
    <row r="224" spans="1:6" ht="55.95" customHeight="1">
      <c r="A224" s="286" t="s">
        <v>831</v>
      </c>
      <c r="D224" s="122" t="s">
        <v>705</v>
      </c>
      <c r="F224" s="88">
        <f>AUTOQUESTIONNAIRE!F146</f>
        <v>0</v>
      </c>
    </row>
    <row r="225" spans="1:8">
      <c r="A225" s="283" t="s">
        <v>958</v>
      </c>
      <c r="D225" s="118" t="s">
        <v>315</v>
      </c>
    </row>
    <row r="226" spans="1:8">
      <c r="A226" s="283" t="s">
        <v>959</v>
      </c>
      <c r="D226" s="118" t="s">
        <v>316</v>
      </c>
    </row>
    <row r="227" spans="1:8">
      <c r="A227" s="284" t="s">
        <v>832</v>
      </c>
      <c r="D227" s="118" t="s">
        <v>317</v>
      </c>
    </row>
    <row r="228" spans="1:8">
      <c r="A228" s="286" t="s">
        <v>841</v>
      </c>
      <c r="D228" s="118" t="s">
        <v>318</v>
      </c>
    </row>
    <row r="229" spans="1:8" ht="34.799999999999997">
      <c r="A229" s="283" t="s">
        <v>958</v>
      </c>
      <c r="D229" s="116" t="s">
        <v>704</v>
      </c>
      <c r="F229" s="124">
        <f>AUTOQUESTIONNAIRE!F241</f>
        <v>0</v>
      </c>
    </row>
    <row r="230" spans="1:8">
      <c r="A230" s="283" t="s">
        <v>959</v>
      </c>
    </row>
    <row r="231" spans="1:8">
      <c r="A231" s="304" t="s">
        <v>833</v>
      </c>
      <c r="D231" s="118" t="s">
        <v>744</v>
      </c>
      <c r="F231" s="121" t="str">
        <f>IF(AUTOQUESTIONNAIRE!F32=0,"N","Y")</f>
        <v>N</v>
      </c>
      <c r="H231" s="80" t="str">
        <f>IF($F$11="Y",F231,"N")</f>
        <v>N</v>
      </c>
    </row>
    <row r="232" spans="1:8">
      <c r="A232" s="283" t="s">
        <v>958</v>
      </c>
      <c r="D232" s="118" t="s">
        <v>703</v>
      </c>
      <c r="F232" s="76">
        <f>AUTOQUESTIONNAIRE!F114</f>
        <v>0</v>
      </c>
      <c r="H232" s="72">
        <f>IF(F232&lt;2,1,0.9)</f>
        <v>1</v>
      </c>
    </row>
    <row r="233" spans="1:8">
      <c r="A233" s="283" t="s">
        <v>959</v>
      </c>
      <c r="D233" s="118"/>
    </row>
    <row r="234" spans="1:8" s="594" customFormat="1" ht="18" thickBot="1">
      <c r="A234" s="595" t="s">
        <v>832</v>
      </c>
      <c r="D234" s="596"/>
      <c r="F234" s="597"/>
    </row>
    <row r="235" spans="1:8" ht="18" thickBot="1">
      <c r="A235" s="286" t="s">
        <v>834</v>
      </c>
      <c r="D235" s="205" t="s">
        <v>615</v>
      </c>
      <c r="F235" s="88">
        <f>AUTOQUESTIONNAIRE!F223</f>
        <v>108</v>
      </c>
    </row>
    <row r="236" spans="1:8" ht="18" thickBot="1">
      <c r="A236" s="283" t="s">
        <v>958</v>
      </c>
      <c r="D236" s="206" t="s">
        <v>616</v>
      </c>
      <c r="F236" s="88">
        <f>AUTOQUESTIONNAIRE!F224</f>
        <v>0</v>
      </c>
    </row>
    <row r="237" spans="1:8" ht="18" thickBot="1">
      <c r="A237" s="283" t="s">
        <v>959</v>
      </c>
      <c r="D237" s="206" t="s">
        <v>652</v>
      </c>
      <c r="F237" s="88">
        <f>AUTOQUESTIONNAIRE!F225</f>
        <v>0</v>
      </c>
    </row>
    <row r="238" spans="1:8" ht="18" thickBot="1">
      <c r="A238" s="283" t="s">
        <v>819</v>
      </c>
      <c r="D238" s="206" t="s">
        <v>653</v>
      </c>
      <c r="F238" s="88">
        <f>AUTOQUESTIONNAIRE!F226</f>
        <v>0</v>
      </c>
    </row>
    <row r="239" spans="1:8" ht="29.4" thickBot="1">
      <c r="A239" s="282" t="s">
        <v>1028</v>
      </c>
      <c r="D239" s="206" t="s">
        <v>654</v>
      </c>
      <c r="F239" s="88">
        <f>AUTOQUESTIONNAIRE!F227</f>
        <v>0</v>
      </c>
    </row>
    <row r="240" spans="1:8" ht="18" thickBot="1">
      <c r="A240" s="283" t="s">
        <v>1029</v>
      </c>
      <c r="D240" s="206" t="s">
        <v>621</v>
      </c>
      <c r="F240" s="88">
        <f>AUTOQUESTIONNAIRE!F217</f>
        <v>70</v>
      </c>
    </row>
    <row r="241" spans="1:10" ht="18" thickBot="1">
      <c r="A241" s="283" t="s">
        <v>1030</v>
      </c>
      <c r="D241" s="206" t="s">
        <v>617</v>
      </c>
      <c r="F241" s="88">
        <f>AUTOQUESTIONNAIRE!F346</f>
        <v>80</v>
      </c>
    </row>
    <row r="242" spans="1:10" ht="18" thickBot="1">
      <c r="A242" s="283" t="s">
        <v>1025</v>
      </c>
      <c r="D242" s="206" t="s">
        <v>622</v>
      </c>
      <c r="F242" s="88">
        <f>AUTOQUESTIONNAIRE!F220</f>
        <v>90</v>
      </c>
    </row>
    <row r="243" spans="1:10" ht="18" thickBot="1">
      <c r="A243" s="283" t="s">
        <v>1006</v>
      </c>
      <c r="D243" s="206" t="s">
        <v>655</v>
      </c>
      <c r="F243" s="88">
        <f>AUTOQUESTIONNAIRE!F221</f>
        <v>65</v>
      </c>
    </row>
    <row r="244" spans="1:10" ht="29.4" thickBot="1">
      <c r="A244" s="282" t="s">
        <v>1031</v>
      </c>
      <c r="D244" s="206" t="s">
        <v>618</v>
      </c>
      <c r="F244" s="88">
        <f>AUTOQUESTIONNAIRE!F228</f>
        <v>99</v>
      </c>
    </row>
    <row r="245" spans="1:10" ht="29.4" thickBot="1">
      <c r="A245" s="288" t="s">
        <v>857</v>
      </c>
      <c r="D245" s="206" t="s">
        <v>619</v>
      </c>
      <c r="F245" s="88">
        <f>AUTOQUESTIONNAIRE!F229</f>
        <v>0</v>
      </c>
    </row>
    <row r="246" spans="1:10" ht="18" thickBot="1">
      <c r="A246" s="283" t="s">
        <v>958</v>
      </c>
      <c r="D246" s="206" t="s">
        <v>643</v>
      </c>
      <c r="F246" s="88">
        <f>AUTOQUESTIONNAIRE!G230</f>
        <v>2</v>
      </c>
    </row>
    <row r="247" spans="1:10" ht="18" thickBot="1">
      <c r="A247" s="283" t="s">
        <v>959</v>
      </c>
      <c r="D247" s="206" t="s">
        <v>644</v>
      </c>
      <c r="F247" s="88">
        <f>AUTOQUESTIONNAIRE!G231</f>
        <v>2</v>
      </c>
    </row>
    <row r="248" spans="1:10" ht="57.6">
      <c r="A248" s="288" t="s">
        <v>858</v>
      </c>
      <c r="D248" s="209" t="s">
        <v>751</v>
      </c>
      <c r="F248" s="208">
        <f>AUTOQUESTIONNAIRE!F232</f>
        <v>0</v>
      </c>
    </row>
    <row r="249" spans="1:10">
      <c r="A249" s="283" t="s">
        <v>958</v>
      </c>
      <c r="D249" s="210" t="s">
        <v>746</v>
      </c>
    </row>
    <row r="250" spans="1:10">
      <c r="A250" s="283" t="s">
        <v>959</v>
      </c>
      <c r="D250" s="210" t="s">
        <v>753</v>
      </c>
      <c r="F250" s="76">
        <f>AUTOQUESTIONNAIRE!F233</f>
        <v>20</v>
      </c>
      <c r="H250" s="72">
        <f>F250/20</f>
        <v>1</v>
      </c>
    </row>
    <row r="251" spans="1:10" ht="43.2">
      <c r="A251" s="288" t="s">
        <v>859</v>
      </c>
      <c r="D251" s="210" t="s">
        <v>754</v>
      </c>
      <c r="F251" s="76" t="s">
        <v>797</v>
      </c>
      <c r="H251" s="72">
        <f>IF(F251="Normale",1,0)</f>
        <v>0</v>
      </c>
    </row>
    <row r="252" spans="1:10">
      <c r="A252" s="283" t="s">
        <v>958</v>
      </c>
      <c r="D252" s="210" t="s">
        <v>755</v>
      </c>
      <c r="F252" s="76" t="s">
        <v>797</v>
      </c>
      <c r="H252" s="72">
        <f>IF(F252="Normale",1,0)</f>
        <v>0</v>
      </c>
      <c r="I252" s="218" t="s">
        <v>119</v>
      </c>
      <c r="J252" s="218">
        <f>(H250+H251+H252)/3</f>
        <v>0.33333333333333331</v>
      </c>
    </row>
    <row r="253" spans="1:10" ht="21">
      <c r="A253" s="283" t="s">
        <v>959</v>
      </c>
      <c r="D253" s="215" t="s">
        <v>759</v>
      </c>
      <c r="E253" s="211"/>
      <c r="F253" s="212" t="s">
        <v>756</v>
      </c>
      <c r="G253" s="211" t="s">
        <v>760</v>
      </c>
      <c r="H253" s="211"/>
      <c r="I253" s="211"/>
    </row>
    <row r="254" spans="1:10" ht="21">
      <c r="A254" s="283" t="s">
        <v>832</v>
      </c>
      <c r="D254" s="216" t="s">
        <v>757</v>
      </c>
      <c r="E254" s="214"/>
      <c r="F254" s="212"/>
      <c r="G254" s="211"/>
      <c r="H254" s="211"/>
      <c r="I254" s="219" t="s">
        <v>119</v>
      </c>
      <c r="J254" s="219">
        <f>IF(F253="Normale perte auditive en décibel &lt;20 dB",1,(IF(F253="Surdité perte auditive en décibel &gt; 40 dB",0.4,0.6)))</f>
        <v>0.6</v>
      </c>
    </row>
    <row r="255" spans="1:10" ht="21">
      <c r="A255" s="285" t="s">
        <v>1032</v>
      </c>
      <c r="D255" s="217" t="s">
        <v>756</v>
      </c>
      <c r="E255" s="213"/>
      <c r="F255" s="212"/>
      <c r="G255" s="211"/>
      <c r="H255" s="211"/>
      <c r="I255" s="211"/>
    </row>
    <row r="256" spans="1:10" ht="21">
      <c r="A256" s="306" t="s">
        <v>860</v>
      </c>
      <c r="D256" s="216" t="s">
        <v>758</v>
      </c>
      <c r="E256" s="213"/>
      <c r="F256" s="212"/>
      <c r="G256" s="211"/>
      <c r="H256" s="211"/>
      <c r="I256" s="211"/>
    </row>
    <row r="257" spans="1:8">
      <c r="A257" s="284" t="s">
        <v>861</v>
      </c>
    </row>
    <row r="258" spans="1:8" ht="18">
      <c r="A258" s="284" t="s">
        <v>862</v>
      </c>
      <c r="D258" s="246" t="s">
        <v>779</v>
      </c>
      <c r="F258" s="88" t="s">
        <v>89</v>
      </c>
      <c r="G258" s="79">
        <f>IF(F258="Y",1,0)</f>
        <v>0</v>
      </c>
      <c r="H258" s="72" t="s">
        <v>775</v>
      </c>
    </row>
    <row r="259" spans="1:8" ht="18">
      <c r="A259" s="284" t="s">
        <v>863</v>
      </c>
      <c r="D259" s="245" t="s">
        <v>773</v>
      </c>
    </row>
    <row r="260" spans="1:8" ht="18">
      <c r="A260" s="284" t="s">
        <v>864</v>
      </c>
      <c r="D260" s="245" t="s">
        <v>774</v>
      </c>
    </row>
    <row r="261" spans="1:8" ht="36">
      <c r="A261" s="306" t="s">
        <v>865</v>
      </c>
      <c r="D261" s="247" t="s">
        <v>780</v>
      </c>
      <c r="F261" s="88" t="s">
        <v>89</v>
      </c>
      <c r="G261" s="79">
        <f>IF(F261="Y",0.5,0)</f>
        <v>0</v>
      </c>
    </row>
    <row r="262" spans="1:8" ht="18">
      <c r="A262" s="284" t="s">
        <v>866</v>
      </c>
      <c r="D262" s="245" t="s">
        <v>773</v>
      </c>
    </row>
    <row r="263" spans="1:8" ht="18">
      <c r="A263" s="284" t="s">
        <v>867</v>
      </c>
      <c r="D263" s="245" t="s">
        <v>774</v>
      </c>
    </row>
    <row r="264" spans="1:8" ht="18">
      <c r="A264" s="284" t="s">
        <v>868</v>
      </c>
      <c r="D264" s="248" t="s">
        <v>781</v>
      </c>
      <c r="F264" s="88" t="s">
        <v>89</v>
      </c>
      <c r="G264" s="79">
        <f>IF(F264="Y",0.5,0)</f>
        <v>0</v>
      </c>
    </row>
    <row r="265" spans="1:8" ht="18">
      <c r="A265" s="293" t="s">
        <v>945</v>
      </c>
      <c r="D265" s="245" t="s">
        <v>773</v>
      </c>
    </row>
    <row r="266" spans="1:8" ht="18">
      <c r="A266" s="284" t="s">
        <v>850</v>
      </c>
      <c r="D266" s="245" t="s">
        <v>774</v>
      </c>
    </row>
    <row r="267" spans="1:8" ht="18">
      <c r="A267" s="284" t="s">
        <v>946</v>
      </c>
      <c r="D267" s="249" t="s">
        <v>794</v>
      </c>
      <c r="F267" s="88" t="s">
        <v>89</v>
      </c>
      <c r="G267" s="79">
        <f>IF(F267="Y",1,0)</f>
        <v>0</v>
      </c>
      <c r="H267" s="116"/>
    </row>
    <row r="268" spans="1:8" ht="18">
      <c r="A268" s="284" t="s">
        <v>645</v>
      </c>
      <c r="D268" s="245" t="s">
        <v>773</v>
      </c>
    </row>
    <row r="269" spans="1:8" ht="18">
      <c r="A269" s="306" t="s">
        <v>947</v>
      </c>
      <c r="D269" s="245" t="s">
        <v>774</v>
      </c>
    </row>
    <row r="270" spans="1:8" ht="18">
      <c r="A270" s="307" t="s">
        <v>853</v>
      </c>
      <c r="D270" s="247" t="s">
        <v>782</v>
      </c>
      <c r="F270" s="88" t="s">
        <v>89</v>
      </c>
      <c r="G270" s="79">
        <f>IF(F270="Y",1,0)</f>
        <v>0</v>
      </c>
    </row>
    <row r="271" spans="1:8" ht="18">
      <c r="A271" s="284" t="s">
        <v>854</v>
      </c>
      <c r="D271" s="245" t="s">
        <v>773</v>
      </c>
    </row>
    <row r="272" spans="1:8" ht="18">
      <c r="A272" s="284" t="s">
        <v>855</v>
      </c>
      <c r="D272" s="245" t="s">
        <v>774</v>
      </c>
    </row>
    <row r="273" spans="1:7" ht="36">
      <c r="A273" s="284" t="s">
        <v>856</v>
      </c>
      <c r="D273" s="246" t="s">
        <v>783</v>
      </c>
      <c r="F273" s="88" t="s">
        <v>89</v>
      </c>
      <c r="G273" s="79">
        <f>IF(F273="Y",1,0)</f>
        <v>0</v>
      </c>
    </row>
    <row r="274" spans="1:7" ht="18">
      <c r="A274" s="307" t="s">
        <v>869</v>
      </c>
      <c r="D274" s="245" t="s">
        <v>773</v>
      </c>
    </row>
    <row r="275" spans="1:7" ht="18">
      <c r="A275" s="284" t="s">
        <v>870</v>
      </c>
      <c r="D275" s="245" t="s">
        <v>774</v>
      </c>
    </row>
    <row r="276" spans="1:7">
      <c r="A276" s="284" t="s">
        <v>871</v>
      </c>
      <c r="D276" s="289" t="s">
        <v>973</v>
      </c>
    </row>
    <row r="277" spans="1:7">
      <c r="A277" s="284" t="s">
        <v>872</v>
      </c>
      <c r="D277" s="283" t="s">
        <v>958</v>
      </c>
    </row>
    <row r="278" spans="1:7">
      <c r="A278" s="284" t="s">
        <v>873</v>
      </c>
      <c r="D278" s="283" t="s">
        <v>959</v>
      </c>
    </row>
    <row r="279" spans="1:7">
      <c r="A279" s="307" t="s">
        <v>874</v>
      </c>
      <c r="D279" s="268" t="s">
        <v>801</v>
      </c>
    </row>
    <row r="280" spans="1:7">
      <c r="A280" s="284" t="s">
        <v>870</v>
      </c>
      <c r="D280" s="269" t="s">
        <v>802</v>
      </c>
    </row>
    <row r="281" spans="1:7">
      <c r="A281" s="284" t="s">
        <v>871</v>
      </c>
      <c r="D281" s="269" t="s">
        <v>803</v>
      </c>
    </row>
    <row r="282" spans="1:7">
      <c r="A282" s="284" t="s">
        <v>872</v>
      </c>
      <c r="D282" s="268" t="s">
        <v>804</v>
      </c>
    </row>
    <row r="283" spans="1:7">
      <c r="A283" s="284" t="s">
        <v>873</v>
      </c>
      <c r="D283" s="269" t="s">
        <v>802</v>
      </c>
    </row>
    <row r="284" spans="1:7">
      <c r="A284" s="307" t="s">
        <v>875</v>
      </c>
      <c r="D284" s="269" t="s">
        <v>803</v>
      </c>
    </row>
    <row r="285" spans="1:7" ht="28.8">
      <c r="A285" s="284" t="s">
        <v>870</v>
      </c>
      <c r="D285" s="269" t="s">
        <v>805</v>
      </c>
    </row>
    <row r="286" spans="1:7">
      <c r="A286" s="284" t="s">
        <v>871</v>
      </c>
      <c r="D286" s="269" t="s">
        <v>802</v>
      </c>
    </row>
    <row r="287" spans="1:7">
      <c r="A287" s="284" t="s">
        <v>872</v>
      </c>
      <c r="D287" s="269" t="s">
        <v>803</v>
      </c>
    </row>
    <row r="288" spans="1:7">
      <c r="A288" s="284" t="s">
        <v>873</v>
      </c>
      <c r="D288" s="269" t="s">
        <v>806</v>
      </c>
    </row>
    <row r="289" spans="1:4">
      <c r="A289" s="307" t="s">
        <v>876</v>
      </c>
      <c r="D289" s="269" t="s">
        <v>802</v>
      </c>
    </row>
    <row r="290" spans="1:4">
      <c r="A290" s="284" t="s">
        <v>870</v>
      </c>
      <c r="D290" s="269" t="s">
        <v>803</v>
      </c>
    </row>
    <row r="291" spans="1:4">
      <c r="A291" s="284" t="s">
        <v>871</v>
      </c>
      <c r="D291" s="268" t="s">
        <v>807</v>
      </c>
    </row>
    <row r="292" spans="1:4">
      <c r="A292" s="284" t="s">
        <v>872</v>
      </c>
      <c r="D292" s="268" t="s">
        <v>808</v>
      </c>
    </row>
    <row r="293" spans="1:4">
      <c r="A293" s="284" t="s">
        <v>873</v>
      </c>
      <c r="D293" s="268" t="s">
        <v>809</v>
      </c>
    </row>
    <row r="294" spans="1:4">
      <c r="A294" s="307" t="s">
        <v>877</v>
      </c>
      <c r="D294" s="268" t="s">
        <v>810</v>
      </c>
    </row>
    <row r="295" spans="1:4">
      <c r="A295" s="283" t="s">
        <v>878</v>
      </c>
      <c r="D295" s="268" t="s">
        <v>811</v>
      </c>
    </row>
    <row r="296" spans="1:4">
      <c r="A296" s="283" t="s">
        <v>879</v>
      </c>
      <c r="D296" s="268" t="s">
        <v>812</v>
      </c>
    </row>
    <row r="297" spans="1:4">
      <c r="A297" s="283" t="s">
        <v>959</v>
      </c>
      <c r="D297" s="268" t="s">
        <v>813</v>
      </c>
    </row>
    <row r="298" spans="1:4">
      <c r="A298" s="285" t="s">
        <v>880</v>
      </c>
      <c r="D298" s="268" t="s">
        <v>814</v>
      </c>
    </row>
    <row r="299" spans="1:4">
      <c r="A299" s="283" t="s">
        <v>958</v>
      </c>
      <c r="D299" s="268" t="s">
        <v>815</v>
      </c>
    </row>
    <row r="300" spans="1:4">
      <c r="A300" s="283" t="s">
        <v>959</v>
      </c>
      <c r="D300" s="268" t="s">
        <v>816</v>
      </c>
    </row>
    <row r="301" spans="1:4">
      <c r="A301" s="296" t="s">
        <v>819</v>
      </c>
      <c r="D301" s="268" t="s">
        <v>817</v>
      </c>
    </row>
    <row r="302" spans="1:4">
      <c r="A302" s="307" t="s">
        <v>883</v>
      </c>
      <c r="D302" s="268" t="s">
        <v>818</v>
      </c>
    </row>
    <row r="303" spans="1:4">
      <c r="A303" s="302" t="s">
        <v>884</v>
      </c>
      <c r="D303" s="269" t="s">
        <v>802</v>
      </c>
    </row>
    <row r="304" spans="1:4">
      <c r="A304" s="283" t="s">
        <v>958</v>
      </c>
      <c r="D304" s="269" t="s">
        <v>803</v>
      </c>
    </row>
    <row r="305" spans="1:4">
      <c r="A305" s="283" t="s">
        <v>959</v>
      </c>
      <c r="D305" s="268" t="s">
        <v>819</v>
      </c>
    </row>
    <row r="306" spans="1:4">
      <c r="A306" s="308" t="s">
        <v>885</v>
      </c>
      <c r="D306" s="269" t="s">
        <v>820</v>
      </c>
    </row>
    <row r="307" spans="1:4">
      <c r="A307" s="283" t="s">
        <v>958</v>
      </c>
      <c r="D307" s="269" t="s">
        <v>802</v>
      </c>
    </row>
    <row r="308" spans="1:4">
      <c r="A308" s="283" t="s">
        <v>959</v>
      </c>
      <c r="D308" s="269" t="s">
        <v>803</v>
      </c>
    </row>
    <row r="309" spans="1:4" ht="28.8">
      <c r="A309" s="308" t="s">
        <v>886</v>
      </c>
      <c r="D309" s="269" t="s">
        <v>821</v>
      </c>
    </row>
    <row r="310" spans="1:4">
      <c r="A310" s="283" t="s">
        <v>958</v>
      </c>
      <c r="D310" s="269" t="s">
        <v>802</v>
      </c>
    </row>
    <row r="311" spans="1:4">
      <c r="A311" s="283" t="s">
        <v>959</v>
      </c>
      <c r="D311" s="269" t="s">
        <v>803</v>
      </c>
    </row>
    <row r="312" spans="1:4">
      <c r="A312" s="308" t="s">
        <v>887</v>
      </c>
      <c r="D312" s="269" t="s">
        <v>822</v>
      </c>
    </row>
    <row r="313" spans="1:4">
      <c r="A313" s="283" t="s">
        <v>958</v>
      </c>
      <c r="D313" s="269" t="s">
        <v>802</v>
      </c>
    </row>
    <row r="314" spans="1:4">
      <c r="A314" s="283" t="s">
        <v>959</v>
      </c>
      <c r="D314" s="269" t="s">
        <v>803</v>
      </c>
    </row>
    <row r="315" spans="1:4">
      <c r="A315" s="308" t="s">
        <v>888</v>
      </c>
      <c r="D315" s="269" t="s">
        <v>823</v>
      </c>
    </row>
    <row r="316" spans="1:4">
      <c r="A316" s="283" t="s">
        <v>958</v>
      </c>
      <c r="D316" s="269" t="s">
        <v>802</v>
      </c>
    </row>
    <row r="317" spans="1:4">
      <c r="A317" s="283" t="s">
        <v>959</v>
      </c>
      <c r="D317" s="269" t="s">
        <v>803</v>
      </c>
    </row>
    <row r="318" spans="1:4">
      <c r="A318" s="308" t="s">
        <v>889</v>
      </c>
      <c r="D318" s="314" t="s">
        <v>824</v>
      </c>
    </row>
    <row r="319" spans="1:4">
      <c r="A319" s="283" t="s">
        <v>958</v>
      </c>
      <c r="D319" s="314" t="s">
        <v>802</v>
      </c>
    </row>
    <row r="320" spans="1:4">
      <c r="A320" s="283" t="s">
        <v>959</v>
      </c>
      <c r="D320" s="314" t="s">
        <v>803</v>
      </c>
    </row>
    <row r="321" spans="1:4">
      <c r="A321" s="308" t="s">
        <v>890</v>
      </c>
      <c r="D321" s="314" t="s">
        <v>825</v>
      </c>
    </row>
    <row r="322" spans="1:4">
      <c r="A322" s="283" t="s">
        <v>958</v>
      </c>
      <c r="D322" s="314" t="s">
        <v>802</v>
      </c>
    </row>
    <row r="323" spans="1:4">
      <c r="A323" s="283" t="s">
        <v>959</v>
      </c>
      <c r="D323" s="314" t="s">
        <v>803</v>
      </c>
    </row>
    <row r="324" spans="1:4" ht="28.8">
      <c r="A324" s="309" t="s">
        <v>891</v>
      </c>
      <c r="D324" s="269" t="s">
        <v>826</v>
      </c>
    </row>
    <row r="325" spans="1:4">
      <c r="A325" s="283" t="s">
        <v>958</v>
      </c>
      <c r="D325" s="269" t="s">
        <v>802</v>
      </c>
    </row>
    <row r="326" spans="1:4">
      <c r="A326" s="283" t="s">
        <v>959</v>
      </c>
      <c r="D326" s="269" t="s">
        <v>803</v>
      </c>
    </row>
    <row r="327" spans="1:4">
      <c r="A327" s="302" t="s">
        <v>892</v>
      </c>
      <c r="D327" s="269" t="s">
        <v>827</v>
      </c>
    </row>
    <row r="328" spans="1:4">
      <c r="A328" s="283" t="s">
        <v>958</v>
      </c>
      <c r="D328" s="269" t="s">
        <v>802</v>
      </c>
    </row>
    <row r="329" spans="1:4">
      <c r="A329" s="283" t="s">
        <v>959</v>
      </c>
      <c r="D329" s="269" t="s">
        <v>803</v>
      </c>
    </row>
    <row r="330" spans="1:4" ht="28.8">
      <c r="A330" s="288" t="s">
        <v>893</v>
      </c>
      <c r="D330" s="269" t="s">
        <v>828</v>
      </c>
    </row>
    <row r="331" spans="1:4">
      <c r="A331" s="283" t="s">
        <v>958</v>
      </c>
      <c r="D331" s="269" t="s">
        <v>829</v>
      </c>
    </row>
    <row r="332" spans="1:4">
      <c r="A332" s="283" t="s">
        <v>959</v>
      </c>
      <c r="D332" s="269" t="s">
        <v>830</v>
      </c>
    </row>
    <row r="333" spans="1:4">
      <c r="A333" s="302" t="s">
        <v>894</v>
      </c>
      <c r="D333" s="268" t="s">
        <v>831</v>
      </c>
    </row>
    <row r="334" spans="1:4">
      <c r="A334" s="280" t="s">
        <v>895</v>
      </c>
      <c r="D334" s="269" t="s">
        <v>802</v>
      </c>
    </row>
    <row r="335" spans="1:4">
      <c r="A335" s="310" t="s">
        <v>1033</v>
      </c>
      <c r="D335" s="269" t="s">
        <v>803</v>
      </c>
    </row>
    <row r="336" spans="1:4">
      <c r="A336" s="293" t="s">
        <v>881</v>
      </c>
      <c r="D336" s="268" t="s">
        <v>832</v>
      </c>
    </row>
    <row r="337" spans="1:4">
      <c r="A337" s="283" t="s">
        <v>958</v>
      </c>
      <c r="D337" s="270" t="s">
        <v>833</v>
      </c>
    </row>
    <row r="338" spans="1:4">
      <c r="A338" s="283" t="s">
        <v>959</v>
      </c>
      <c r="D338" s="269" t="s">
        <v>802</v>
      </c>
    </row>
    <row r="339" spans="1:4">
      <c r="A339" s="293" t="s">
        <v>882</v>
      </c>
      <c r="D339" s="269" t="s">
        <v>803</v>
      </c>
    </row>
    <row r="340" spans="1:4">
      <c r="A340" s="283" t="s">
        <v>958</v>
      </c>
      <c r="D340" s="268" t="s">
        <v>832</v>
      </c>
    </row>
    <row r="341" spans="1:4">
      <c r="A341" s="283" t="s">
        <v>959</v>
      </c>
      <c r="D341" s="268" t="s">
        <v>834</v>
      </c>
    </row>
    <row r="342" spans="1:4">
      <c r="D342" s="269" t="s">
        <v>802</v>
      </c>
    </row>
    <row r="343" spans="1:4" ht="69.599999999999994">
      <c r="A343" s="311" t="s">
        <v>948</v>
      </c>
      <c r="D343" s="269" t="s">
        <v>803</v>
      </c>
    </row>
    <row r="344" spans="1:4">
      <c r="A344" s="312" t="s">
        <v>315</v>
      </c>
      <c r="D344" s="269" t="s">
        <v>819</v>
      </c>
    </row>
    <row r="345" spans="1:4">
      <c r="A345" s="312" t="s">
        <v>316</v>
      </c>
      <c r="D345" s="268" t="s">
        <v>835</v>
      </c>
    </row>
    <row r="346" spans="1:4">
      <c r="A346" s="312" t="s">
        <v>317</v>
      </c>
      <c r="D346" s="269" t="s">
        <v>802</v>
      </c>
    </row>
    <row r="347" spans="1:4">
      <c r="A347" s="312" t="s">
        <v>318</v>
      </c>
      <c r="D347" s="269" t="s">
        <v>803</v>
      </c>
    </row>
    <row r="348" spans="1:4" ht="69.599999999999994">
      <c r="A348" s="311" t="s">
        <v>949</v>
      </c>
      <c r="D348" s="268" t="s">
        <v>836</v>
      </c>
    </row>
    <row r="349" spans="1:4">
      <c r="A349" s="312" t="s">
        <v>315</v>
      </c>
      <c r="D349" s="268" t="s">
        <v>837</v>
      </c>
    </row>
    <row r="350" spans="1:4">
      <c r="A350" s="312" t="s">
        <v>316</v>
      </c>
      <c r="D350" s="268" t="s">
        <v>838</v>
      </c>
    </row>
    <row r="351" spans="1:4">
      <c r="A351" s="312" t="s">
        <v>317</v>
      </c>
      <c r="D351" s="269" t="s">
        <v>645</v>
      </c>
    </row>
    <row r="352" spans="1:4">
      <c r="A352" s="312" t="s">
        <v>318</v>
      </c>
      <c r="D352" s="271" t="s">
        <v>839</v>
      </c>
    </row>
    <row r="353" spans="1:4" ht="69.599999999999994">
      <c r="A353" s="311" t="s">
        <v>950</v>
      </c>
      <c r="D353" s="271" t="s">
        <v>802</v>
      </c>
    </row>
    <row r="354" spans="1:4">
      <c r="A354" s="312" t="s">
        <v>315</v>
      </c>
      <c r="D354" s="271" t="s">
        <v>803</v>
      </c>
    </row>
    <row r="355" spans="1:4">
      <c r="A355" s="312" t="s">
        <v>316</v>
      </c>
      <c r="D355" s="269" t="s">
        <v>840</v>
      </c>
    </row>
    <row r="356" spans="1:4">
      <c r="A356" s="312" t="s">
        <v>317</v>
      </c>
      <c r="D356" s="269" t="s">
        <v>802</v>
      </c>
    </row>
    <row r="357" spans="1:4">
      <c r="A357" s="312" t="s">
        <v>318</v>
      </c>
      <c r="D357" s="269" t="s">
        <v>803</v>
      </c>
    </row>
    <row r="358" spans="1:4" ht="87">
      <c r="A358" s="311" t="s">
        <v>951</v>
      </c>
      <c r="D358" s="268" t="s">
        <v>841</v>
      </c>
    </row>
    <row r="359" spans="1:4">
      <c r="A359" s="312" t="s">
        <v>315</v>
      </c>
      <c r="D359" s="269" t="s">
        <v>802</v>
      </c>
    </row>
    <row r="360" spans="1:4">
      <c r="A360" s="312" t="s">
        <v>316</v>
      </c>
      <c r="D360" s="269" t="s">
        <v>803</v>
      </c>
    </row>
    <row r="361" spans="1:4">
      <c r="A361" s="312" t="s">
        <v>317</v>
      </c>
      <c r="D361" s="268" t="s">
        <v>842</v>
      </c>
    </row>
    <row r="362" spans="1:4">
      <c r="A362" s="312" t="s">
        <v>318</v>
      </c>
      <c r="D362" s="268" t="s">
        <v>843</v>
      </c>
    </row>
    <row r="363" spans="1:4" ht="69.599999999999994">
      <c r="A363" s="313" t="s">
        <v>944</v>
      </c>
      <c r="D363" s="268" t="s">
        <v>844</v>
      </c>
    </row>
    <row r="364" spans="1:4">
      <c r="A364" s="116" t="s">
        <v>315</v>
      </c>
      <c r="D364" s="268" t="s">
        <v>845</v>
      </c>
    </row>
    <row r="365" spans="1:4">
      <c r="A365" s="116" t="s">
        <v>316</v>
      </c>
      <c r="D365" s="268" t="s">
        <v>846</v>
      </c>
    </row>
    <row r="366" spans="1:4">
      <c r="A366" s="116" t="s">
        <v>317</v>
      </c>
      <c r="D366" s="268" t="s">
        <v>847</v>
      </c>
    </row>
    <row r="367" spans="1:4">
      <c r="A367" s="116" t="s">
        <v>318</v>
      </c>
      <c r="D367" s="268" t="s">
        <v>848</v>
      </c>
    </row>
    <row r="368" spans="1:4">
      <c r="D368" s="268" t="s">
        <v>645</v>
      </c>
    </row>
    <row r="369" spans="4:4">
      <c r="D369" s="268" t="s">
        <v>849</v>
      </c>
    </row>
    <row r="370" spans="4:4">
      <c r="D370" s="268" t="s">
        <v>850</v>
      </c>
    </row>
    <row r="371" spans="4:4">
      <c r="D371" s="268" t="s">
        <v>851</v>
      </c>
    </row>
    <row r="372" spans="4:4">
      <c r="D372" s="268" t="s">
        <v>852</v>
      </c>
    </row>
    <row r="373" spans="4:4">
      <c r="D373" s="268" t="s">
        <v>645</v>
      </c>
    </row>
    <row r="374" spans="4:4">
      <c r="D374" s="270" t="s">
        <v>853</v>
      </c>
    </row>
    <row r="375" spans="4:4">
      <c r="D375" s="268" t="s">
        <v>854</v>
      </c>
    </row>
    <row r="376" spans="4:4">
      <c r="D376" s="268" t="s">
        <v>855</v>
      </c>
    </row>
    <row r="377" spans="4:4">
      <c r="D377" s="268" t="s">
        <v>856</v>
      </c>
    </row>
    <row r="378" spans="4:4">
      <c r="D378" s="269" t="s">
        <v>857</v>
      </c>
    </row>
    <row r="379" spans="4:4">
      <c r="D379" s="269" t="s">
        <v>802</v>
      </c>
    </row>
    <row r="380" spans="4:4">
      <c r="D380" s="269" t="s">
        <v>803</v>
      </c>
    </row>
    <row r="381" spans="4:4" ht="28.8">
      <c r="D381" s="269" t="s">
        <v>858</v>
      </c>
    </row>
    <row r="382" spans="4:4">
      <c r="D382" s="269" t="s">
        <v>802</v>
      </c>
    </row>
    <row r="383" spans="4:4">
      <c r="D383" s="269" t="s">
        <v>803</v>
      </c>
    </row>
    <row r="384" spans="4:4">
      <c r="D384" s="269" t="s">
        <v>859</v>
      </c>
    </row>
    <row r="385" spans="4:4">
      <c r="D385" s="269" t="s">
        <v>802</v>
      </c>
    </row>
    <row r="386" spans="4:4">
      <c r="D386" s="269" t="s">
        <v>803</v>
      </c>
    </row>
    <row r="387" spans="4:4">
      <c r="D387" s="269" t="s">
        <v>832</v>
      </c>
    </row>
    <row r="388" spans="4:4">
      <c r="D388" s="268" t="s">
        <v>860</v>
      </c>
    </row>
    <row r="389" spans="4:4">
      <c r="D389" s="268" t="s">
        <v>861</v>
      </c>
    </row>
    <row r="390" spans="4:4">
      <c r="D390" s="268" t="s">
        <v>862</v>
      </c>
    </row>
    <row r="391" spans="4:4">
      <c r="D391" s="268" t="s">
        <v>863</v>
      </c>
    </row>
    <row r="392" spans="4:4">
      <c r="D392" s="268" t="s">
        <v>864</v>
      </c>
    </row>
    <row r="393" spans="4:4">
      <c r="D393" s="268" t="s">
        <v>865</v>
      </c>
    </row>
    <row r="394" spans="4:4">
      <c r="D394" s="268" t="s">
        <v>866</v>
      </c>
    </row>
    <row r="395" spans="4:4">
      <c r="D395" s="268" t="s">
        <v>867</v>
      </c>
    </row>
    <row r="396" spans="4:4">
      <c r="D396" s="268" t="s">
        <v>868</v>
      </c>
    </row>
    <row r="397" spans="4:4">
      <c r="D397" s="270" t="s">
        <v>869</v>
      </c>
    </row>
    <row r="398" spans="4:4">
      <c r="D398" s="268" t="s">
        <v>870</v>
      </c>
    </row>
    <row r="399" spans="4:4">
      <c r="D399" s="268" t="s">
        <v>871</v>
      </c>
    </row>
    <row r="400" spans="4:4">
      <c r="D400" s="268" t="s">
        <v>872</v>
      </c>
    </row>
    <row r="401" spans="4:4">
      <c r="D401" s="268" t="s">
        <v>873</v>
      </c>
    </row>
    <row r="402" spans="4:4">
      <c r="D402" s="270" t="s">
        <v>874</v>
      </c>
    </row>
    <row r="403" spans="4:4">
      <c r="D403" s="268" t="s">
        <v>870</v>
      </c>
    </row>
    <row r="404" spans="4:4">
      <c r="D404" s="268" t="s">
        <v>871</v>
      </c>
    </row>
    <row r="405" spans="4:4">
      <c r="D405" s="268" t="s">
        <v>872</v>
      </c>
    </row>
    <row r="406" spans="4:4">
      <c r="D406" s="268" t="s">
        <v>873</v>
      </c>
    </row>
    <row r="407" spans="4:4">
      <c r="D407" s="270" t="s">
        <v>875</v>
      </c>
    </row>
    <row r="408" spans="4:4">
      <c r="D408" s="268" t="s">
        <v>870</v>
      </c>
    </row>
    <row r="409" spans="4:4">
      <c r="D409" s="268" t="s">
        <v>871</v>
      </c>
    </row>
    <row r="410" spans="4:4">
      <c r="D410" s="268" t="s">
        <v>872</v>
      </c>
    </row>
    <row r="411" spans="4:4">
      <c r="D411" s="268" t="s">
        <v>873</v>
      </c>
    </row>
    <row r="412" spans="4:4">
      <c r="D412" s="270" t="s">
        <v>876</v>
      </c>
    </row>
    <row r="413" spans="4:4">
      <c r="D413" s="268" t="s">
        <v>870</v>
      </c>
    </row>
    <row r="414" spans="4:4">
      <c r="D414" s="268" t="s">
        <v>871</v>
      </c>
    </row>
    <row r="415" spans="4:4">
      <c r="D415" s="268" t="s">
        <v>872</v>
      </c>
    </row>
    <row r="416" spans="4:4">
      <c r="D416" s="268" t="s">
        <v>873</v>
      </c>
    </row>
    <row r="417" spans="4:4">
      <c r="D417" s="270" t="s">
        <v>877</v>
      </c>
    </row>
    <row r="418" spans="4:4">
      <c r="D418" s="269" t="s">
        <v>878</v>
      </c>
    </row>
    <row r="419" spans="4:4">
      <c r="D419" s="269" t="s">
        <v>879</v>
      </c>
    </row>
    <row r="420" spans="4:4">
      <c r="D420" s="269" t="s">
        <v>803</v>
      </c>
    </row>
    <row r="421" spans="4:4">
      <c r="D421" s="268" t="s">
        <v>880</v>
      </c>
    </row>
    <row r="422" spans="4:4">
      <c r="D422" s="269" t="s">
        <v>802</v>
      </c>
    </row>
    <row r="423" spans="4:4">
      <c r="D423" s="269" t="s">
        <v>803</v>
      </c>
    </row>
    <row r="424" spans="4:4">
      <c r="D424" s="269" t="s">
        <v>819</v>
      </c>
    </row>
    <row r="425" spans="4:4">
      <c r="D425" s="270" t="s">
        <v>881</v>
      </c>
    </row>
    <row r="426" spans="4:4">
      <c r="D426" s="269" t="s">
        <v>802</v>
      </c>
    </row>
    <row r="427" spans="4:4">
      <c r="D427" s="269" t="s">
        <v>803</v>
      </c>
    </row>
    <row r="428" spans="4:4">
      <c r="D428" s="270" t="s">
        <v>882</v>
      </c>
    </row>
    <row r="429" spans="4:4">
      <c r="D429" s="269" t="s">
        <v>802</v>
      </c>
    </row>
    <row r="430" spans="4:4">
      <c r="D430" s="269" t="s">
        <v>803</v>
      </c>
    </row>
    <row r="431" spans="4:4">
      <c r="D431" s="270" t="s">
        <v>883</v>
      </c>
    </row>
    <row r="432" spans="4:4">
      <c r="D432" s="270" t="s">
        <v>884</v>
      </c>
    </row>
    <row r="433" spans="4:4">
      <c r="D433" s="269" t="s">
        <v>802</v>
      </c>
    </row>
    <row r="434" spans="4:4">
      <c r="D434" s="269" t="s">
        <v>803</v>
      </c>
    </row>
    <row r="435" spans="4:4">
      <c r="D435" s="268" t="s">
        <v>885</v>
      </c>
    </row>
    <row r="436" spans="4:4">
      <c r="D436" s="269" t="s">
        <v>802</v>
      </c>
    </row>
    <row r="437" spans="4:4">
      <c r="D437" s="269" t="s">
        <v>803</v>
      </c>
    </row>
    <row r="438" spans="4:4">
      <c r="D438" s="268" t="s">
        <v>886</v>
      </c>
    </row>
    <row r="439" spans="4:4">
      <c r="D439" s="269" t="s">
        <v>802</v>
      </c>
    </row>
    <row r="440" spans="4:4">
      <c r="D440" s="269" t="s">
        <v>803</v>
      </c>
    </row>
    <row r="441" spans="4:4">
      <c r="D441" s="268" t="s">
        <v>887</v>
      </c>
    </row>
    <row r="442" spans="4:4">
      <c r="D442" s="269" t="s">
        <v>802</v>
      </c>
    </row>
    <row r="443" spans="4:4">
      <c r="D443" s="269" t="s">
        <v>803</v>
      </c>
    </row>
    <row r="444" spans="4:4">
      <c r="D444" s="268" t="s">
        <v>888</v>
      </c>
    </row>
    <row r="445" spans="4:4">
      <c r="D445" s="269" t="s">
        <v>802</v>
      </c>
    </row>
    <row r="446" spans="4:4">
      <c r="D446" s="269" t="s">
        <v>803</v>
      </c>
    </row>
    <row r="447" spans="4:4">
      <c r="D447" s="268" t="s">
        <v>889</v>
      </c>
    </row>
    <row r="448" spans="4:4">
      <c r="D448" s="269" t="s">
        <v>802</v>
      </c>
    </row>
    <row r="449" spans="4:4">
      <c r="D449" s="269" t="s">
        <v>803</v>
      </c>
    </row>
    <row r="450" spans="4:4">
      <c r="D450" s="268" t="s">
        <v>890</v>
      </c>
    </row>
    <row r="451" spans="4:4">
      <c r="D451" s="269" t="s">
        <v>802</v>
      </c>
    </row>
    <row r="452" spans="4:4">
      <c r="D452" s="269" t="s">
        <v>803</v>
      </c>
    </row>
    <row r="453" spans="4:4">
      <c r="D453" s="269" t="s">
        <v>891</v>
      </c>
    </row>
    <row r="454" spans="4:4">
      <c r="D454" s="269" t="s">
        <v>802</v>
      </c>
    </row>
    <row r="455" spans="4:4">
      <c r="D455" s="269" t="s">
        <v>803</v>
      </c>
    </row>
    <row r="456" spans="4:4">
      <c r="D456" s="270" t="s">
        <v>892</v>
      </c>
    </row>
    <row r="457" spans="4:4">
      <c r="D457" s="269" t="s">
        <v>802</v>
      </c>
    </row>
    <row r="458" spans="4:4">
      <c r="D458" s="269" t="s">
        <v>803</v>
      </c>
    </row>
    <row r="459" spans="4:4">
      <c r="D459" s="269" t="s">
        <v>893</v>
      </c>
    </row>
    <row r="460" spans="4:4">
      <c r="D460" s="269" t="s">
        <v>802</v>
      </c>
    </row>
    <row r="461" spans="4:4">
      <c r="D461" s="269" t="s">
        <v>803</v>
      </c>
    </row>
    <row r="462" spans="4:4">
      <c r="D462" s="270" t="s">
        <v>894</v>
      </c>
    </row>
    <row r="463" spans="4:4">
      <c r="D463" s="268" t="s">
        <v>895</v>
      </c>
    </row>
    <row r="464" spans="4:4">
      <c r="D464" s="272"/>
    </row>
    <row r="465" spans="4:4">
      <c r="D465" t="s">
        <v>1040</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2" activePane="bottomRight" state="frozen"/>
      <selection pane="topRight" activeCell="C1" sqref="C1"/>
      <selection pane="bottomLeft" activeCell="A2" sqref="A2"/>
      <selection pane="bottomRight" activeCell="L2" sqref="L2"/>
    </sheetView>
  </sheetViews>
  <sheetFormatPr defaultColWidth="10.88671875" defaultRowHeight="14.4"/>
  <cols>
    <col min="1" max="1" width="8.109375" style="145" customWidth="1"/>
    <col min="2" max="2" width="36.77734375" style="582" bestFit="1" customWidth="1"/>
    <col min="3" max="3" width="12.21875" style="146" bestFit="1" customWidth="1"/>
    <col min="4" max="4" width="5.21875" style="146" bestFit="1" customWidth="1"/>
    <col min="5" max="5" width="7.77734375" style="146" customWidth="1"/>
    <col min="6" max="6" width="5.5546875" style="143" bestFit="1" customWidth="1"/>
    <col min="7" max="7" width="8.5546875" style="143" bestFit="1" customWidth="1"/>
    <col min="8" max="8" width="9.5546875" style="144" bestFit="1" customWidth="1"/>
    <col min="9" max="9" width="6.77734375" style="144" bestFit="1" customWidth="1"/>
    <col min="10" max="10" width="8.5546875" style="144" customWidth="1"/>
    <col min="11" max="13" width="15.77734375" style="144" customWidth="1"/>
    <col min="14" max="14" width="11.88671875" style="8" bestFit="1" customWidth="1"/>
    <col min="15" max="15" width="13.5546875" style="8" bestFit="1" customWidth="1"/>
    <col min="16" max="16" width="11" style="8" bestFit="1" customWidth="1"/>
    <col min="17" max="17" width="34.5546875" style="8" bestFit="1" customWidth="1"/>
    <col min="18" max="18" width="10.5546875" style="31" bestFit="1" customWidth="1"/>
    <col min="19" max="19" width="13.5546875" style="11" bestFit="1" customWidth="1"/>
    <col min="20" max="20" width="34.5546875" style="8" bestFit="1" customWidth="1"/>
    <col min="21" max="21" width="10.5546875" style="31" bestFit="1" customWidth="1"/>
    <col min="22" max="22" width="13.77734375" style="31" bestFit="1" customWidth="1"/>
    <col min="23" max="23" width="21.77734375" style="11" customWidth="1"/>
    <col min="24" max="16384" width="10.88671875" style="8"/>
  </cols>
  <sheetData>
    <row r="1" spans="1:47" ht="18">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799</v>
      </c>
      <c r="R1" s="266" t="s">
        <v>31</v>
      </c>
      <c r="S1" s="11" t="s">
        <v>32</v>
      </c>
      <c r="T1" s="140" t="s">
        <v>798</v>
      </c>
      <c r="U1" s="267" t="s">
        <v>72</v>
      </c>
      <c r="V1" s="31" t="s">
        <v>77</v>
      </c>
      <c r="W1" s="11" t="s">
        <v>242</v>
      </c>
      <c r="X1" s="24" t="s">
        <v>1692</v>
      </c>
      <c r="Y1" s="32"/>
      <c r="Z1" s="32"/>
      <c r="AA1" s="32"/>
      <c r="AB1" s="32"/>
    </row>
    <row r="2" spans="1:47">
      <c r="A2" s="139">
        <f>'Import Question'!$F$6</f>
        <v>51</v>
      </c>
      <c r="B2" s="568"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0.8</v>
      </c>
      <c r="N2" s="4">
        <f>'Import Question'!K$150</f>
        <v>0.9</v>
      </c>
      <c r="O2" s="4">
        <f>'Import Question'!J25</f>
        <v>1.2</v>
      </c>
      <c r="P2" s="4">
        <f>'Import Biologie'!H36</f>
        <v>1.3100000000000001E-2</v>
      </c>
      <c r="Q2" s="31">
        <f>($C2+($D2*($A2+5))+(($E2*(($A2+5)^2))))*$J2*$K2</f>
        <v>3.1473118881119186E-2</v>
      </c>
      <c r="R2" s="110">
        <f>IF(T2&lt;0,0.001,T2)</f>
        <v>2.1151720279720565E-2</v>
      </c>
      <c r="S2" s="110">
        <f>(MAX(P2,(IF(L2=0,1,0))))*J2*O2*N2</f>
        <v>1.4148000000000001E-2</v>
      </c>
      <c r="T2" s="31">
        <f t="shared" ref="T2:T7" si="0">($C2+($D2*$A2)+(($E2*($A2*$A2))))*$J2*$K2</f>
        <v>2.1151720279720565E-2</v>
      </c>
      <c r="U2" s="31">
        <f>MAX(IF(Q2&lt;0,0.001,Q2),R2)</f>
        <v>3.1473118881119186E-2</v>
      </c>
      <c r="V2" s="110">
        <f>MAX('Import Biologie'!J36,('Import Biologie'!J36*O2*N2),S2)*J2</f>
        <v>2.9070000000000002E-2</v>
      </c>
      <c r="W2" s="110">
        <f>IF(L2=0,1,($N2*$P2*1.5*Z$10))*J2</f>
        <v>1.4148000000000001E-2</v>
      </c>
      <c r="X2" s="146">
        <f>J2*K2*L2*M2*N2*O2</f>
        <v>0.8640000000000001</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 Question'!$F$6</f>
        <v>51</v>
      </c>
      <c r="B3" s="569" t="s">
        <v>906</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1.2</v>
      </c>
      <c r="P3" s="10">
        <f>IF('Import Question'!H125&gt;2,1.2,IF('Import Question'!H125&lt;1,0.8,1))</f>
        <v>1.2</v>
      </c>
      <c r="Q3" s="31">
        <f t="shared" ref="Q3:Q22" si="1">($C3+($D3*($A3+5))+(($E3*(($A3+5)^2))))*$J3*$K3</f>
        <v>9.3381818181815401E-2</v>
      </c>
      <c r="R3" s="110">
        <f t="shared" ref="R3:R22" si="2">IF(T3&lt;0,0.001,T3)</f>
        <v>6.9843356643353782E-2</v>
      </c>
      <c r="S3" s="110">
        <f>(MAX((N3*O3*P3*R3),(IF(L3=0,1,0))))*J3</f>
        <v>0.10057443356642944</v>
      </c>
      <c r="T3" s="31">
        <f t="shared" si="0"/>
        <v>6.9843356643353782E-2</v>
      </c>
      <c r="U3" s="31">
        <f t="shared" ref="U3:U22" si="3">MAX(IF(Q3&lt;0,0.001,Q3),R3)</f>
        <v>9.3381818181815401E-2</v>
      </c>
      <c r="V3" s="110">
        <f>MAX(($N3*$O3*$P3*$U3),S3)</f>
        <v>0.13446981818181417</v>
      </c>
      <c r="W3" s="31">
        <f>$N3*$P3*$U3*AA10</f>
        <v>8.9646545454542786E-2</v>
      </c>
      <c r="X3" s="146">
        <f t="shared" ref="X3:X22" si="4">J3*K3*L3*M3*N3*O3</f>
        <v>1.2</v>
      </c>
      <c r="Y3" s="16" t="str">
        <f>'Import Question'!I18</f>
        <v>IMC</v>
      </c>
      <c r="Z3" s="16">
        <f>IF(SIMULATEUR!$L$3="N",'Import Question'!J18,1)</f>
        <v>1</v>
      </c>
      <c r="AA3" s="16">
        <f>IF(SIMULATEUR!$L$3="N",'Import Question'!K18,1)</f>
        <v>1</v>
      </c>
      <c r="AB3" s="16">
        <f>IF(SIMULATEUR!$L$3="N",'Import Question'!L18,1)</f>
        <v>1</v>
      </c>
      <c r="AC3" s="16">
        <f>IF(SIMULATEUR!$L$3="N",'Import Question'!M18,0.8)</f>
        <v>0.8</v>
      </c>
      <c r="AD3" s="16">
        <f>IF(SIMULATEUR!$L$3="N",'Import Question'!N18,1)</f>
        <v>1</v>
      </c>
      <c r="AE3" s="16">
        <f>IF(SIMULATEUR!$L$3="N",'Import Question'!O18,0.9)</f>
        <v>0.9</v>
      </c>
      <c r="AF3" s="16">
        <f>IF(SIMULATEUR!$L$3="N",'Import Question'!P18,0.8)</f>
        <v>0.8</v>
      </c>
      <c r="AG3" s="16">
        <f>IF(SIMULATEUR!$L$3="N",'Import Question'!Q18,1)</f>
        <v>1</v>
      </c>
      <c r="AH3" s="16">
        <f>IF(SIMULATEUR!$L$3="N",'Import Question'!R18,0.8)</f>
        <v>0.8</v>
      </c>
      <c r="AI3" s="16">
        <f>IF(SIMULATEUR!$L$3="N",'Import Question'!S18,0.8)</f>
        <v>0.8</v>
      </c>
      <c r="AJ3" s="16">
        <f>IF(SIMULATEUR!$L$3="N",'Import Question'!T18,0.8)</f>
        <v>0.8</v>
      </c>
      <c r="AK3" s="16">
        <f>IF(SIMULATEUR!$L$3="N",'Import Question'!U18,1)</f>
        <v>1</v>
      </c>
      <c r="AL3" s="16">
        <f>IF(SIMULATEUR!$L$3="N",'Import Question'!V18,1)</f>
        <v>1</v>
      </c>
      <c r="AM3" s="16">
        <f>IF(SIMULATEUR!$L$3="N",'Import Question'!W18,0.8)</f>
        <v>0.8</v>
      </c>
      <c r="AN3" s="16">
        <f>IF(SIMULATEUR!$L$3="N",'Import Question'!X18,0.8)</f>
        <v>0.8</v>
      </c>
      <c r="AO3" s="16">
        <f>IF(SIMULATEUR!$L$3="N",'Import Question'!Y18,1)</f>
        <v>1</v>
      </c>
      <c r="AP3" s="16">
        <f>IF(SIMULATEUR!$L$3="N",'Import Question'!Z18,1)</f>
        <v>1</v>
      </c>
      <c r="AQ3" s="16">
        <f>IF(SIMULATEUR!$L$3="N",'Import Question'!AA18,1)</f>
        <v>1</v>
      </c>
      <c r="AR3" s="16">
        <f>IF(SIMULATEUR!$L$3="N",'Import Question'!AB18,1)</f>
        <v>1</v>
      </c>
      <c r="AS3" s="16">
        <f>IF(SIMULATEUR!$L$3="N",'Import Question'!AC18,1)</f>
        <v>1</v>
      </c>
      <c r="AT3" s="16">
        <f>IF(SIMULATEUR!$L$3="N",'Import Question'!AD18,1)</f>
        <v>1</v>
      </c>
      <c r="AU3" s="16">
        <f>IF(SIMULATEUR!$L$3="N",'Import Question'!AE18,1)</f>
        <v>1</v>
      </c>
    </row>
    <row r="4" spans="1:47">
      <c r="A4" s="139">
        <f>'Import Question'!$F$6</f>
        <v>51</v>
      </c>
      <c r="B4" s="570" t="s">
        <v>907</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1.2</v>
      </c>
      <c r="P4" s="4">
        <f>'Import Biologie'!F37</f>
        <v>1</v>
      </c>
      <c r="Q4" s="31">
        <f t="shared" si="1"/>
        <v>1.4801714285714251E-2</v>
      </c>
      <c r="R4" s="110">
        <f t="shared" si="2"/>
        <v>5.9709999999999763E-3</v>
      </c>
      <c r="S4" s="31">
        <f>(N4*O4*P4*R4)</f>
        <v>7.1651999999999714E-3</v>
      </c>
      <c r="T4" s="31">
        <f t="shared" si="0"/>
        <v>5.9709999999999763E-3</v>
      </c>
      <c r="U4" s="31">
        <f t="shared" si="3"/>
        <v>1.4801714285714251E-2</v>
      </c>
      <c r="V4" s="110">
        <f>MAX($N4*$O4*$U4*$L4,S4)</f>
        <v>1.7762057142857102E-2</v>
      </c>
      <c r="W4" s="31">
        <f>$N4*$U4*AB10</f>
        <v>1.4801714285714251E-2</v>
      </c>
      <c r="X4" s="146">
        <f t="shared" si="4"/>
        <v>1.2</v>
      </c>
      <c r="Y4" s="16" t="str">
        <f>'Import Question'!I19</f>
        <v>Fumeur</v>
      </c>
      <c r="Z4" s="16">
        <f>IF(SIMULATEUR!$L$4="N",'Import Question'!J19,1)</f>
        <v>1</v>
      </c>
      <c r="AA4" s="16">
        <f>IF(SIMULATEUR!$L$4="N",'Import Question'!K19,1)</f>
        <v>1</v>
      </c>
      <c r="AB4" s="16">
        <f>IF(SIMULATEUR!$L$4="N",'Import Question'!L19,1)</f>
        <v>1</v>
      </c>
      <c r="AC4" s="16">
        <f>IF(SIMULATEUR!$L$4="N",'Import Question'!M19,1)</f>
        <v>1</v>
      </c>
      <c r="AD4" s="16">
        <f>IF(SIMULATEUR!$L$4="N",'Import Question'!N19,1)</f>
        <v>1</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v>
      </c>
      <c r="AL4" s="16">
        <f>IF(SIMULATEUR!$L$4="N",'Import Question'!V19,1)</f>
        <v>1</v>
      </c>
      <c r="AM4" s="16">
        <f>IF(SIMULATEUR!$L$4="N",'Import Question'!W19,1)</f>
        <v>1</v>
      </c>
      <c r="AN4" s="16">
        <f>IF(SIMULATEUR!$L$4="N",'Import Question'!X19,1)</f>
        <v>1</v>
      </c>
      <c r="AO4" s="233">
        <f>IF(SIMULATEUR!$L$4="N",'Import Question'!Y19,10)</f>
        <v>0.1</v>
      </c>
      <c r="AP4" s="16">
        <f>IF(SIMULATEUR!$L$4="N",'Import Question'!Z19,1)</f>
        <v>0.1</v>
      </c>
      <c r="AQ4" s="16">
        <f>IF(SIMULATEUR!$L$4="N",'Import Question'!AA19,1)</f>
        <v>1</v>
      </c>
      <c r="AR4" s="16">
        <f>IF(SIMULATEUR!$L$4="N",'Import Question'!AB19,1)</f>
        <v>1</v>
      </c>
      <c r="AS4" s="16">
        <f>IF(SIMULATEUR!$L$4="N",'Import Question'!AC19,1)</f>
        <v>1</v>
      </c>
      <c r="AT4" s="16">
        <f>IF(SIMULATEUR!$L$4="N",'Import Question'!AD19,1)</f>
        <v>1</v>
      </c>
      <c r="AU4" s="233">
        <f>IF(SIMULATEUR!$L$4="N",'Import Question'!AE19,10)</f>
        <v>1</v>
      </c>
    </row>
    <row r="5" spans="1:47">
      <c r="A5" s="139">
        <f>'Import Question'!$F$6</f>
        <v>51</v>
      </c>
      <c r="B5" s="570"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09">
        <f>IF('Import Question'!H44="Y",2,1)</f>
        <v>1</v>
      </c>
      <c r="M5" s="7">
        <v>1</v>
      </c>
      <c r="N5" s="4">
        <f>'Import Question'!L$150</f>
        <v>0.9</v>
      </c>
      <c r="O5" s="4">
        <f>'Import Question'!M25</f>
        <v>1.2</v>
      </c>
      <c r="P5" s="4">
        <f>'Import Biologie'!H35</f>
        <v>1</v>
      </c>
      <c r="Q5" s="31">
        <f t="shared" si="1"/>
        <v>8.4000000000001629E-2</v>
      </c>
      <c r="R5" s="110">
        <f t="shared" si="2"/>
        <v>7.4500000000001565E-2</v>
      </c>
      <c r="S5" s="31">
        <f>IF((N5*O5*P5*R5*L5)&gt;1,1,(N5*O5*P5*R5*L5))</f>
        <v>8.0460000000001697E-2</v>
      </c>
      <c r="T5" s="31">
        <f t="shared" si="0"/>
        <v>7.4500000000001565E-2</v>
      </c>
      <c r="U5" s="31">
        <f t="shared" si="3"/>
        <v>8.4000000000001629E-2</v>
      </c>
      <c r="V5" s="110">
        <f>MAX($N5*$O5*$U5*$L5,S5)</f>
        <v>9.0720000000001771E-2</v>
      </c>
      <c r="W5" s="31">
        <f>$N5*$U5*$L5*AC10</f>
        <v>6.0480000000001179E-2</v>
      </c>
      <c r="X5" s="146">
        <f t="shared" si="4"/>
        <v>1.08</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v>
      </c>
      <c r="AF5" s="16">
        <f>IF(SIMULATEUR!$L$5="Y",1,'Import Question'!P20)</f>
        <v>1</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1</v>
      </c>
      <c r="AQ5" s="16">
        <f>IF(SIMULATEUR!$L$5="Y",1,'Import Question'!AA20)</f>
        <v>1</v>
      </c>
      <c r="AR5" s="16">
        <f>IF(SIMULATEUR!$L$5="Y",1,'Import Question'!AB20)</f>
        <v>1</v>
      </c>
      <c r="AS5" s="16">
        <f>IF(SIMULATEUR!$L$5="Y",1,'Import Question'!AC20)</f>
        <v>1</v>
      </c>
      <c r="AT5" s="16">
        <f>IF(SIMULATEUR!$L$5="Y",1,'Import Question'!AD20)</f>
        <v>1</v>
      </c>
      <c r="AU5" s="16">
        <f>IF(SIMULATEUR!$L$5="Y",1,'Import Question'!AE20)</f>
        <v>1</v>
      </c>
    </row>
    <row r="6" spans="1:47" ht="13.2" customHeight="1">
      <c r="A6" s="139">
        <f>'Import Question'!$F$6</f>
        <v>51</v>
      </c>
      <c r="B6" s="570"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0.8</v>
      </c>
      <c r="P6" s="4">
        <f>MIN(IF('Import Biologie'!H14&gt;30,1,1.2),IF('Import Biologie'!H14&lt;0.1,1,1.2))</f>
        <v>1</v>
      </c>
      <c r="Q6" s="31">
        <f t="shared" si="1"/>
        <v>1.0105714285714247E-2</v>
      </c>
      <c r="R6" s="110">
        <f t="shared" si="2"/>
        <v>6.2724999999999708E-3</v>
      </c>
      <c r="S6" s="31">
        <f>N6*O6*P6*R6*L6</f>
        <v>5.0179999999999773E-3</v>
      </c>
      <c r="T6" s="31">
        <f t="shared" si="0"/>
        <v>6.2724999999999708E-3</v>
      </c>
      <c r="U6" s="31">
        <f t="shared" si="3"/>
        <v>1.0105714285714247E-2</v>
      </c>
      <c r="V6" s="110">
        <f>MAX(($N6*$O6*$U6*$L6*P6),S6)</f>
        <v>8.0845714285713976E-3</v>
      </c>
      <c r="W6" s="31">
        <f>$N6*$U6*AD10</f>
        <v>8.0845714285713976E-3</v>
      </c>
      <c r="X6" s="146">
        <f t="shared" si="4"/>
        <v>0.8</v>
      </c>
      <c r="Y6" s="16" t="str">
        <f>'Import Question'!I21</f>
        <v>Activité</v>
      </c>
      <c r="Z6" s="16">
        <f>IF(SIMULATEUR!$L$6="Y",'Import Question'!J21,1.2)</f>
        <v>0.8</v>
      </c>
      <c r="AA6" s="16">
        <f>IF(SIMULATEUR!$L$6="Y",'Import Question'!K21,1.2)</f>
        <v>0.8</v>
      </c>
      <c r="AB6" s="16">
        <f>IF(SIMULATEUR!$L$6="Y",'Import Question'!L21,1.2)</f>
        <v>1</v>
      </c>
      <c r="AC6" s="16">
        <f>IF(SIMULATEUR!$L$6="Y",'Import Question'!M21,1.2)</f>
        <v>1</v>
      </c>
      <c r="AD6" s="16">
        <f>IF(SIMULATEUR!$L$6="Y",'Import Question'!N21,1.2)</f>
        <v>0.8</v>
      </c>
      <c r="AE6" s="16">
        <f>IF(SIMULATEUR!$L$6="Y",'Import Question'!O21,1.2)</f>
        <v>0.8</v>
      </c>
      <c r="AF6" s="16">
        <f>IF(SIMULATEUR!$L$6="Y",'Import Question'!P21,1.2)</f>
        <v>0.8</v>
      </c>
      <c r="AG6" s="16">
        <f>IF(SIMULATEUR!$L$6="Y",'Import Question'!Q21,1.2)</f>
        <v>1</v>
      </c>
      <c r="AH6" s="16">
        <f>IF(SIMULATEUR!$L$6="Y",'Import Question'!R21,1.2)</f>
        <v>1</v>
      </c>
      <c r="AI6" s="16">
        <f>IF(SIMULATEUR!$L$6="Y",'Import Question'!S21,1.2)</f>
        <v>0.8</v>
      </c>
      <c r="AJ6" s="16">
        <f>IF(SIMULATEUR!$L$6="Y",'Import Question'!T21,1.2)</f>
        <v>0.8</v>
      </c>
      <c r="AK6" s="16">
        <f>IF(SIMULATEUR!$L$6="Y",'Import Question'!U21,1.2)</f>
        <v>0.8</v>
      </c>
      <c r="AL6" s="16">
        <f>IF(SIMULATEUR!$L$6="Y",'Import Question'!V21,1.2)</f>
        <v>0.8</v>
      </c>
      <c r="AM6" s="16">
        <f>IF(SIMULATEUR!$L$6="Y",'Import Question'!W21,1.2)</f>
        <v>0.8</v>
      </c>
      <c r="AN6" s="16">
        <f>IF(SIMULATEUR!$L$6="Y",'Import Question'!X21,1.2)</f>
        <v>0.8</v>
      </c>
      <c r="AO6" s="16">
        <f>IF(SIMULATEUR!$L$6="Y",'Import Question'!Y21,1.2)</f>
        <v>1</v>
      </c>
      <c r="AP6" s="16">
        <f>IF(SIMULATEUR!$L$6="Y",'Import Question'!Z21,1.2)</f>
        <v>1</v>
      </c>
      <c r="AQ6" s="16">
        <f>IF(SIMULATEUR!$L$6="Y",'Import Question'!AA21,1.2)</f>
        <v>1</v>
      </c>
      <c r="AR6" s="16">
        <f>IF(SIMULATEUR!$L$6="Y",'Import Question'!AB21,1.2)</f>
        <v>1</v>
      </c>
      <c r="AS6" s="16">
        <f>IF(SIMULATEUR!$L$6="Y",'Import Question'!AC21,1.2)</f>
        <v>0.8</v>
      </c>
      <c r="AT6" s="16">
        <f>IF(SIMULATEUR!$L$6="Y",'Import Question'!AD21,1.2)</f>
        <v>1</v>
      </c>
      <c r="AU6" s="16">
        <f>IF(SIMULATEUR!$L$6="Y",'Import Question'!AE21,1.2)</f>
        <v>1</v>
      </c>
    </row>
    <row r="7" spans="1:47">
      <c r="A7" s="139">
        <f>'Import Question'!$F$6</f>
        <v>51</v>
      </c>
      <c r="B7" s="571" t="s">
        <v>248</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09">
        <f>IF('Import Question'!H17="Y",0,1)</f>
        <v>1</v>
      </c>
      <c r="M7" s="7">
        <f>IF('Import Question'!H74="Y",0.8,1)</f>
        <v>1</v>
      </c>
      <c r="N7" s="4">
        <f>'Import Question'!M$150</f>
        <v>0.9</v>
      </c>
      <c r="O7" s="4">
        <f>'Import Question'!O25</f>
        <v>1.2</v>
      </c>
      <c r="P7" s="4">
        <v>1</v>
      </c>
      <c r="Q7" s="31">
        <f t="shared" si="1"/>
        <v>3.7557049869292453E-3</v>
      </c>
      <c r="R7" s="110">
        <f t="shared" si="2"/>
        <v>1.5885877470923487E-3</v>
      </c>
      <c r="S7" s="110">
        <f>MAX((N7*O7*P7*R7),(IF(L7=0,1,0)))</f>
        <v>1.7156747668597367E-3</v>
      </c>
      <c r="T7" s="31">
        <f t="shared" si="0"/>
        <v>1.5885877470923487E-3</v>
      </c>
      <c r="U7" s="31">
        <f t="shared" si="3"/>
        <v>3.7557049869292453E-3</v>
      </c>
      <c r="V7" s="110">
        <f>MAX(($N7*$O7*$U7*$L7),S7)</f>
        <v>4.0561613858835855E-3</v>
      </c>
      <c r="W7" s="110">
        <f>IF(L7=0,1,($N7*$U7*AE10))</f>
        <v>2.4336968315301511E-3</v>
      </c>
      <c r="X7" s="146">
        <f t="shared" si="4"/>
        <v>1.08</v>
      </c>
      <c r="Y7" s="16" t="str">
        <f>'Import Question'!I22</f>
        <v>Alimentation</v>
      </c>
      <c r="Z7" s="16">
        <f>IF(SIMULATEUR!$L$7="Y",'Import Question'!J22,1.2)</f>
        <v>1</v>
      </c>
      <c r="AA7" s="16">
        <f>IF(SIMULATEUR!$L$7="Y",'Import Question'!K22,1.2)</f>
        <v>1</v>
      </c>
      <c r="AB7" s="16">
        <f>IF(SIMULATEUR!$L$7="Y",'Import Question'!L22,1.2)</f>
        <v>1</v>
      </c>
      <c r="AC7" s="16">
        <f>IF(SIMULATEUR!$L$7="Y",'Import Question'!M22,1.2)</f>
        <v>1</v>
      </c>
      <c r="AD7" s="16">
        <f>IF(SIMULATEUR!$L$7="Y",'Import Question'!N22,1.2)</f>
        <v>1</v>
      </c>
      <c r="AE7" s="16">
        <f>IF(SIMULATEUR!$L$7="Y",'Import Question'!O22,1.2)</f>
        <v>1</v>
      </c>
      <c r="AF7" s="16">
        <f>IF(SIMULATEUR!$L$7="Y",'Import Question'!P22,1.2)</f>
        <v>1</v>
      </c>
      <c r="AG7" s="16">
        <f>IF(SIMULATEUR!$L$7="Y",'Import Question'!Q22,1.2)</f>
        <v>1</v>
      </c>
      <c r="AH7" s="16">
        <f>IF(SIMULATEUR!$L$7="Y",'Import Question'!R22,1.2)</f>
        <v>1</v>
      </c>
      <c r="AI7" s="16">
        <f>IF(SIMULATEUR!$L$7="Y",'Import Question'!S22,1.2)</f>
        <v>1</v>
      </c>
      <c r="AJ7" s="16">
        <f>IF(SIMULATEUR!$L$7="Y",'Import Question'!T22,1.2)</f>
        <v>1</v>
      </c>
      <c r="AK7" s="16">
        <f>IF(SIMULATEUR!$L$7="Y",'Import Question'!U22,1.2)</f>
        <v>1</v>
      </c>
      <c r="AL7" s="16">
        <f>IF(SIMULATEUR!$L$7="Y",'Import Question'!V22,1.2)</f>
        <v>1</v>
      </c>
      <c r="AM7" s="16">
        <f>IF(SIMULATEUR!$L$7="Y",'Import Question'!W22,1.2)</f>
        <v>1</v>
      </c>
      <c r="AN7" s="16">
        <f>IF(SIMULATEUR!$L$7="Y",'Import Question'!X22,1.2)</f>
        <v>1</v>
      </c>
      <c r="AO7" s="16">
        <f>IF(SIMULATEUR!$L$7="Y",'Import Question'!Y22,1.2)</f>
        <v>1</v>
      </c>
      <c r="AP7" s="16">
        <f>IF(SIMULATEUR!$L$7="Y",'Import Question'!Z22,1.2)</f>
        <v>1</v>
      </c>
      <c r="AQ7" s="16">
        <f>IF(SIMULATEUR!$L$7="Y",'Import Question'!AA22,1.2)</f>
        <v>1</v>
      </c>
      <c r="AR7" s="16">
        <f>IF(SIMULATEUR!$L$7="Y",'Import Question'!AB22,1.2)</f>
        <v>1</v>
      </c>
      <c r="AS7" s="16">
        <f>IF(SIMULATEUR!$L$7="Y",'Import Question'!AC22,1.2)</f>
        <v>1</v>
      </c>
      <c r="AT7" s="16">
        <f>IF(SIMULATEUR!$L$7="Y",'Import Question'!AD22,1.2)</f>
        <v>1</v>
      </c>
      <c r="AU7" s="16">
        <f>IF(SIMULATEUR!$L$7="Y",'Import Question'!AE22,1.2)</f>
        <v>1</v>
      </c>
    </row>
    <row r="8" spans="1:47">
      <c r="A8" s="139">
        <f>'Import Question'!$F$6</f>
        <v>51</v>
      </c>
      <c r="B8" s="572" t="s">
        <v>909</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1.2</v>
      </c>
      <c r="P8" s="28" t="e">
        <f xml:space="preserve"> 1+(2.73877-0.7)/(1+10^(3.76923-'Import Biologie'!H30))</f>
        <v>#DIV/0!</v>
      </c>
      <c r="Q8" s="31">
        <f t="shared" si="1"/>
        <v>0.16325714285714288</v>
      </c>
      <c r="R8" s="110">
        <f t="shared" si="2"/>
        <v>0.17640000000000003</v>
      </c>
      <c r="S8" s="31" t="e">
        <f>N8*O8*P8*R8*L8</f>
        <v>#DIV/0!</v>
      </c>
      <c r="T8" s="31">
        <f t="shared" ref="T8:T22" si="5">($C8+($D8*$A8)+(($E8*($A8*$A8))))*$J8*$K8</f>
        <v>0.17640000000000003</v>
      </c>
      <c r="U8" s="31">
        <f t="shared" si="3"/>
        <v>0.17640000000000003</v>
      </c>
      <c r="V8" s="110" t="e">
        <f>MAX(($N8*$O8*$U8*$L8*P8),S8)</f>
        <v>#DIV/0!</v>
      </c>
      <c r="W8" s="31">
        <f>$N8*$U8*AF10</f>
        <v>0.11289600000000004</v>
      </c>
      <c r="X8" s="146">
        <f t="shared" si="4"/>
        <v>1.2</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5">
        <f>'Import Question'!AA23</f>
        <v>1</v>
      </c>
      <c r="AR8" s="25">
        <f>'Import Question'!AB23</f>
        <v>1</v>
      </c>
      <c r="AS8" s="25">
        <f>'Import Question'!AC23</f>
        <v>1</v>
      </c>
      <c r="AT8" s="25">
        <f>'Import Question'!AD23</f>
        <v>1</v>
      </c>
      <c r="AU8" s="25">
        <f>'Import Question'!AE23</f>
        <v>1</v>
      </c>
    </row>
    <row r="9" spans="1:47">
      <c r="A9" s="139">
        <f>'Import Question'!$F$6</f>
        <v>51</v>
      </c>
      <c r="B9" s="570"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09">
        <f>IF('Import Biologie'!H28&gt;10,2,(IF('Import Biologie'!H28=0,1,0)))</f>
        <v>1</v>
      </c>
      <c r="Q9" s="31">
        <f t="shared" si="1"/>
        <v>5.2000000000000005E-2</v>
      </c>
      <c r="R9" s="110">
        <f t="shared" si="2"/>
        <v>4.200000000000001E-2</v>
      </c>
      <c r="S9" s="31">
        <f>N9*O9*P9*R9*L9</f>
        <v>4.200000000000001E-2</v>
      </c>
      <c r="T9" s="31">
        <f t="shared" si="5"/>
        <v>4.200000000000001E-2</v>
      </c>
      <c r="U9" s="31">
        <f t="shared" si="3"/>
        <v>5.2000000000000005E-2</v>
      </c>
      <c r="V9" s="110">
        <f>(MAX(($N9*$O9*$U9*$L9),S9))</f>
        <v>5.2000000000000005E-2</v>
      </c>
      <c r="W9" s="31">
        <f>$N9*$U9*AG10</f>
        <v>5.2000000000000005E-2</v>
      </c>
      <c r="X9" s="146">
        <f t="shared" si="4"/>
        <v>1</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v>
      </c>
      <c r="AN9" s="16">
        <f>'Import Question'!X24</f>
        <v>1</v>
      </c>
      <c r="AO9" s="16">
        <f>'Import Question'!Y24</f>
        <v>1</v>
      </c>
      <c r="AP9" s="16">
        <f>'Import Question'!Z24</f>
        <v>1</v>
      </c>
      <c r="AQ9" s="25">
        <f>'Import Question'!AA24</f>
        <v>1</v>
      </c>
      <c r="AR9" s="25">
        <f>'Import Question'!AB24</f>
        <v>1</v>
      </c>
      <c r="AS9" s="25">
        <f>'Import Question'!AC24</f>
        <v>1</v>
      </c>
      <c r="AT9" s="25">
        <f>'Import Question'!AD24</f>
        <v>1</v>
      </c>
      <c r="AU9" s="25">
        <f>'Import Question'!AE24</f>
        <v>1</v>
      </c>
    </row>
    <row r="10" spans="1:47">
      <c r="A10" s="139">
        <f>'Import Question'!$F$6</f>
        <v>51</v>
      </c>
      <c r="B10" s="573" t="s">
        <v>42</v>
      </c>
      <c r="C10" s="6">
        <v>-0.4</v>
      </c>
      <c r="D10" s="6">
        <v>0.01</v>
      </c>
      <c r="E10" s="6"/>
      <c r="F10" s="7">
        <v>1</v>
      </c>
      <c r="G10" s="7">
        <v>0.8</v>
      </c>
      <c r="H10" s="7">
        <v>1</v>
      </c>
      <c r="I10" s="7">
        <v>1</v>
      </c>
      <c r="J10" s="7">
        <v>1</v>
      </c>
      <c r="K10" s="7">
        <f>IF('Import Question'!$F$7="AF",H10,IF('Import Question'!$F$7="AS",calculRISKS!I10,1))</f>
        <v>1</v>
      </c>
      <c r="L10" s="109">
        <f>IF('Import Question'!F98="Y",0,1)</f>
        <v>0</v>
      </c>
      <c r="M10" s="7">
        <v>1</v>
      </c>
      <c r="N10" s="4">
        <f>'Import Question'!N$150</f>
        <v>0.9</v>
      </c>
      <c r="O10" s="12">
        <f>'Import Question'!R25</f>
        <v>1.2</v>
      </c>
      <c r="P10" s="12">
        <f>'Import Biologie'!H33</f>
        <v>1</v>
      </c>
      <c r="Q10" s="31">
        <f t="shared" si="1"/>
        <v>0.16000000000000003</v>
      </c>
      <c r="R10" s="110">
        <f t="shared" si="2"/>
        <v>0.10999999999999999</v>
      </c>
      <c r="S10" s="110">
        <f>MAX((N10*O10*P10*R10),IF(L10=0,1,0))</f>
        <v>1</v>
      </c>
      <c r="T10" s="31">
        <f t="shared" si="5"/>
        <v>0.10999999999999999</v>
      </c>
      <c r="U10" s="31">
        <f t="shared" si="3"/>
        <v>0.16000000000000003</v>
      </c>
      <c r="V10" s="110">
        <f>MAX(($N10*$O10*$U10*$L10),S10)</f>
        <v>1</v>
      </c>
      <c r="W10" s="110">
        <f>IF(L10=0,1,($N10*$U10*AH10))</f>
        <v>1</v>
      </c>
      <c r="X10" s="146">
        <f t="shared" si="4"/>
        <v>0</v>
      </c>
      <c r="Y10" s="36" t="str">
        <f>'Import Question'!I25</f>
        <v>MAX</v>
      </c>
      <c r="Z10" s="36">
        <f>Z3*Z4*Z5*Z6*Z7*Z8*Z9</f>
        <v>0.8</v>
      </c>
      <c r="AA10" s="36">
        <f t="shared" ref="AA10:AT10" si="6">AA3*AA4*AA5*AA6*AA7*AA8*AA9</f>
        <v>0.8</v>
      </c>
      <c r="AB10" s="36">
        <f t="shared" si="6"/>
        <v>1</v>
      </c>
      <c r="AC10" s="36">
        <f t="shared" si="6"/>
        <v>0.8</v>
      </c>
      <c r="AD10" s="36">
        <f t="shared" si="6"/>
        <v>0.8</v>
      </c>
      <c r="AE10" s="36">
        <f t="shared" si="6"/>
        <v>0.72000000000000008</v>
      </c>
      <c r="AF10" s="36">
        <f t="shared" si="6"/>
        <v>0.64000000000000012</v>
      </c>
      <c r="AG10" s="36">
        <f t="shared" si="6"/>
        <v>1</v>
      </c>
      <c r="AH10" s="36">
        <f t="shared" si="6"/>
        <v>0.8</v>
      </c>
      <c r="AI10" s="36">
        <f t="shared" si="6"/>
        <v>0.64000000000000012</v>
      </c>
      <c r="AJ10" s="36">
        <f t="shared" si="6"/>
        <v>0.64000000000000012</v>
      </c>
      <c r="AK10" s="36">
        <f t="shared" si="6"/>
        <v>0.8</v>
      </c>
      <c r="AL10" s="36">
        <f t="shared" si="6"/>
        <v>0.8</v>
      </c>
      <c r="AM10" s="36">
        <f t="shared" si="6"/>
        <v>0.64000000000000012</v>
      </c>
      <c r="AN10" s="36">
        <f t="shared" si="6"/>
        <v>0.64000000000000012</v>
      </c>
      <c r="AO10" s="36">
        <f t="shared" si="6"/>
        <v>0.1</v>
      </c>
      <c r="AP10" s="36">
        <f t="shared" si="6"/>
        <v>0.1</v>
      </c>
      <c r="AQ10" s="36">
        <f t="shared" si="6"/>
        <v>1</v>
      </c>
      <c r="AR10" s="36">
        <f t="shared" si="6"/>
        <v>1</v>
      </c>
      <c r="AS10" s="36">
        <f t="shared" si="6"/>
        <v>0.8</v>
      </c>
      <c r="AT10" s="36">
        <f t="shared" si="6"/>
        <v>1</v>
      </c>
      <c r="AU10" s="36">
        <f t="shared" ref="AU10" si="7">AU3*AU4*AU5*AU6*AU7*AU8*AU9</f>
        <v>1</v>
      </c>
    </row>
    <row r="11" spans="1:47">
      <c r="A11" s="139">
        <f>'Import Question'!$F$6</f>
        <v>51</v>
      </c>
      <c r="B11" s="570"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09">
        <f>IF('Import Question'!F95="Y",0,1)</f>
        <v>1</v>
      </c>
      <c r="M11" s="7">
        <v>1</v>
      </c>
      <c r="N11" s="4">
        <f>'Import Question'!O$150</f>
        <v>0.9</v>
      </c>
      <c r="O11" s="4">
        <f>'Import Question'!S25</f>
        <v>1.2</v>
      </c>
      <c r="P11" s="12">
        <f>'Import Biologie'!H34</f>
        <v>1</v>
      </c>
      <c r="Q11" s="31">
        <f t="shared" si="1"/>
        <v>1.8657142857142851E-2</v>
      </c>
      <c r="R11" s="110">
        <f t="shared" si="2"/>
        <v>1.4675000000000013E-2</v>
      </c>
      <c r="S11" s="110">
        <f>MAX((N11*O11*P11*R11),(IF(L11=0,1,0)))</f>
        <v>1.5849000000000016E-2</v>
      </c>
      <c r="T11" s="31">
        <f t="shared" si="5"/>
        <v>1.4675000000000013E-2</v>
      </c>
      <c r="U11" s="31">
        <f t="shared" si="3"/>
        <v>1.8657142857142851E-2</v>
      </c>
      <c r="V11" s="110">
        <f>MAX(($N11*$O11*$U11*$L11),S11)</f>
        <v>2.0149714285714281E-2</v>
      </c>
      <c r="W11" s="110">
        <f>IF($L11=0,1,($N11*$U11*AI10))</f>
        <v>1.0746514285714286E-2</v>
      </c>
      <c r="X11" s="146">
        <f t="shared" si="4"/>
        <v>1.08</v>
      </c>
    </row>
    <row r="12" spans="1:47">
      <c r="A12" s="139">
        <f>'Import Question'!$F$6</f>
        <v>51</v>
      </c>
      <c r="B12" s="570"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0.5</v>
      </c>
      <c r="Q12" s="31">
        <f t="shared" si="1"/>
        <v>0.1472857142857143</v>
      </c>
      <c r="R12" s="110">
        <f t="shared" si="2"/>
        <v>0.13237500000000005</v>
      </c>
      <c r="S12" s="31">
        <f t="shared" ref="S12" si="8">N12*O12*P12*R12*L12</f>
        <v>6.6187500000000024E-2</v>
      </c>
      <c r="T12" s="31">
        <f t="shared" si="5"/>
        <v>0.13237500000000005</v>
      </c>
      <c r="U12" s="31">
        <f t="shared" si="3"/>
        <v>0.1472857142857143</v>
      </c>
      <c r="V12" s="110">
        <f>MAX(($N12*$O12*$U12*$L12*P12),S12)</f>
        <v>7.3642857142857149E-2</v>
      </c>
      <c r="W12" s="31">
        <f>MIN($N12*$U12*P12*AJ10,V12)</f>
        <v>4.7131428571428581E-2</v>
      </c>
      <c r="X12" s="146">
        <f t="shared" si="4"/>
        <v>1</v>
      </c>
    </row>
    <row r="13" spans="1:47">
      <c r="A13" s="139">
        <f>'Import Question'!$F$6</f>
        <v>51</v>
      </c>
      <c r="B13" s="570" t="s">
        <v>45</v>
      </c>
      <c r="C13" s="5">
        <v>0.02</v>
      </c>
      <c r="D13" s="5"/>
      <c r="E13" s="5"/>
      <c r="F13" s="7">
        <v>1</v>
      </c>
      <c r="G13" s="7">
        <v>1.2</v>
      </c>
      <c r="H13" s="7">
        <v>1</v>
      </c>
      <c r="I13" s="7">
        <v>1</v>
      </c>
      <c r="J13" s="7">
        <v>1</v>
      </c>
      <c r="K13" s="7">
        <f>IF('Import Question'!$F$7="AF",H13,IF('Import Question'!$F$7="AS",calculRISKS!I13,1))</f>
        <v>1</v>
      </c>
      <c r="L13" s="109">
        <f>IF('Import Question'!H47="Y",0,1)</f>
        <v>1</v>
      </c>
      <c r="M13" s="7">
        <v>1</v>
      </c>
      <c r="N13" s="4">
        <f>'Import Question'!P$150</f>
        <v>0.9</v>
      </c>
      <c r="O13" s="4">
        <f>'Import Question'!U25</f>
        <v>1</v>
      </c>
      <c r="P13" s="4">
        <f>IF('Import Question'!H53="N",1,1.2)</f>
        <v>1</v>
      </c>
      <c r="Q13" s="31">
        <f t="shared" si="1"/>
        <v>0.02</v>
      </c>
      <c r="R13" s="110">
        <f t="shared" si="2"/>
        <v>0.02</v>
      </c>
      <c r="S13" s="110">
        <f>MAX((N13*O13*P13*R13),(IF(L13=0,1,0)))</f>
        <v>1.8000000000000002E-2</v>
      </c>
      <c r="T13" s="31">
        <f t="shared" si="5"/>
        <v>0.02</v>
      </c>
      <c r="U13" s="31">
        <f t="shared" si="3"/>
        <v>0.02</v>
      </c>
      <c r="V13" s="110">
        <f>MAX(($N13*$O13*$U13*$L13),S13)</f>
        <v>1.8000000000000002E-2</v>
      </c>
      <c r="W13" s="110">
        <f>IF(L13=0,1,($N13*$U13*AK10))</f>
        <v>1.4400000000000003E-2</v>
      </c>
      <c r="X13" s="146">
        <f t="shared" si="4"/>
        <v>0.9</v>
      </c>
    </row>
    <row r="14" spans="1:47">
      <c r="A14" s="139">
        <f>'Import Question'!$F$6</f>
        <v>51</v>
      </c>
      <c r="B14" s="570" t="s">
        <v>46</v>
      </c>
      <c r="C14" s="5">
        <v>0.04</v>
      </c>
      <c r="D14" s="5"/>
      <c r="E14" s="5"/>
      <c r="F14" s="7">
        <v>1</v>
      </c>
      <c r="G14" s="7">
        <v>0.4</v>
      </c>
      <c r="H14" s="7">
        <v>0.3</v>
      </c>
      <c r="I14" s="7">
        <v>0.3</v>
      </c>
      <c r="J14" s="7">
        <v>1</v>
      </c>
      <c r="K14" s="7">
        <f>IF('Import Question'!$F$7="AF",H14,IF('Import Question'!$F$7="AS",calculRISKS!I14,1))</f>
        <v>1</v>
      </c>
      <c r="L14" s="109">
        <f>IF('Import Question'!H35="Y",0,1)</f>
        <v>1</v>
      </c>
      <c r="M14" s="7">
        <v>1</v>
      </c>
      <c r="N14" s="4">
        <f>'Import Question'!Q$150</f>
        <v>0.9</v>
      </c>
      <c r="O14" s="4">
        <f>'Import 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2.8800000000000006E-2</v>
      </c>
      <c r="X14" s="146">
        <f t="shared" si="4"/>
        <v>1.08</v>
      </c>
    </row>
    <row r="15" spans="1:47">
      <c r="A15" s="139">
        <f>'Import Question'!$F$6</f>
        <v>51</v>
      </c>
      <c r="B15" s="570"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09">
        <f>IF('Import Question'!H41="Y",0,1)</f>
        <v>1</v>
      </c>
      <c r="M15" s="7">
        <v>1</v>
      </c>
      <c r="N15" s="4">
        <f>'Import Question'!R$150</f>
        <v>0.9</v>
      </c>
      <c r="O15" s="4">
        <f>'Import Question'!W25</f>
        <v>1.2</v>
      </c>
      <c r="P15" s="4">
        <f>P16/3</f>
        <v>3.3333333333333335E-3</v>
      </c>
      <c r="Q15" s="31">
        <f t="shared" si="1"/>
        <v>3.6097825167146297E-2</v>
      </c>
      <c r="R15" s="110">
        <f t="shared" si="2"/>
        <v>2.4855386633241799E-2</v>
      </c>
      <c r="S15" s="110">
        <f>MAX((S16/3),(IF(L15=0,1,0)))</f>
        <v>3.3333333333333335E-3</v>
      </c>
      <c r="T15" s="31">
        <f t="shared" si="5"/>
        <v>2.4855386633241799E-2</v>
      </c>
      <c r="U15" s="31">
        <f t="shared" si="3"/>
        <v>3.6097825167146297E-2</v>
      </c>
      <c r="V15" s="110">
        <f>MAX(($V16/3),S15)</f>
        <v>7.3186666666666721E-3</v>
      </c>
      <c r="W15" s="110">
        <f>IF(L15=0,1,($V16/3))</f>
        <v>7.3186666666666721E-3</v>
      </c>
      <c r="X15" s="146">
        <f t="shared" si="4"/>
        <v>1.08</v>
      </c>
    </row>
    <row r="16" spans="1:47">
      <c r="A16" s="139">
        <f>'Import Question'!$F$6</f>
        <v>51</v>
      </c>
      <c r="B16" s="570" t="s">
        <v>48</v>
      </c>
      <c r="C16" s="5"/>
      <c r="D16" s="5"/>
      <c r="E16" s="5"/>
      <c r="F16" s="7">
        <v>1</v>
      </c>
      <c r="G16" s="7">
        <v>0.5</v>
      </c>
      <c r="H16" s="7">
        <v>1</v>
      </c>
      <c r="I16" s="7">
        <v>1</v>
      </c>
      <c r="J16" s="7">
        <v>1</v>
      </c>
      <c r="K16" s="7">
        <f>IF('Import Question'!$F$7="AF",H16,IF('Import Question'!$F$7="AS",calculRISKS!I16,1))</f>
        <v>1</v>
      </c>
      <c r="L16" s="109">
        <f>IF('Import Question'!H41="Y",0,1)</f>
        <v>1</v>
      </c>
      <c r="M16" s="7">
        <f>IF('Import Question'!H71="Y",0.8,1)</f>
        <v>1</v>
      </c>
      <c r="N16" s="4">
        <f>MAX('Import Question'!S$150,IF('Import Biologie'!H10&gt;0.3,1.2,1))</f>
        <v>1</v>
      </c>
      <c r="O16" s="4">
        <f>'Import Question'!X25</f>
        <v>1.2</v>
      </c>
      <c r="P16" s="4">
        <f>'Import Biologie'!H31</f>
        <v>0.01</v>
      </c>
      <c r="Q16" s="31">
        <f>(($C16+($D16*($A16+5))+(($E16*(($A16+5)^2))))*$J16*$K16)+$R16</f>
        <v>6.5412121212121116E-2</v>
      </c>
      <c r="R16" s="110">
        <f t="shared" si="2"/>
        <v>6.5412121212121116E-2</v>
      </c>
      <c r="S16" s="110">
        <f>MAX((P16*N16),(IF(L16=0,1,0)))</f>
        <v>0.01</v>
      </c>
      <c r="T16" s="31">
        <f xml:space="preserve"> (-0.154969696969697+0.00432121212121212*$A16)*$J16*$K16</f>
        <v>6.5412121212121116E-2</v>
      </c>
      <c r="U16" s="31">
        <f t="shared" si="3"/>
        <v>6.5412121212121116E-2</v>
      </c>
      <c r="V16" s="110">
        <f>MAX(('Import Biologie'!J31*N16),S16)</f>
        <v>2.1956000000000017E-2</v>
      </c>
      <c r="W16" s="110">
        <f>IF(L16=0,1,(V16*AN10))</f>
        <v>1.4051840000000013E-2</v>
      </c>
      <c r="X16" s="146">
        <f t="shared" si="4"/>
        <v>1.2</v>
      </c>
    </row>
    <row r="17" spans="1:24">
      <c r="A17" s="139">
        <f>'Import Question'!$F$6</f>
        <v>51</v>
      </c>
      <c r="B17" s="571" t="s">
        <v>897</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09">
        <f>IF('Import Question'!H23="Y",0,1)</f>
        <v>1</v>
      </c>
      <c r="M17" s="7">
        <f>IF('Import Question'!H59="Y",0.8,1)</f>
        <v>0.8</v>
      </c>
      <c r="N17" s="4">
        <v>1</v>
      </c>
      <c r="O17" s="4">
        <f>'Import Question'!Y25</f>
        <v>0.1</v>
      </c>
      <c r="P17" s="4">
        <v>1</v>
      </c>
      <c r="Q17" s="31">
        <f t="shared" si="1"/>
        <v>6.4441772747433901E-5</v>
      </c>
      <c r="R17" s="110">
        <f t="shared" si="2"/>
        <v>1E-3</v>
      </c>
      <c r="S17" s="110">
        <f>(MAX((N17*O17*P17*R17),(IF(L17=0,1,0))))/10</f>
        <v>1.0000000000000001E-5</v>
      </c>
      <c r="T17" s="31">
        <f t="shared" si="5"/>
        <v>-1.1454503601215776E-3</v>
      </c>
      <c r="U17" s="31">
        <f t="shared" si="3"/>
        <v>1E-3</v>
      </c>
      <c r="V17" s="110">
        <f>(MAX(($N17*$O17*$U17*$L17),S17))/10</f>
        <v>1.0000000000000001E-5</v>
      </c>
      <c r="W17" s="110">
        <f>(IF(L17=0,1,($N17*$U17*AO10)))/10</f>
        <v>1.0000000000000001E-5</v>
      </c>
      <c r="X17" s="146">
        <f t="shared" si="4"/>
        <v>8.0000000000000016E-2</v>
      </c>
    </row>
    <row r="18" spans="1:24">
      <c r="A18" s="139">
        <f>'Import Question'!$F$6</f>
        <v>51</v>
      </c>
      <c r="B18" s="571" t="s">
        <v>898</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09">
        <f>IF('Import Question'!H29="Y",0,1)</f>
        <v>1</v>
      </c>
      <c r="M18" s="7">
        <v>1</v>
      </c>
      <c r="N18" s="4">
        <v>1</v>
      </c>
      <c r="O18" s="4">
        <f>'Import Question'!Z25</f>
        <v>0.1</v>
      </c>
      <c r="P18" s="4">
        <v>1</v>
      </c>
      <c r="Q18" s="31">
        <f t="shared" si="1"/>
        <v>1.0276969368271925E-2</v>
      </c>
      <c r="R18" s="110">
        <f t="shared" si="2"/>
        <v>7.1434452797106782E-3</v>
      </c>
      <c r="S18" s="110">
        <f>(MAX((N18*O18*P18*R18),(IF(L18=0,1,0))))/10</f>
        <v>7.1434452797106796E-5</v>
      </c>
      <c r="T18" s="31">
        <f t="shared" si="5"/>
        <v>7.1434452797106782E-3</v>
      </c>
      <c r="U18" s="31">
        <f t="shared" si="3"/>
        <v>1.0276969368271925E-2</v>
      </c>
      <c r="V18" s="110">
        <f>(MAX(($N18*$O18*$P18*$U18*$L18),S18))/10</f>
        <v>1.0276969368271926E-4</v>
      </c>
      <c r="W18" s="110">
        <f>IF(L18=0,1,($N18*$P18*$U18*AP10))</f>
        <v>1.0276969368271927E-3</v>
      </c>
      <c r="X18" s="146">
        <f t="shared" si="4"/>
        <v>0.1</v>
      </c>
    </row>
    <row r="19" spans="1:24">
      <c r="A19" s="139">
        <f>'Import Question'!$F$6</f>
        <v>51</v>
      </c>
      <c r="B19" s="570"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v>
      </c>
      <c r="P19" s="4">
        <v>1</v>
      </c>
      <c r="Q19" s="31">
        <f t="shared" si="1"/>
        <v>0.06</v>
      </c>
      <c r="R19" s="110">
        <f t="shared" si="2"/>
        <v>0.06</v>
      </c>
      <c r="S19" s="31">
        <f t="shared" ref="S19:S21" si="9">MAX((N19*O19*P19*R19),(IF(L19=0,1,0)))</f>
        <v>5.3999999999999999E-2</v>
      </c>
      <c r="T19" s="31">
        <f t="shared" si="5"/>
        <v>0.06</v>
      </c>
      <c r="U19" s="31">
        <f t="shared" si="3"/>
        <v>0.06</v>
      </c>
      <c r="V19" s="110">
        <f>MAX(($N19*$O19*$U19*$L19),S19)</f>
        <v>5.3999999999999999E-2</v>
      </c>
      <c r="W19" s="110">
        <f>IF(L19=0,1,($N19*$U19*AQ10))</f>
        <v>5.3999999999999999E-2</v>
      </c>
      <c r="X19" s="146">
        <f t="shared" si="4"/>
        <v>0.9</v>
      </c>
    </row>
    <row r="20" spans="1:24">
      <c r="A20" s="139">
        <f>'Import Question'!$F$6</f>
        <v>51</v>
      </c>
      <c r="B20" s="571" t="s">
        <v>903</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09">
        <f>IF('Import Question'!H20="Y",0,1)</f>
        <v>1</v>
      </c>
      <c r="M20" s="7">
        <v>1</v>
      </c>
      <c r="N20" s="4">
        <f>'Import Question'!U$150</f>
        <v>0.9</v>
      </c>
      <c r="O20" s="4">
        <f>'Import Question'!AB25</f>
        <v>1</v>
      </c>
      <c r="P20" s="4">
        <v>1</v>
      </c>
      <c r="Q20" s="31">
        <f t="shared" si="1"/>
        <v>2.2297826794443268E-3</v>
      </c>
      <c r="R20" s="110">
        <f t="shared" si="2"/>
        <v>2.3673391337022207E-3</v>
      </c>
      <c r="S20" s="110">
        <f t="shared" si="9"/>
        <v>2.1306052203319986E-3</v>
      </c>
      <c r="T20" s="31">
        <f t="shared" si="5"/>
        <v>2.3673391337022207E-3</v>
      </c>
      <c r="U20" s="31">
        <f t="shared" si="3"/>
        <v>2.3673391337022207E-3</v>
      </c>
      <c r="V20" s="110">
        <f>MAX(($N20*$O20*$U20*$L20),S20)</f>
        <v>2.1306052203319986E-3</v>
      </c>
      <c r="W20" s="110">
        <f>IF(L20=0,1,($N20*$U20*AR10))</f>
        <v>2.1306052203319986E-3</v>
      </c>
      <c r="X20" s="146">
        <f t="shared" si="4"/>
        <v>0.9</v>
      </c>
    </row>
    <row r="21" spans="1:24">
      <c r="A21" s="139">
        <f>'Import Question'!$F$6</f>
        <v>51</v>
      </c>
      <c r="B21" s="574" t="s">
        <v>1693</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09">
        <f>IF('Import Question'!H26="Y",0,1)</f>
        <v>1</v>
      </c>
      <c r="M21" s="7">
        <f>IF('Import Question'!H65="Y",0.8,1)</f>
        <v>0.8</v>
      </c>
      <c r="N21" s="4">
        <f>'Import Question'!V$150</f>
        <v>0.9</v>
      </c>
      <c r="O21" s="4">
        <f>'Import Question'!AC25</f>
        <v>1.2</v>
      </c>
      <c r="P21" s="4">
        <v>1</v>
      </c>
      <c r="Q21" s="31">
        <f t="shared" si="1"/>
        <v>2.1187411255411376E-4</v>
      </c>
      <c r="R21" s="110">
        <f t="shared" si="2"/>
        <v>1.2784597402597535E-4</v>
      </c>
      <c r="S21" s="110">
        <f t="shared" si="9"/>
        <v>1.3807365194805338E-4</v>
      </c>
      <c r="T21" s="31">
        <f t="shared" si="5"/>
        <v>1.2784597402597535E-4</v>
      </c>
      <c r="U21" s="31">
        <f t="shared" si="3"/>
        <v>2.1187411255411376E-4</v>
      </c>
      <c r="V21" s="110">
        <f>MAX(($N21*$O21*$U21*$L21),S21)</f>
        <v>2.2882404155844289E-4</v>
      </c>
      <c r="W21" s="110">
        <f>IF(L21=0,1,($N21*$U21*AS10))</f>
        <v>1.5254936103896192E-4</v>
      </c>
      <c r="X21" s="146">
        <f t="shared" si="4"/>
        <v>8.6400000000000001E-3</v>
      </c>
    </row>
    <row r="22" spans="1:24">
      <c r="A22" s="139">
        <f>'Import Question'!$F$6</f>
        <v>51</v>
      </c>
      <c r="B22" s="570" t="s">
        <v>896</v>
      </c>
      <c r="C22" s="109">
        <v>3.6911486561970901E-2</v>
      </c>
      <c r="D22" s="109">
        <f>-0.00157457925283427</f>
        <v>-1.57457925283427E-3</v>
      </c>
      <c r="E22" s="109">
        <f>0.0000167532085580737</f>
        <v>1.6753208558073701E-5</v>
      </c>
      <c r="F22" s="143">
        <v>1</v>
      </c>
      <c r="G22" s="143">
        <v>0.4</v>
      </c>
      <c r="H22" s="144">
        <v>1</v>
      </c>
      <c r="I22" s="144">
        <v>1</v>
      </c>
      <c r="J22" s="144">
        <v>1</v>
      </c>
      <c r="K22" s="7">
        <f>IF('Import Question'!$F$7="AF",H22,IF('Import Question'!$F$7="AS",calculRISKS!I22,1))</f>
        <v>1</v>
      </c>
      <c r="L22" s="144">
        <v>1</v>
      </c>
      <c r="M22" s="144">
        <v>1</v>
      </c>
      <c r="N22" s="8">
        <f>'Import Question'!W150</f>
        <v>0.9</v>
      </c>
      <c r="O22" s="8">
        <f>'Import Question'!AE25</f>
        <v>1</v>
      </c>
      <c r="P22" s="146">
        <f>'Import Biologie'!H47</f>
        <v>1</v>
      </c>
      <c r="Q22" s="31">
        <f t="shared" si="1"/>
        <v>1.2731104413709129E-3</v>
      </c>
      <c r="R22" s="110">
        <f t="shared" si="2"/>
        <v>1.8304012697282351E-4</v>
      </c>
      <c r="S22" s="110">
        <f>(MAX((N22*O22*P22*R22),(IF(L22=0,1,0))))/10</f>
        <v>1.6473611427554118E-5</v>
      </c>
      <c r="T22" s="31">
        <f t="shared" si="5"/>
        <v>1.8304012697282351E-4</v>
      </c>
      <c r="U22" s="31">
        <f t="shared" si="3"/>
        <v>1.2731104413709129E-3</v>
      </c>
      <c r="V22" s="110">
        <f>(MAX(($N22*$O22*$U22*$L22),S22))/10</f>
        <v>1.1457993972338216E-4</v>
      </c>
      <c r="W22" s="110">
        <f>(IF(L22=0,1,($N22*$U22*AU10)))/10</f>
        <v>1.1457993972338216E-4</v>
      </c>
      <c r="X22" s="146">
        <f t="shared" si="4"/>
        <v>0.9</v>
      </c>
    </row>
    <row r="23" spans="1:24">
      <c r="B23" s="571" t="s">
        <v>900</v>
      </c>
      <c r="J23" s="7">
        <f>IF('Import Question'!$F$3="H",0,1)</f>
        <v>0</v>
      </c>
      <c r="L23" s="109">
        <f>AUTOQUESTIONNAIRE!BF28</f>
        <v>0</v>
      </c>
      <c r="N23" s="8">
        <f>AUTOQUESTIONNAIRE!BF109</f>
        <v>0.9</v>
      </c>
    </row>
    <row r="24" spans="1:24">
      <c r="B24" s="571" t="s">
        <v>901</v>
      </c>
      <c r="J24" s="7">
        <f>IF('Import Question'!$F$3="H",0,1)</f>
        <v>0</v>
      </c>
      <c r="N24" s="8">
        <f>AUTOQUESTIONNAIRE!BM109</f>
        <v>0.9</v>
      </c>
    </row>
    <row r="25" spans="1:24">
      <c r="B25" s="571" t="s">
        <v>902</v>
      </c>
      <c r="J25" s="7">
        <f>IF('Import Question'!$F$3="H",0,1)</f>
        <v>0</v>
      </c>
      <c r="N25" s="8">
        <v>1</v>
      </c>
    </row>
    <row r="26" spans="1:24">
      <c r="B26" s="571" t="s">
        <v>904</v>
      </c>
      <c r="J26" s="144">
        <v>1</v>
      </c>
      <c r="N26" s="8">
        <v>1</v>
      </c>
    </row>
    <row r="27" spans="1:24" s="274" customFormat="1">
      <c r="A27" s="273"/>
      <c r="B27" s="571" t="s">
        <v>905</v>
      </c>
      <c r="C27" s="275"/>
      <c r="D27" s="275"/>
      <c r="E27" s="275"/>
      <c r="F27" s="276"/>
      <c r="G27" s="276"/>
      <c r="H27" s="277"/>
      <c r="I27" s="277"/>
      <c r="J27" s="144">
        <v>1</v>
      </c>
      <c r="K27" s="277"/>
      <c r="L27" s="277"/>
      <c r="M27" s="277"/>
      <c r="N27" s="8">
        <v>1</v>
      </c>
      <c r="R27" s="278"/>
      <c r="S27" s="279"/>
      <c r="U27" s="278"/>
      <c r="V27" s="278"/>
      <c r="W27" s="279"/>
    </row>
    <row r="28" spans="1:24">
      <c r="B28" s="569" t="s">
        <v>1695</v>
      </c>
      <c r="C28" s="585"/>
      <c r="D28" s="585"/>
      <c r="E28" s="585"/>
      <c r="F28" s="586"/>
      <c r="G28" s="586"/>
      <c r="H28" s="586"/>
      <c r="I28" s="586"/>
      <c r="J28" s="586">
        <v>1</v>
      </c>
      <c r="K28" s="586"/>
      <c r="L28" s="586"/>
      <c r="M28" s="586"/>
      <c r="N28" s="586">
        <v>1</v>
      </c>
      <c r="O28" s="586"/>
      <c r="P28" s="586"/>
      <c r="Q28" s="586"/>
      <c r="R28" s="587"/>
      <c r="S28" s="588"/>
      <c r="T28" s="586"/>
      <c r="U28" s="587"/>
      <c r="V28" s="587"/>
      <c r="W28" s="588"/>
    </row>
    <row r="29" spans="1:24">
      <c r="B29" s="569" t="s">
        <v>908</v>
      </c>
      <c r="J29" s="7">
        <f>IF('Import Question'!$F$3="F",0,1)</f>
        <v>1</v>
      </c>
      <c r="N29" s="8">
        <v>1</v>
      </c>
    </row>
    <row r="30" spans="1:24">
      <c r="B30" s="569" t="s">
        <v>800</v>
      </c>
      <c r="J30" s="7">
        <f>IF('Import Question'!$F$3="H",0,1)</f>
        <v>0</v>
      </c>
      <c r="N30" s="8">
        <f>AUTOQUESTIONNAIRE!T109</f>
        <v>0.9</v>
      </c>
    </row>
    <row r="31" spans="1:24">
      <c r="B31" s="569" t="s">
        <v>1694</v>
      </c>
      <c r="J31" s="7">
        <f>IF('Import Question'!$F$3="H",0,1)</f>
        <v>0</v>
      </c>
      <c r="N31" s="8">
        <f>AUTOQUESTIONNAIRE!U109</f>
        <v>0.9</v>
      </c>
    </row>
    <row r="32" spans="1:24">
      <c r="B32" s="572" t="s">
        <v>910</v>
      </c>
      <c r="J32" s="144">
        <v>1</v>
      </c>
      <c r="N32" s="8">
        <v>1</v>
      </c>
    </row>
    <row r="33" spans="2:23">
      <c r="B33" s="572" t="s">
        <v>911</v>
      </c>
      <c r="J33" s="144">
        <v>1</v>
      </c>
      <c r="N33" s="8">
        <f>AUTOQUESTIONNAIRE!X109</f>
        <v>0.9</v>
      </c>
    </row>
    <row r="34" spans="2:23">
      <c r="B34" s="572" t="s">
        <v>912</v>
      </c>
      <c r="J34" s="144">
        <v>1</v>
      </c>
      <c r="N34" s="8">
        <v>1</v>
      </c>
    </row>
    <row r="35" spans="2:23">
      <c r="B35" s="572" t="s">
        <v>913</v>
      </c>
      <c r="J35" s="144">
        <v>1</v>
      </c>
      <c r="N35" s="8">
        <v>1</v>
      </c>
    </row>
    <row r="36" spans="2:23">
      <c r="B36" s="572" t="s">
        <v>914</v>
      </c>
      <c r="J36" s="144">
        <v>1</v>
      </c>
      <c r="N36" s="8">
        <v>1</v>
      </c>
    </row>
    <row r="37" spans="2:23">
      <c r="B37" s="575" t="s">
        <v>915</v>
      </c>
      <c r="C37" s="585"/>
      <c r="D37" s="585"/>
      <c r="E37" s="585"/>
      <c r="F37" s="586"/>
      <c r="G37" s="586"/>
      <c r="H37" s="586"/>
      <c r="I37" s="586"/>
      <c r="J37" s="586">
        <v>1</v>
      </c>
      <c r="K37" s="586"/>
      <c r="L37" s="586"/>
      <c r="M37" s="586"/>
      <c r="N37" s="586">
        <v>1</v>
      </c>
      <c r="O37" s="586"/>
      <c r="P37" s="586"/>
      <c r="Q37" s="586"/>
      <c r="R37" s="587"/>
      <c r="S37" s="588"/>
      <c r="T37" s="586"/>
      <c r="U37" s="587"/>
      <c r="V37" s="587"/>
      <c r="W37" s="588"/>
    </row>
    <row r="38" spans="2:23">
      <c r="B38" s="575" t="s">
        <v>916</v>
      </c>
      <c r="J38" s="144">
        <v>1</v>
      </c>
      <c r="N38" s="8">
        <f>AUTOQUESTIONNAIRE!AI109</f>
        <v>0.9</v>
      </c>
    </row>
    <row r="39" spans="2:23">
      <c r="B39" s="576" t="s">
        <v>917</v>
      </c>
      <c r="J39" s="144">
        <v>1</v>
      </c>
      <c r="N39" s="8">
        <f>AUTOQUESTIONNAIRE!AJ109</f>
        <v>0.9</v>
      </c>
    </row>
    <row r="40" spans="2:23">
      <c r="B40" s="576" t="s">
        <v>918</v>
      </c>
      <c r="C40" s="585"/>
      <c r="D40" s="585"/>
      <c r="E40" s="585"/>
      <c r="F40" s="586"/>
      <c r="G40" s="586"/>
      <c r="H40" s="586"/>
      <c r="I40" s="586"/>
      <c r="J40" s="586">
        <v>1</v>
      </c>
      <c r="K40" s="586"/>
      <c r="L40" s="586"/>
      <c r="M40" s="586"/>
      <c r="N40" s="586">
        <v>1</v>
      </c>
      <c r="O40" s="586"/>
      <c r="P40" s="586"/>
      <c r="Q40" s="586"/>
      <c r="R40" s="587"/>
      <c r="S40" s="588"/>
      <c r="T40" s="586"/>
      <c r="U40" s="587"/>
      <c r="V40" s="587"/>
      <c r="W40" s="588"/>
    </row>
    <row r="41" spans="2:23">
      <c r="B41" s="576" t="s">
        <v>919</v>
      </c>
      <c r="J41" s="144">
        <v>1</v>
      </c>
      <c r="N41" s="8">
        <f>AUTOQUESTIONNAIRE!AM109</f>
        <v>0.9</v>
      </c>
    </row>
    <row r="42" spans="2:23">
      <c r="B42" s="577" t="s">
        <v>920</v>
      </c>
      <c r="C42" s="585"/>
      <c r="D42" s="585"/>
      <c r="E42" s="585"/>
      <c r="F42" s="586"/>
      <c r="G42" s="586"/>
      <c r="H42" s="586"/>
      <c r="I42" s="586"/>
      <c r="J42" s="586">
        <v>1</v>
      </c>
      <c r="K42" s="586"/>
      <c r="L42" s="586"/>
      <c r="M42" s="586"/>
      <c r="N42" s="586">
        <v>1</v>
      </c>
      <c r="O42" s="586"/>
      <c r="P42" s="586"/>
      <c r="Q42" s="586"/>
      <c r="R42" s="587"/>
      <c r="S42" s="588"/>
      <c r="T42" s="586"/>
      <c r="U42" s="587"/>
      <c r="V42" s="587"/>
      <c r="W42" s="588"/>
    </row>
    <row r="43" spans="2:23">
      <c r="B43" s="577" t="s">
        <v>921</v>
      </c>
      <c r="C43" s="585"/>
      <c r="D43" s="585"/>
      <c r="E43" s="585"/>
      <c r="F43" s="586"/>
      <c r="G43" s="586"/>
      <c r="H43" s="586"/>
      <c r="I43" s="586"/>
      <c r="J43" s="589">
        <f>IF('Import Question'!$F$3="H",0,1)</f>
        <v>0</v>
      </c>
      <c r="K43" s="586"/>
      <c r="L43" s="586"/>
      <c r="M43" s="586"/>
      <c r="N43" s="586">
        <v>1</v>
      </c>
      <c r="O43" s="586"/>
      <c r="P43" s="586"/>
      <c r="Q43" s="586"/>
      <c r="R43" s="587"/>
      <c r="S43" s="588"/>
      <c r="T43" s="586"/>
      <c r="U43" s="587"/>
      <c r="V43" s="587"/>
      <c r="W43" s="588"/>
    </row>
    <row r="44" spans="2:23">
      <c r="B44" s="577" t="s">
        <v>922</v>
      </c>
      <c r="C44" s="585"/>
      <c r="D44" s="585"/>
      <c r="E44" s="585"/>
      <c r="F44" s="586"/>
      <c r="G44" s="586"/>
      <c r="H44" s="586"/>
      <c r="I44" s="586"/>
      <c r="J44" s="589">
        <f>IF('Import Question'!$F$3="F",0,1)</f>
        <v>1</v>
      </c>
      <c r="K44" s="586"/>
      <c r="L44" s="586"/>
      <c r="M44" s="586"/>
      <c r="N44" s="586">
        <v>1</v>
      </c>
      <c r="O44" s="586"/>
      <c r="P44" s="586"/>
      <c r="Q44" s="586"/>
      <c r="R44" s="587"/>
      <c r="S44" s="588"/>
      <c r="T44" s="586"/>
      <c r="U44" s="587"/>
      <c r="V44" s="587"/>
      <c r="W44" s="588"/>
    </row>
    <row r="45" spans="2:23">
      <c r="B45" s="578" t="s">
        <v>923</v>
      </c>
      <c r="J45" s="144">
        <v>1</v>
      </c>
      <c r="N45" s="8">
        <v>1</v>
      </c>
    </row>
    <row r="46" spans="2:23">
      <c r="B46" s="578" t="s">
        <v>924</v>
      </c>
      <c r="J46" s="144">
        <v>1</v>
      </c>
      <c r="N46" s="8">
        <v>1</v>
      </c>
    </row>
    <row r="47" spans="2:23">
      <c r="B47" s="578" t="s">
        <v>925</v>
      </c>
      <c r="J47" s="144">
        <v>1</v>
      </c>
      <c r="N47" s="8">
        <f>AUTOQUESTIONNAIRE!AV109</f>
        <v>0.9</v>
      </c>
    </row>
    <row r="48" spans="2:23">
      <c r="B48" s="579" t="s">
        <v>926</v>
      </c>
      <c r="J48" s="144">
        <v>1</v>
      </c>
      <c r="N48" s="8">
        <v>1</v>
      </c>
    </row>
    <row r="49" spans="2:23">
      <c r="B49" s="571" t="s">
        <v>927</v>
      </c>
      <c r="J49" s="144">
        <v>1</v>
      </c>
      <c r="N49" s="8">
        <v>1</v>
      </c>
    </row>
    <row r="50" spans="2:23">
      <c r="B50" s="571" t="s">
        <v>928</v>
      </c>
      <c r="J50" s="144">
        <v>1</v>
      </c>
      <c r="N50" s="8">
        <v>1</v>
      </c>
    </row>
    <row r="51" spans="2:23">
      <c r="B51" s="580" t="s">
        <v>899</v>
      </c>
      <c r="J51" s="144">
        <v>1</v>
      </c>
      <c r="N51" s="8">
        <f>AUTOQUESTIONNAIRE!BK109</f>
        <v>0.9</v>
      </c>
    </row>
    <row r="52" spans="2:23">
      <c r="B52" s="581" t="s">
        <v>929</v>
      </c>
      <c r="C52" s="585"/>
      <c r="D52" s="585"/>
      <c r="E52" s="585"/>
      <c r="F52" s="586"/>
      <c r="G52" s="586"/>
      <c r="H52" s="586"/>
      <c r="I52" s="586"/>
      <c r="J52" s="586">
        <v>1</v>
      </c>
      <c r="K52" s="586"/>
      <c r="L52" s="586"/>
      <c r="M52" s="586"/>
      <c r="N52" s="586">
        <v>1</v>
      </c>
      <c r="O52" s="586"/>
      <c r="P52" s="586"/>
      <c r="Q52" s="586"/>
      <c r="R52" s="587"/>
      <c r="S52" s="588"/>
      <c r="T52" s="586"/>
      <c r="U52" s="587"/>
      <c r="V52" s="587"/>
      <c r="W52" s="588"/>
    </row>
    <row r="53" spans="2:23">
      <c r="B53" s="581" t="s">
        <v>930</v>
      </c>
      <c r="C53" s="585"/>
      <c r="D53" s="585"/>
      <c r="E53" s="585"/>
      <c r="F53" s="586"/>
      <c r="G53" s="586"/>
      <c r="H53" s="586"/>
      <c r="I53" s="586"/>
      <c r="J53" s="586">
        <v>1</v>
      </c>
      <c r="K53" s="586"/>
      <c r="L53" s="586"/>
      <c r="M53" s="586"/>
      <c r="N53" s="586">
        <v>1</v>
      </c>
      <c r="O53" s="586"/>
      <c r="P53" s="586"/>
      <c r="Q53" s="586"/>
      <c r="R53" s="587"/>
      <c r="S53" s="588"/>
      <c r="T53" s="586"/>
      <c r="U53" s="587"/>
      <c r="V53" s="587"/>
      <c r="W53" s="588"/>
    </row>
    <row r="54" spans="2:23">
      <c r="B54" s="581" t="s">
        <v>931</v>
      </c>
      <c r="C54" s="585"/>
      <c r="D54" s="585"/>
      <c r="E54" s="585"/>
      <c r="F54" s="586"/>
      <c r="G54" s="586"/>
      <c r="H54" s="586"/>
      <c r="I54" s="586"/>
      <c r="J54" s="586">
        <v>1</v>
      </c>
      <c r="K54" s="586"/>
      <c r="L54" s="586"/>
      <c r="M54" s="586"/>
      <c r="N54" s="586">
        <v>1</v>
      </c>
      <c r="O54" s="586"/>
      <c r="P54" s="586"/>
      <c r="Q54" s="586"/>
      <c r="R54" s="587"/>
      <c r="S54" s="588"/>
      <c r="T54" s="586"/>
      <c r="U54" s="587"/>
      <c r="V54" s="587"/>
      <c r="W54" s="588"/>
    </row>
    <row r="55" spans="2:23">
      <c r="B55" s="581" t="s">
        <v>932</v>
      </c>
      <c r="C55" s="585"/>
      <c r="D55" s="585"/>
      <c r="E55" s="585"/>
      <c r="F55" s="586"/>
      <c r="G55" s="586"/>
      <c r="H55" s="586"/>
      <c r="I55" s="586"/>
      <c r="J55" s="586">
        <v>1</v>
      </c>
      <c r="K55" s="586"/>
      <c r="L55" s="586"/>
      <c r="M55" s="586"/>
      <c r="N55" s="586">
        <v>1</v>
      </c>
      <c r="O55" s="586"/>
      <c r="P55" s="586"/>
      <c r="Q55" s="586"/>
      <c r="R55" s="587"/>
      <c r="S55" s="588"/>
      <c r="T55" s="586"/>
      <c r="U55" s="587"/>
      <c r="V55" s="587"/>
      <c r="W55" s="588"/>
    </row>
    <row r="56" spans="2:23">
      <c r="B56" s="581" t="s">
        <v>933</v>
      </c>
      <c r="C56" s="585"/>
      <c r="D56" s="585"/>
      <c r="E56" s="585"/>
      <c r="F56" s="586"/>
      <c r="G56" s="586"/>
      <c r="H56" s="586"/>
      <c r="I56" s="586"/>
      <c r="J56" s="586">
        <v>1</v>
      </c>
      <c r="K56" s="586"/>
      <c r="L56" s="586"/>
      <c r="M56" s="586"/>
      <c r="N56" s="586">
        <v>1</v>
      </c>
      <c r="O56" s="586"/>
      <c r="P56" s="586"/>
      <c r="Q56" s="586"/>
      <c r="R56" s="587"/>
      <c r="S56" s="588"/>
      <c r="T56" s="586"/>
      <c r="U56" s="587"/>
      <c r="V56" s="587"/>
      <c r="W56" s="588"/>
    </row>
    <row r="57" spans="2:23">
      <c r="B57" s="581" t="s">
        <v>934</v>
      </c>
      <c r="C57" s="585"/>
      <c r="D57" s="585"/>
      <c r="E57" s="585"/>
      <c r="F57" s="586"/>
      <c r="G57" s="586"/>
      <c r="H57" s="586"/>
      <c r="I57" s="586"/>
      <c r="J57" s="586">
        <v>1</v>
      </c>
      <c r="K57" s="586"/>
      <c r="L57" s="586"/>
      <c r="M57" s="586"/>
      <c r="N57" s="586">
        <v>1</v>
      </c>
      <c r="O57" s="586"/>
      <c r="P57" s="586"/>
      <c r="Q57" s="586"/>
      <c r="R57" s="587"/>
      <c r="S57" s="588"/>
      <c r="T57" s="586"/>
      <c r="U57" s="587"/>
      <c r="V57" s="587"/>
      <c r="W57" s="588"/>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4"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defaultColWidth="10.6640625" defaultRowHeight="14.4"/>
  <cols>
    <col min="1" max="1" width="31.109375" style="618" bestFit="1" customWidth="1"/>
    <col min="2" max="2" width="31.109375" style="618" customWidth="1"/>
    <col min="3" max="3" width="15.5546875" style="149" bestFit="1" customWidth="1"/>
    <col min="4" max="4" width="88.6640625" style="618" bestFit="1" customWidth="1"/>
    <col min="5" max="16384" width="10.6640625" style="618"/>
  </cols>
  <sheetData>
    <row r="1" spans="1:4" s="25" customFormat="1">
      <c r="A1" s="25" t="s">
        <v>2157</v>
      </c>
      <c r="B1" s="25" t="s">
        <v>2156</v>
      </c>
      <c r="C1" s="25" t="s">
        <v>1934</v>
      </c>
      <c r="D1" s="25" t="s">
        <v>238</v>
      </c>
    </row>
    <row r="2" spans="1:4">
      <c r="A2" s="618" t="s">
        <v>1748</v>
      </c>
      <c r="C2" s="542" t="s">
        <v>1461</v>
      </c>
      <c r="D2" s="618" t="s">
        <v>47</v>
      </c>
    </row>
    <row r="3" spans="1:4">
      <c r="A3" s="618" t="s">
        <v>1748</v>
      </c>
      <c r="C3" s="542" t="s">
        <v>1461</v>
      </c>
      <c r="D3" s="618" t="s">
        <v>1749</v>
      </c>
    </row>
    <row r="4" spans="1:4">
      <c r="A4" s="618" t="s">
        <v>1748</v>
      </c>
      <c r="C4" s="542" t="s">
        <v>1461</v>
      </c>
      <c r="D4" s="618" t="s">
        <v>917</v>
      </c>
    </row>
    <row r="5" spans="1:4">
      <c r="A5" s="618" t="s">
        <v>1748</v>
      </c>
      <c r="C5" s="542" t="s">
        <v>1461</v>
      </c>
      <c r="D5" s="618" t="s">
        <v>1750</v>
      </c>
    </row>
    <row r="6" spans="1:4">
      <c r="A6" s="618" t="s">
        <v>1748</v>
      </c>
      <c r="C6" s="542" t="s">
        <v>1461</v>
      </c>
      <c r="D6" s="618" t="s">
        <v>746</v>
      </c>
    </row>
    <row r="7" spans="1:4">
      <c r="A7" s="618" t="s">
        <v>1748</v>
      </c>
      <c r="C7" s="542" t="s">
        <v>1461</v>
      </c>
      <c r="D7" s="618" t="s">
        <v>747</v>
      </c>
    </row>
    <row r="8" spans="1:4">
      <c r="A8" s="618" t="s">
        <v>1748</v>
      </c>
      <c r="C8" s="542" t="s">
        <v>1461</v>
      </c>
      <c r="D8" s="618" t="s">
        <v>1751</v>
      </c>
    </row>
    <row r="9" spans="1:4">
      <c r="A9" s="618" t="s">
        <v>1748</v>
      </c>
      <c r="C9" s="542" t="s">
        <v>1461</v>
      </c>
      <c r="D9" s="618" t="s">
        <v>1752</v>
      </c>
    </row>
    <row r="10" spans="1:4">
      <c r="A10" s="618" t="s">
        <v>1748</v>
      </c>
      <c r="C10" s="555" t="s">
        <v>1753</v>
      </c>
      <c r="D10" s="618" t="s">
        <v>746</v>
      </c>
    </row>
    <row r="11" spans="1:4">
      <c r="A11" s="618" t="s">
        <v>1748</v>
      </c>
      <c r="C11" s="555" t="s">
        <v>1753</v>
      </c>
      <c r="D11" s="618" t="s">
        <v>747</v>
      </c>
    </row>
    <row r="12" spans="1:4">
      <c r="A12" s="618" t="s">
        <v>1748</v>
      </c>
      <c r="C12" s="555" t="s">
        <v>1753</v>
      </c>
      <c r="D12" s="618" t="s">
        <v>1754</v>
      </c>
    </row>
    <row r="13" spans="1:4">
      <c r="A13" s="618" t="s">
        <v>1748</v>
      </c>
      <c r="C13" s="555" t="s">
        <v>1753</v>
      </c>
      <c r="D13" s="618" t="s">
        <v>1755</v>
      </c>
    </row>
    <row r="14" spans="1:4">
      <c r="A14" s="618" t="s">
        <v>1748</v>
      </c>
      <c r="C14" s="555" t="s">
        <v>1753</v>
      </c>
      <c r="D14" s="603" t="s">
        <v>1756</v>
      </c>
    </row>
    <row r="15" spans="1:4">
      <c r="A15" s="618" t="s">
        <v>1748</v>
      </c>
      <c r="C15" s="149" t="s">
        <v>1753</v>
      </c>
      <c r="D15" s="620" t="s">
        <v>1773</v>
      </c>
    </row>
    <row r="16" spans="1:4">
      <c r="A16" s="618" t="s">
        <v>1748</v>
      </c>
      <c r="C16" s="149" t="s">
        <v>1753</v>
      </c>
      <c r="D16" s="630" t="s">
        <v>1935</v>
      </c>
    </row>
    <row r="17" spans="1:4">
      <c r="A17" s="618" t="s">
        <v>1748</v>
      </c>
      <c r="C17" s="555" t="s">
        <v>1753</v>
      </c>
      <c r="D17" s="603" t="s">
        <v>1757</v>
      </c>
    </row>
    <row r="18" spans="1:4">
      <c r="A18" s="618" t="s">
        <v>1748</v>
      </c>
      <c r="C18" s="555" t="s">
        <v>1753</v>
      </c>
      <c r="D18" s="618" t="s">
        <v>1758</v>
      </c>
    </row>
    <row r="19" spans="1:4">
      <c r="A19" s="618" t="s">
        <v>1748</v>
      </c>
      <c r="C19" s="555" t="s">
        <v>1753</v>
      </c>
      <c r="D19" s="618" t="s">
        <v>1759</v>
      </c>
    </row>
    <row r="20" spans="1:4">
      <c r="A20" s="618" t="s">
        <v>1748</v>
      </c>
      <c r="C20" s="555" t="s">
        <v>1753</v>
      </c>
      <c r="D20" s="618" t="s">
        <v>1940</v>
      </c>
    </row>
    <row r="21" spans="1:4">
      <c r="A21" s="618" t="s">
        <v>1748</v>
      </c>
      <c r="C21" s="555" t="s">
        <v>1753</v>
      </c>
      <c r="D21" s="618" t="s">
        <v>1760</v>
      </c>
    </row>
    <row r="22" spans="1:4">
      <c r="A22" s="618" t="s">
        <v>1748</v>
      </c>
      <c r="C22" s="555" t="s">
        <v>1753</v>
      </c>
      <c r="D22" s="618" t="s">
        <v>1761</v>
      </c>
    </row>
    <row r="23" spans="1:4">
      <c r="A23" s="618" t="s">
        <v>1748</v>
      </c>
      <c r="C23" s="555" t="s">
        <v>1753</v>
      </c>
      <c r="D23" s="618" t="s">
        <v>1762</v>
      </c>
    </row>
    <row r="24" spans="1:4">
      <c r="A24" s="618" t="s">
        <v>1748</v>
      </c>
      <c r="C24" s="555" t="s">
        <v>1763</v>
      </c>
      <c r="D24" s="618" t="s">
        <v>918</v>
      </c>
    </row>
    <row r="25" spans="1:4">
      <c r="A25" s="618" t="s">
        <v>1748</v>
      </c>
      <c r="C25" s="555" t="s">
        <v>1763</v>
      </c>
      <c r="D25" s="629" t="s">
        <v>641</v>
      </c>
    </row>
    <row r="26" spans="1:4">
      <c r="A26" s="618" t="s">
        <v>1748</v>
      </c>
      <c r="C26" s="555" t="s">
        <v>1763</v>
      </c>
      <c r="D26" s="604" t="s">
        <v>1764</v>
      </c>
    </row>
    <row r="27" spans="1:4">
      <c r="A27" s="618" t="s">
        <v>1748</v>
      </c>
      <c r="C27" s="555" t="s">
        <v>1763</v>
      </c>
      <c r="D27" s="604" t="s">
        <v>1765</v>
      </c>
    </row>
    <row r="28" spans="1:4">
      <c r="A28" s="618" t="s">
        <v>1748</v>
      </c>
      <c r="C28" s="555" t="s">
        <v>1763</v>
      </c>
      <c r="D28" s="604" t="s">
        <v>1766</v>
      </c>
    </row>
    <row r="29" spans="1:4">
      <c r="A29" s="618" t="s">
        <v>1748</v>
      </c>
      <c r="C29" s="555" t="s">
        <v>1763</v>
      </c>
      <c r="D29" s="605" t="s">
        <v>1767</v>
      </c>
    </row>
    <row r="30" spans="1:4">
      <c r="A30" s="618" t="s">
        <v>1748</v>
      </c>
      <c r="C30" s="555" t="s">
        <v>1763</v>
      </c>
      <c r="D30" s="618" t="s">
        <v>1768</v>
      </c>
    </row>
    <row r="31" spans="1:4">
      <c r="A31" s="618" t="s">
        <v>1748</v>
      </c>
      <c r="C31" s="555" t="s">
        <v>1763</v>
      </c>
      <c r="D31" s="619" t="s">
        <v>753</v>
      </c>
    </row>
    <row r="32" spans="1:4">
      <c r="A32" s="618" t="s">
        <v>1748</v>
      </c>
      <c r="C32" s="555" t="s">
        <v>1763</v>
      </c>
      <c r="D32" s="619" t="s">
        <v>754</v>
      </c>
    </row>
    <row r="33" spans="1:4">
      <c r="A33" s="618" t="s">
        <v>1748</v>
      </c>
      <c r="C33" s="555" t="s">
        <v>1763</v>
      </c>
      <c r="D33" s="619" t="s">
        <v>755</v>
      </c>
    </row>
    <row r="34" spans="1:4">
      <c r="A34" s="618" t="s">
        <v>1748</v>
      </c>
      <c r="C34" s="555" t="s">
        <v>1763</v>
      </c>
      <c r="D34" s="619" t="s">
        <v>1769</v>
      </c>
    </row>
    <row r="35" spans="1:4">
      <c r="A35" s="618" t="s">
        <v>1748</v>
      </c>
      <c r="C35" s="555" t="s">
        <v>1763</v>
      </c>
      <c r="D35" s="619" t="s">
        <v>759</v>
      </c>
    </row>
    <row r="36" spans="1:4">
      <c r="A36" s="366" t="s">
        <v>1770</v>
      </c>
      <c r="B36" s="366"/>
      <c r="C36" s="149" t="s">
        <v>1461</v>
      </c>
      <c r="D36" s="606" t="s">
        <v>1716</v>
      </c>
    </row>
    <row r="37" spans="1:4">
      <c r="A37" s="366" t="s">
        <v>1770</v>
      </c>
      <c r="B37" s="366"/>
      <c r="C37" s="149" t="s">
        <v>1461</v>
      </c>
      <c r="D37" s="606" t="s">
        <v>1608</v>
      </c>
    </row>
    <row r="38" spans="1:4">
      <c r="A38" s="366" t="s">
        <v>1770</v>
      </c>
      <c r="B38" s="366"/>
      <c r="C38" s="149" t="s">
        <v>1461</v>
      </c>
      <c r="D38" s="606" t="s">
        <v>50</v>
      </c>
    </row>
    <row r="39" spans="1:4">
      <c r="A39" s="366" t="s">
        <v>1770</v>
      </c>
      <c r="B39" s="366"/>
      <c r="C39" s="149" t="s">
        <v>1461</v>
      </c>
      <c r="D39" s="606" t="s">
        <v>49</v>
      </c>
    </row>
    <row r="40" spans="1:4">
      <c r="A40" s="366" t="s">
        <v>1770</v>
      </c>
      <c r="B40" s="366"/>
      <c r="C40" s="149" t="s">
        <v>1753</v>
      </c>
      <c r="D40" s="620" t="s">
        <v>1956</v>
      </c>
    </row>
    <row r="41" spans="1:4">
      <c r="A41" s="366" t="s">
        <v>1770</v>
      </c>
      <c r="B41" s="366"/>
      <c r="C41" s="149" t="s">
        <v>1753</v>
      </c>
      <c r="D41" s="620" t="s">
        <v>1917</v>
      </c>
    </row>
    <row r="42" spans="1:4">
      <c r="A42" s="366" t="s">
        <v>1770</v>
      </c>
      <c r="B42" s="366"/>
      <c r="C42" s="149" t="s">
        <v>1753</v>
      </c>
      <c r="D42" s="620" t="s">
        <v>1772</v>
      </c>
    </row>
    <row r="43" spans="1:4">
      <c r="A43" s="366" t="s">
        <v>1770</v>
      </c>
      <c r="B43" s="366"/>
      <c r="C43" s="149" t="s">
        <v>1753</v>
      </c>
      <c r="D43" s="620" t="s">
        <v>1773</v>
      </c>
    </row>
    <row r="44" spans="1:4">
      <c r="A44" s="366" t="s">
        <v>1770</v>
      </c>
      <c r="B44" s="366"/>
      <c r="C44" s="149" t="s">
        <v>1753</v>
      </c>
      <c r="D44" s="630" t="s">
        <v>1935</v>
      </c>
    </row>
    <row r="45" spans="1:4">
      <c r="A45" s="366" t="s">
        <v>1770</v>
      </c>
      <c r="B45" s="366"/>
      <c r="C45" s="149" t="s">
        <v>1753</v>
      </c>
      <c r="D45" s="620" t="s">
        <v>1759</v>
      </c>
    </row>
    <row r="46" spans="1:4">
      <c r="A46" s="366" t="s">
        <v>1770</v>
      </c>
      <c r="B46" s="366"/>
      <c r="C46" s="149" t="s">
        <v>1753</v>
      </c>
      <c r="D46" s="620" t="s">
        <v>1774</v>
      </c>
    </row>
    <row r="47" spans="1:4">
      <c r="A47" s="366" t="s">
        <v>1770</v>
      </c>
      <c r="B47" s="366"/>
      <c r="C47" s="149" t="s">
        <v>1753</v>
      </c>
      <c r="D47" s="620" t="s">
        <v>1775</v>
      </c>
    </row>
    <row r="48" spans="1:4">
      <c r="A48" s="366" t="s">
        <v>1770</v>
      </c>
      <c r="B48" s="366"/>
      <c r="C48" s="149" t="s">
        <v>1753</v>
      </c>
      <c r="D48" s="603" t="s">
        <v>1776</v>
      </c>
    </row>
    <row r="49" spans="1:4">
      <c r="A49" s="366" t="s">
        <v>1770</v>
      </c>
      <c r="B49" s="366"/>
      <c r="C49" s="149" t="s">
        <v>1753</v>
      </c>
      <c r="D49" s="603" t="s">
        <v>1777</v>
      </c>
    </row>
    <row r="50" spans="1:4">
      <c r="A50" s="366" t="s">
        <v>1770</v>
      </c>
      <c r="B50" s="366"/>
      <c r="C50" s="149" t="s">
        <v>1753</v>
      </c>
      <c r="D50" s="603" t="s">
        <v>1778</v>
      </c>
    </row>
    <row r="51" spans="1:4">
      <c r="A51" s="366" t="s">
        <v>1770</v>
      </c>
      <c r="B51" s="366"/>
      <c r="C51" s="149" t="s">
        <v>1763</v>
      </c>
      <c r="D51" s="620" t="s">
        <v>1779</v>
      </c>
    </row>
    <row r="52" spans="1:4">
      <c r="A52" s="366" t="s">
        <v>1770</v>
      </c>
      <c r="B52" s="366"/>
      <c r="C52" s="149" t="s">
        <v>1763</v>
      </c>
      <c r="D52" s="620" t="s">
        <v>1780</v>
      </c>
    </row>
    <row r="53" spans="1:4">
      <c r="A53" s="366" t="s">
        <v>1770</v>
      </c>
      <c r="B53" s="366"/>
      <c r="C53" s="149" t="s">
        <v>1763</v>
      </c>
      <c r="D53" s="620" t="s">
        <v>1781</v>
      </c>
    </row>
    <row r="54" spans="1:4">
      <c r="A54" s="366" t="s">
        <v>1770</v>
      </c>
      <c r="B54" s="366"/>
      <c r="C54" s="149" t="s">
        <v>1763</v>
      </c>
      <c r="D54" s="620" t="s">
        <v>1342</v>
      </c>
    </row>
    <row r="55" spans="1:4">
      <c r="A55" s="366" t="s">
        <v>1770</v>
      </c>
      <c r="B55" s="366"/>
      <c r="C55" s="149" t="s">
        <v>1763</v>
      </c>
      <c r="D55" s="620" t="s">
        <v>1953</v>
      </c>
    </row>
    <row r="56" spans="1:4">
      <c r="A56" s="621" t="s">
        <v>778</v>
      </c>
      <c r="B56" s="621"/>
      <c r="C56" s="641" t="s">
        <v>1461</v>
      </c>
      <c r="D56" s="607" t="s">
        <v>45</v>
      </c>
    </row>
    <row r="57" spans="1:4">
      <c r="A57" s="621" t="s">
        <v>778</v>
      </c>
      <c r="B57" s="621"/>
      <c r="C57" s="641" t="s">
        <v>1461</v>
      </c>
      <c r="D57" s="607" t="s">
        <v>46</v>
      </c>
    </row>
    <row r="58" spans="1:4">
      <c r="A58" s="621" t="s">
        <v>778</v>
      </c>
      <c r="B58" s="621"/>
      <c r="C58" s="641" t="s">
        <v>1461</v>
      </c>
      <c r="D58" s="607" t="s">
        <v>47</v>
      </c>
    </row>
    <row r="59" spans="1:4">
      <c r="A59" s="621" t="s">
        <v>778</v>
      </c>
      <c r="B59" s="621"/>
      <c r="C59" s="641" t="s">
        <v>1461</v>
      </c>
      <c r="D59" s="607" t="s">
        <v>48</v>
      </c>
    </row>
    <row r="60" spans="1:4">
      <c r="A60" s="621" t="s">
        <v>778</v>
      </c>
      <c r="B60" s="621"/>
      <c r="C60" s="641" t="s">
        <v>1461</v>
      </c>
      <c r="D60" s="607" t="s">
        <v>42</v>
      </c>
    </row>
    <row r="61" spans="1:4">
      <c r="A61" s="621" t="s">
        <v>778</v>
      </c>
      <c r="B61" s="621"/>
      <c r="C61" s="641" t="s">
        <v>1461</v>
      </c>
      <c r="D61" s="607" t="s">
        <v>1782</v>
      </c>
    </row>
    <row r="62" spans="1:4">
      <c r="A62" s="621" t="s">
        <v>778</v>
      </c>
      <c r="B62" s="621"/>
      <c r="C62" s="641" t="s">
        <v>1753</v>
      </c>
      <c r="D62" s="621" t="s">
        <v>1771</v>
      </c>
    </row>
    <row r="63" spans="1:4">
      <c r="A63" s="621" t="s">
        <v>778</v>
      </c>
      <c r="B63" s="621"/>
      <c r="C63" s="641" t="s">
        <v>1753</v>
      </c>
      <c r="D63" s="621" t="s">
        <v>1783</v>
      </c>
    </row>
    <row r="64" spans="1:4">
      <c r="A64" s="621" t="s">
        <v>778</v>
      </c>
      <c r="B64" s="621"/>
      <c r="C64" s="641" t="s">
        <v>1753</v>
      </c>
      <c r="D64" s="621" t="s">
        <v>1784</v>
      </c>
    </row>
    <row r="65" spans="1:4">
      <c r="A65" s="621" t="s">
        <v>778</v>
      </c>
      <c r="B65" s="621"/>
      <c r="C65" s="641" t="s">
        <v>1753</v>
      </c>
      <c r="D65" s="621" t="s">
        <v>1785</v>
      </c>
    </row>
    <row r="66" spans="1:4">
      <c r="A66" s="621" t="s">
        <v>778</v>
      </c>
      <c r="B66" s="621"/>
      <c r="C66" s="641" t="s">
        <v>1753</v>
      </c>
      <c r="D66" s="608" t="s">
        <v>1786</v>
      </c>
    </row>
    <row r="67" spans="1:4">
      <c r="A67" s="621" t="s">
        <v>778</v>
      </c>
      <c r="B67" s="621"/>
      <c r="C67" s="641" t="s">
        <v>1753</v>
      </c>
      <c r="D67" s="608" t="s">
        <v>1787</v>
      </c>
    </row>
    <row r="68" spans="1:4">
      <c r="A68" s="621" t="s">
        <v>778</v>
      </c>
      <c r="B68" s="621"/>
      <c r="C68" s="641" t="s">
        <v>1753</v>
      </c>
      <c r="D68" s="608" t="s">
        <v>1788</v>
      </c>
    </row>
    <row r="69" spans="1:4">
      <c r="A69" s="621" t="s">
        <v>778</v>
      </c>
      <c r="B69" s="621"/>
      <c r="C69" s="641" t="s">
        <v>1753</v>
      </c>
      <c r="D69" s="621" t="s">
        <v>1789</v>
      </c>
    </row>
    <row r="70" spans="1:4">
      <c r="A70" s="621" t="s">
        <v>778</v>
      </c>
      <c r="B70" s="621"/>
      <c r="C70" s="641" t="s">
        <v>1753</v>
      </c>
      <c r="D70" s="621" t="s">
        <v>1790</v>
      </c>
    </row>
    <row r="71" spans="1:4">
      <c r="A71" s="621" t="s">
        <v>778</v>
      </c>
      <c r="B71" s="621"/>
      <c r="C71" s="641" t="s">
        <v>1753</v>
      </c>
      <c r="D71" s="621" t="s">
        <v>1773</v>
      </c>
    </row>
    <row r="72" spans="1:4">
      <c r="A72" s="621" t="s">
        <v>778</v>
      </c>
      <c r="B72" s="621"/>
      <c r="C72" s="641" t="s">
        <v>1753</v>
      </c>
      <c r="D72" s="630" t="s">
        <v>1935</v>
      </c>
    </row>
    <row r="73" spans="1:4">
      <c r="A73" s="621" t="s">
        <v>778</v>
      </c>
      <c r="B73" s="621"/>
      <c r="C73" s="641" t="s">
        <v>1753</v>
      </c>
      <c r="D73" s="621" t="s">
        <v>1791</v>
      </c>
    </row>
    <row r="74" spans="1:4">
      <c r="A74" s="621" t="s">
        <v>778</v>
      </c>
      <c r="B74" s="621"/>
      <c r="C74" s="641" t="s">
        <v>1753</v>
      </c>
      <c r="D74" s="621" t="s">
        <v>1792</v>
      </c>
    </row>
    <row r="75" spans="1:4">
      <c r="A75" s="621" t="s">
        <v>778</v>
      </c>
      <c r="B75" s="621"/>
      <c r="C75" s="641" t="s">
        <v>1753</v>
      </c>
      <c r="D75" s="621" t="s">
        <v>1793</v>
      </c>
    </row>
    <row r="76" spans="1:4">
      <c r="A76" s="621" t="s">
        <v>778</v>
      </c>
      <c r="B76" s="621"/>
      <c r="C76" s="641" t="s">
        <v>1753</v>
      </c>
      <c r="D76" s="621" t="s">
        <v>1794</v>
      </c>
    </row>
    <row r="77" spans="1:4">
      <c r="A77" s="621" t="s">
        <v>778</v>
      </c>
      <c r="B77" s="621"/>
      <c r="C77" s="641" t="s">
        <v>1763</v>
      </c>
      <c r="D77" s="621" t="s">
        <v>1308</v>
      </c>
    </row>
    <row r="78" spans="1:4">
      <c r="A78" s="621" t="s">
        <v>778</v>
      </c>
      <c r="B78" s="621"/>
      <c r="C78" s="641" t="s">
        <v>1763</v>
      </c>
      <c r="D78" s="608" t="s">
        <v>1764</v>
      </c>
    </row>
    <row r="79" spans="1:4">
      <c r="A79" s="621" t="s">
        <v>778</v>
      </c>
      <c r="B79" s="621"/>
      <c r="C79" s="641" t="s">
        <v>1763</v>
      </c>
      <c r="D79" s="608" t="s">
        <v>1765</v>
      </c>
    </row>
    <row r="80" spans="1:4">
      <c r="A80" s="621" t="s">
        <v>778</v>
      </c>
      <c r="B80" s="621"/>
      <c r="C80" s="641" t="s">
        <v>1763</v>
      </c>
      <c r="D80" s="621" t="s">
        <v>1795</v>
      </c>
    </row>
    <row r="81" spans="1:4">
      <c r="A81" s="613" t="s">
        <v>1861</v>
      </c>
      <c r="B81" s="613"/>
      <c r="C81" s="641" t="s">
        <v>1763</v>
      </c>
      <c r="D81" s="605" t="s">
        <v>1945</v>
      </c>
    </row>
    <row r="82" spans="1:4">
      <c r="A82" s="621" t="s">
        <v>778</v>
      </c>
      <c r="B82" s="621"/>
      <c r="C82" s="641" t="s">
        <v>1763</v>
      </c>
      <c r="D82" s="621" t="s">
        <v>71</v>
      </c>
    </row>
    <row r="83" spans="1:4">
      <c r="A83" s="621" t="s">
        <v>778</v>
      </c>
      <c r="B83" s="621"/>
      <c r="C83" s="641" t="s">
        <v>1763</v>
      </c>
      <c r="D83" s="608" t="s">
        <v>1796</v>
      </c>
    </row>
    <row r="84" spans="1:4">
      <c r="A84" s="621" t="s">
        <v>778</v>
      </c>
      <c r="B84" s="621"/>
      <c r="C84" s="641" t="s">
        <v>1763</v>
      </c>
      <c r="D84" s="609" t="s">
        <v>1949</v>
      </c>
    </row>
    <row r="85" spans="1:4">
      <c r="A85" s="621" t="s">
        <v>778</v>
      </c>
      <c r="B85" s="621"/>
      <c r="C85" s="641" t="s">
        <v>1763</v>
      </c>
      <c r="D85" s="608" t="s">
        <v>641</v>
      </c>
    </row>
    <row r="86" spans="1:4">
      <c r="A86" s="621" t="s">
        <v>778</v>
      </c>
      <c r="B86" s="621"/>
      <c r="C86" s="641" t="s">
        <v>1763</v>
      </c>
      <c r="D86" s="607" t="s">
        <v>642</v>
      </c>
    </row>
    <row r="87" spans="1:4">
      <c r="A87" s="621" t="s">
        <v>778</v>
      </c>
      <c r="B87" s="621"/>
      <c r="C87" s="641" t="s">
        <v>1763</v>
      </c>
      <c r="D87" s="608" t="s">
        <v>1797</v>
      </c>
    </row>
    <row r="88" spans="1:4">
      <c r="A88" s="621" t="s">
        <v>778</v>
      </c>
      <c r="B88" s="621"/>
      <c r="C88" s="641" t="s">
        <v>1763</v>
      </c>
      <c r="D88" s="621" t="s">
        <v>1779</v>
      </c>
    </row>
    <row r="89" spans="1:4">
      <c r="A89" s="621" t="s">
        <v>778</v>
      </c>
      <c r="B89" s="621"/>
      <c r="C89" s="641" t="s">
        <v>1763</v>
      </c>
      <c r="D89" s="621" t="s">
        <v>1798</v>
      </c>
    </row>
    <row r="90" spans="1:4">
      <c r="A90" s="621" t="s">
        <v>778</v>
      </c>
      <c r="B90" s="621"/>
      <c r="C90" s="641" t="s">
        <v>1763</v>
      </c>
      <c r="D90" s="621" t="s">
        <v>1799</v>
      </c>
    </row>
    <row r="91" spans="1:4">
      <c r="A91" s="621" t="s">
        <v>778</v>
      </c>
      <c r="B91" s="621"/>
      <c r="C91" s="641" t="s">
        <v>1763</v>
      </c>
      <c r="D91" s="621" t="s">
        <v>1800</v>
      </c>
    </row>
    <row r="92" spans="1:4">
      <c r="A92" s="621" t="s">
        <v>778</v>
      </c>
      <c r="B92" s="621"/>
      <c r="C92" s="641" t="s">
        <v>1763</v>
      </c>
      <c r="D92" s="621" t="s">
        <v>1801</v>
      </c>
    </row>
    <row r="93" spans="1:4">
      <c r="A93" s="621" t="s">
        <v>778</v>
      </c>
      <c r="B93" s="621"/>
      <c r="C93" s="641" t="s">
        <v>1763</v>
      </c>
      <c r="D93" s="621" t="s">
        <v>631</v>
      </c>
    </row>
    <row r="94" spans="1:4">
      <c r="A94" s="621" t="s">
        <v>778</v>
      </c>
      <c r="B94" s="621"/>
      <c r="C94" s="641" t="s">
        <v>1763</v>
      </c>
      <c r="D94" s="621" t="s">
        <v>1404</v>
      </c>
    </row>
    <row r="95" spans="1:4">
      <c r="A95" s="621" t="s">
        <v>778</v>
      </c>
      <c r="B95" s="621"/>
      <c r="C95" s="641" t="s">
        <v>1763</v>
      </c>
      <c r="D95" s="621" t="s">
        <v>1802</v>
      </c>
    </row>
    <row r="96" spans="1:4">
      <c r="A96" s="621" t="s">
        <v>778</v>
      </c>
      <c r="B96" s="621"/>
      <c r="C96" s="641" t="s">
        <v>1763</v>
      </c>
      <c r="D96" s="621" t="s">
        <v>1653</v>
      </c>
    </row>
    <row r="97" spans="1:4">
      <c r="A97" s="621" t="s">
        <v>778</v>
      </c>
      <c r="B97" s="621"/>
      <c r="C97" s="641" t="s">
        <v>1763</v>
      </c>
      <c r="D97" s="609" t="s">
        <v>512</v>
      </c>
    </row>
    <row r="98" spans="1:4">
      <c r="A98" s="621" t="s">
        <v>778</v>
      </c>
      <c r="B98" s="621"/>
      <c r="C98" s="641" t="s">
        <v>1763</v>
      </c>
      <c r="D98" s="609" t="s">
        <v>513</v>
      </c>
    </row>
    <row r="99" spans="1:4">
      <c r="A99" s="621" t="s">
        <v>778</v>
      </c>
      <c r="B99" s="621"/>
      <c r="C99" s="641" t="s">
        <v>1763</v>
      </c>
      <c r="D99" s="609" t="s">
        <v>514</v>
      </c>
    </row>
    <row r="100" spans="1:4">
      <c r="A100" s="621" t="s">
        <v>778</v>
      </c>
      <c r="B100" s="621"/>
      <c r="C100" s="641" t="s">
        <v>1763</v>
      </c>
      <c r="D100" s="609" t="s">
        <v>545</v>
      </c>
    </row>
    <row r="101" spans="1:4">
      <c r="A101" s="621" t="s">
        <v>778</v>
      </c>
      <c r="B101" s="621"/>
      <c r="C101" s="641" t="s">
        <v>1763</v>
      </c>
      <c r="D101" s="609" t="s">
        <v>515</v>
      </c>
    </row>
    <row r="102" spans="1:4">
      <c r="A102" s="621" t="s">
        <v>778</v>
      </c>
      <c r="B102" s="621"/>
      <c r="C102" s="641" t="s">
        <v>1763</v>
      </c>
      <c r="D102" s="609" t="s">
        <v>1092</v>
      </c>
    </row>
    <row r="103" spans="1:4">
      <c r="A103" s="621" t="s">
        <v>778</v>
      </c>
      <c r="B103" s="621"/>
      <c r="C103" s="641" t="s">
        <v>1763</v>
      </c>
      <c r="D103" s="627" t="s">
        <v>1652</v>
      </c>
    </row>
    <row r="104" spans="1:4">
      <c r="A104" s="621" t="s">
        <v>778</v>
      </c>
      <c r="B104" s="621"/>
      <c r="C104" s="641" t="s">
        <v>1763</v>
      </c>
      <c r="D104" s="622" t="s">
        <v>1649</v>
      </c>
    </row>
    <row r="105" spans="1:4">
      <c r="A105" s="621" t="s">
        <v>778</v>
      </c>
      <c r="B105" s="621"/>
      <c r="C105" s="641" t="s">
        <v>1763</v>
      </c>
      <c r="D105" s="628" t="s">
        <v>1650</v>
      </c>
    </row>
    <row r="106" spans="1:4">
      <c r="A106" s="621" t="s">
        <v>778</v>
      </c>
      <c r="B106" s="621"/>
      <c r="C106" s="641" t="s">
        <v>1763</v>
      </c>
      <c r="D106" s="610"/>
    </row>
    <row r="107" spans="1:4">
      <c r="A107" s="621" t="s">
        <v>778</v>
      </c>
      <c r="B107" s="621"/>
      <c r="C107" s="641" t="s">
        <v>1763</v>
      </c>
      <c r="D107" s="621" t="s">
        <v>1681</v>
      </c>
    </row>
    <row r="108" spans="1:4">
      <c r="A108" s="621" t="s">
        <v>778</v>
      </c>
      <c r="B108" s="621"/>
      <c r="C108" s="641" t="s">
        <v>1763</v>
      </c>
      <c r="D108" s="621" t="s">
        <v>1675</v>
      </c>
    </row>
    <row r="109" spans="1:4">
      <c r="A109" s="621" t="s">
        <v>778</v>
      </c>
      <c r="B109" s="621"/>
      <c r="C109" s="641" t="s">
        <v>1763</v>
      </c>
      <c r="D109" s="609" t="s">
        <v>516</v>
      </c>
    </row>
    <row r="110" spans="1:4">
      <c r="A110" s="621" t="s">
        <v>778</v>
      </c>
      <c r="B110" s="621"/>
      <c r="C110" s="641" t="s">
        <v>1763</v>
      </c>
      <c r="D110" s="610" t="s">
        <v>1950</v>
      </c>
    </row>
    <row r="111" spans="1:4">
      <c r="A111" s="621" t="s">
        <v>778</v>
      </c>
      <c r="B111" s="621"/>
      <c r="C111" s="641" t="s">
        <v>1763</v>
      </c>
      <c r="D111" s="621" t="s">
        <v>1681</v>
      </c>
    </row>
    <row r="112" spans="1:4">
      <c r="A112" s="621" t="s">
        <v>1803</v>
      </c>
      <c r="B112" s="621"/>
      <c r="C112" s="641" t="s">
        <v>1461</v>
      </c>
      <c r="D112" s="607" t="s">
        <v>909</v>
      </c>
    </row>
    <row r="113" spans="1:4">
      <c r="A113" s="621" t="s">
        <v>1803</v>
      </c>
      <c r="B113" s="621"/>
      <c r="C113" s="641" t="s">
        <v>1461</v>
      </c>
      <c r="D113" s="607" t="s">
        <v>1804</v>
      </c>
    </row>
    <row r="114" spans="1:4">
      <c r="A114" s="621" t="s">
        <v>1803</v>
      </c>
      <c r="B114" s="621"/>
      <c r="C114" s="641" t="s">
        <v>1461</v>
      </c>
      <c r="D114" s="607" t="s">
        <v>39</v>
      </c>
    </row>
    <row r="115" spans="1:4">
      <c r="A115" s="621" t="s">
        <v>1803</v>
      </c>
      <c r="B115" s="621"/>
      <c r="C115" s="641" t="s">
        <v>1461</v>
      </c>
      <c r="D115" s="607" t="s">
        <v>913</v>
      </c>
    </row>
    <row r="116" spans="1:4">
      <c r="A116" s="621" t="s">
        <v>1803</v>
      </c>
      <c r="B116" s="621"/>
      <c r="C116" s="641" t="s">
        <v>1461</v>
      </c>
      <c r="D116" s="607" t="s">
        <v>1805</v>
      </c>
    </row>
    <row r="117" spans="1:4">
      <c r="A117" s="621" t="s">
        <v>1803</v>
      </c>
      <c r="B117" s="621"/>
      <c r="C117" s="641" t="s">
        <v>1461</v>
      </c>
      <c r="D117" s="607" t="s">
        <v>1806</v>
      </c>
    </row>
    <row r="118" spans="1:4">
      <c r="A118" s="621" t="s">
        <v>1803</v>
      </c>
      <c r="B118" s="621"/>
      <c r="C118" s="641" t="s">
        <v>1461</v>
      </c>
      <c r="D118" s="621" t="s">
        <v>905</v>
      </c>
    </row>
    <row r="119" spans="1:4">
      <c r="A119" s="621" t="s">
        <v>1803</v>
      </c>
      <c r="B119" s="621"/>
      <c r="C119" s="641" t="s">
        <v>1461</v>
      </c>
      <c r="D119" s="621" t="s">
        <v>1717</v>
      </c>
    </row>
    <row r="120" spans="1:4">
      <c r="A120" s="621" t="s">
        <v>1803</v>
      </c>
      <c r="B120" s="621"/>
      <c r="C120" s="641" t="s">
        <v>1461</v>
      </c>
      <c r="D120" s="621" t="s">
        <v>914</v>
      </c>
    </row>
    <row r="121" spans="1:4">
      <c r="A121" s="621" t="s">
        <v>1803</v>
      </c>
      <c r="B121" s="621"/>
      <c r="C121" s="641" t="s">
        <v>1461</v>
      </c>
      <c r="D121" s="621" t="s">
        <v>1807</v>
      </c>
    </row>
    <row r="122" spans="1:4">
      <c r="A122" s="621" t="s">
        <v>1803</v>
      </c>
      <c r="B122" s="621"/>
      <c r="C122" s="641" t="s">
        <v>1753</v>
      </c>
      <c r="D122" s="621" t="s">
        <v>1808</v>
      </c>
    </row>
    <row r="123" spans="1:4">
      <c r="A123" s="621" t="s">
        <v>1803</v>
      </c>
      <c r="B123" s="621"/>
      <c r="C123" s="641" t="s">
        <v>1753</v>
      </c>
      <c r="D123" s="621" t="s">
        <v>1809</v>
      </c>
    </row>
    <row r="124" spans="1:4">
      <c r="A124" s="621" t="s">
        <v>1803</v>
      </c>
      <c r="B124" s="621"/>
      <c r="C124" s="641" t="s">
        <v>1753</v>
      </c>
      <c r="D124" s="621" t="s">
        <v>1810</v>
      </c>
    </row>
    <row r="125" spans="1:4">
      <c r="A125" s="621" t="s">
        <v>1803</v>
      </c>
      <c r="B125" s="621"/>
      <c r="C125" s="641" t="s">
        <v>1753</v>
      </c>
      <c r="D125" s="621" t="s">
        <v>1811</v>
      </c>
    </row>
    <row r="126" spans="1:4">
      <c r="A126" s="621" t="s">
        <v>1803</v>
      </c>
      <c r="B126" s="621"/>
      <c r="C126" s="641" t="s">
        <v>1753</v>
      </c>
      <c r="D126" s="621" t="s">
        <v>1812</v>
      </c>
    </row>
    <row r="127" spans="1:4">
      <c r="A127" s="621" t="s">
        <v>1803</v>
      </c>
      <c r="B127" s="621"/>
      <c r="C127" s="641" t="s">
        <v>1753</v>
      </c>
      <c r="D127" s="621" t="s">
        <v>1813</v>
      </c>
    </row>
    <row r="128" spans="1:4">
      <c r="A128" s="621" t="s">
        <v>1803</v>
      </c>
      <c r="B128" s="621"/>
      <c r="C128" s="641" t="s">
        <v>1753</v>
      </c>
      <c r="D128" s="603" t="s">
        <v>1814</v>
      </c>
    </row>
    <row r="129" spans="1:4">
      <c r="A129" s="621" t="s">
        <v>1803</v>
      </c>
      <c r="B129" s="621"/>
      <c r="C129" s="641" t="s">
        <v>1753</v>
      </c>
      <c r="D129" s="603" t="s">
        <v>1815</v>
      </c>
    </row>
    <row r="130" spans="1:4">
      <c r="A130" s="621" t="s">
        <v>1803</v>
      </c>
      <c r="B130" s="621"/>
      <c r="C130" s="641" t="s">
        <v>1753</v>
      </c>
      <c r="D130" s="603" t="s">
        <v>1816</v>
      </c>
    </row>
    <row r="131" spans="1:4">
      <c r="A131" s="621" t="s">
        <v>1803</v>
      </c>
      <c r="B131" s="621"/>
      <c r="C131" s="641" t="s">
        <v>1753</v>
      </c>
      <c r="D131" s="621" t="s">
        <v>1957</v>
      </c>
    </row>
    <row r="132" spans="1:4">
      <c r="A132" s="621" t="s">
        <v>1803</v>
      </c>
      <c r="B132" s="621"/>
      <c r="C132" s="641" t="s">
        <v>1753</v>
      </c>
      <c r="D132" s="603" t="s">
        <v>1817</v>
      </c>
    </row>
    <row r="133" spans="1:4">
      <c r="A133" s="621" t="s">
        <v>1803</v>
      </c>
      <c r="B133" s="621"/>
      <c r="C133" s="641" t="s">
        <v>1753</v>
      </c>
      <c r="D133" s="603" t="s">
        <v>1818</v>
      </c>
    </row>
    <row r="134" spans="1:4">
      <c r="A134" s="621" t="s">
        <v>1803</v>
      </c>
      <c r="B134" s="621"/>
      <c r="C134" s="641" t="s">
        <v>1753</v>
      </c>
      <c r="D134" s="603" t="s">
        <v>1819</v>
      </c>
    </row>
    <row r="135" spans="1:4">
      <c r="A135" s="621" t="s">
        <v>1803</v>
      </c>
      <c r="B135" s="621"/>
      <c r="C135" s="641" t="s">
        <v>1753</v>
      </c>
      <c r="D135" s="603" t="s">
        <v>1820</v>
      </c>
    </row>
    <row r="136" spans="1:4">
      <c r="A136" s="621" t="s">
        <v>1803</v>
      </c>
      <c r="B136" s="621"/>
      <c r="C136" s="641" t="s">
        <v>1763</v>
      </c>
      <c r="D136" s="623" t="s">
        <v>1298</v>
      </c>
    </row>
    <row r="137" spans="1:4">
      <c r="A137" s="621" t="s">
        <v>1803</v>
      </c>
      <c r="B137" s="621"/>
      <c r="C137" s="641" t="s">
        <v>1763</v>
      </c>
      <c r="D137" s="609" t="s">
        <v>17</v>
      </c>
    </row>
    <row r="138" spans="1:4">
      <c r="A138" s="621" t="s">
        <v>1803</v>
      </c>
      <c r="B138" s="621"/>
      <c r="C138" s="641" t="s">
        <v>1763</v>
      </c>
      <c r="D138" s="609" t="s">
        <v>18</v>
      </c>
    </row>
    <row r="139" spans="1:4">
      <c r="A139" s="621" t="s">
        <v>1803</v>
      </c>
      <c r="B139" s="621"/>
      <c r="C139" s="641" t="s">
        <v>1763</v>
      </c>
      <c r="D139" s="609" t="s">
        <v>522</v>
      </c>
    </row>
    <row r="140" spans="1:4">
      <c r="A140" s="621" t="s">
        <v>1803</v>
      </c>
      <c r="B140" s="621"/>
      <c r="C140" s="641" t="s">
        <v>1763</v>
      </c>
      <c r="D140" s="609" t="s">
        <v>1821</v>
      </c>
    </row>
    <row r="141" spans="1:4">
      <c r="A141" s="621" t="s">
        <v>1803</v>
      </c>
      <c r="B141" s="621"/>
      <c r="C141" s="641" t="s">
        <v>1763</v>
      </c>
      <c r="D141" s="609" t="s">
        <v>239</v>
      </c>
    </row>
    <row r="142" spans="1:4">
      <c r="A142" s="621" t="s">
        <v>1803</v>
      </c>
      <c r="B142" s="621"/>
      <c r="C142" s="641" t="s">
        <v>1763</v>
      </c>
      <c r="D142" s="628" t="s">
        <v>1664</v>
      </c>
    </row>
    <row r="143" spans="1:4">
      <c r="A143" s="621" t="s">
        <v>1803</v>
      </c>
      <c r="B143" s="621"/>
      <c r="C143" s="641" t="s">
        <v>1763</v>
      </c>
      <c r="D143" s="621" t="s">
        <v>357</v>
      </c>
    </row>
    <row r="144" spans="1:4">
      <c r="A144" s="621" t="s">
        <v>1803</v>
      </c>
      <c r="B144" s="621"/>
      <c r="C144" s="641" t="s">
        <v>1763</v>
      </c>
      <c r="D144" s="621" t="s">
        <v>1822</v>
      </c>
    </row>
    <row r="145" spans="1:4">
      <c r="A145" s="620" t="s">
        <v>1823</v>
      </c>
      <c r="B145" s="620"/>
      <c r="C145" s="641" t="s">
        <v>1461</v>
      </c>
      <c r="D145" s="612" t="s">
        <v>54</v>
      </c>
    </row>
    <row r="146" spans="1:4">
      <c r="A146" s="620" t="s">
        <v>1823</v>
      </c>
      <c r="B146" s="620"/>
      <c r="C146" s="641" t="s">
        <v>1461</v>
      </c>
      <c r="D146" s="612" t="s">
        <v>35</v>
      </c>
    </row>
    <row r="147" spans="1:4">
      <c r="A147" s="620" t="s">
        <v>1823</v>
      </c>
      <c r="B147" s="620"/>
      <c r="C147" s="641" t="s">
        <v>1461</v>
      </c>
      <c r="D147" s="612" t="s">
        <v>1824</v>
      </c>
    </row>
    <row r="148" spans="1:4">
      <c r="A148" s="620" t="s">
        <v>1823</v>
      </c>
      <c r="B148" s="620"/>
      <c r="C148" s="641" t="s">
        <v>1461</v>
      </c>
      <c r="D148" s="612" t="s">
        <v>1825</v>
      </c>
    </row>
    <row r="149" spans="1:4">
      <c r="A149" s="620" t="s">
        <v>1823</v>
      </c>
      <c r="B149" s="620"/>
      <c r="C149" s="641" t="s">
        <v>1461</v>
      </c>
      <c r="D149" s="612" t="s">
        <v>1826</v>
      </c>
    </row>
    <row r="150" spans="1:4">
      <c r="A150" s="620" t="s">
        <v>1823</v>
      </c>
      <c r="B150" s="620"/>
      <c r="C150" s="641" t="s">
        <v>1461</v>
      </c>
      <c r="D150" s="612" t="s">
        <v>1827</v>
      </c>
    </row>
    <row r="151" spans="1:4">
      <c r="A151" s="620" t="s">
        <v>1823</v>
      </c>
      <c r="B151" s="620"/>
      <c r="C151" s="641" t="s">
        <v>1461</v>
      </c>
      <c r="D151" s="612" t="s">
        <v>1828</v>
      </c>
    </row>
    <row r="152" spans="1:4">
      <c r="A152" s="620" t="s">
        <v>1823</v>
      </c>
      <c r="B152" s="620"/>
      <c r="C152" s="641" t="s">
        <v>1461</v>
      </c>
      <c r="D152" s="611" t="s">
        <v>800</v>
      </c>
    </row>
    <row r="153" spans="1:4">
      <c r="A153" s="620" t="s">
        <v>1823</v>
      </c>
      <c r="B153" s="620"/>
      <c r="C153" s="641" t="s">
        <v>1461</v>
      </c>
      <c r="D153" s="611" t="s">
        <v>1694</v>
      </c>
    </row>
    <row r="154" spans="1:4">
      <c r="A154" s="620" t="s">
        <v>1823</v>
      </c>
      <c r="B154" s="620"/>
      <c r="C154" s="641" t="s">
        <v>1461</v>
      </c>
      <c r="D154" s="612" t="s">
        <v>37</v>
      </c>
    </row>
    <row r="155" spans="1:4">
      <c r="A155" s="620" t="s">
        <v>1823</v>
      </c>
      <c r="B155" s="620"/>
      <c r="C155" s="641" t="s">
        <v>1461</v>
      </c>
      <c r="D155" s="612" t="s">
        <v>36</v>
      </c>
    </row>
    <row r="156" spans="1:4">
      <c r="A156" s="620" t="s">
        <v>1823</v>
      </c>
      <c r="B156" s="620"/>
      <c r="C156" s="641" t="s">
        <v>1461</v>
      </c>
      <c r="D156" s="611" t="s">
        <v>1829</v>
      </c>
    </row>
    <row r="157" spans="1:4">
      <c r="A157" s="620" t="s">
        <v>1823</v>
      </c>
      <c r="B157" s="620"/>
      <c r="C157" s="641" t="s">
        <v>1753</v>
      </c>
      <c r="D157" s="611" t="s">
        <v>1830</v>
      </c>
    </row>
    <row r="158" spans="1:4">
      <c r="A158" s="620" t="s">
        <v>1823</v>
      </c>
      <c r="B158" s="620"/>
      <c r="C158" s="641" t="s">
        <v>1753</v>
      </c>
      <c r="D158" s="611" t="s">
        <v>1941</v>
      </c>
    </row>
    <row r="159" spans="1:4">
      <c r="A159" s="620" t="s">
        <v>1823</v>
      </c>
      <c r="B159" s="620"/>
      <c r="C159" s="641" t="s">
        <v>1753</v>
      </c>
      <c r="D159" s="611" t="s">
        <v>1942</v>
      </c>
    </row>
    <row r="160" spans="1:4">
      <c r="A160" s="620" t="s">
        <v>1823</v>
      </c>
      <c r="B160" s="620"/>
      <c r="C160" s="641" t="s">
        <v>1753</v>
      </c>
      <c r="D160" s="611" t="s">
        <v>1831</v>
      </c>
    </row>
    <row r="161" spans="1:4">
      <c r="A161" s="620" t="s">
        <v>1823</v>
      </c>
      <c r="B161" s="620"/>
      <c r="C161" s="641" t="s">
        <v>1753</v>
      </c>
      <c r="D161" s="611" t="s">
        <v>1832</v>
      </c>
    </row>
    <row r="162" spans="1:4">
      <c r="A162" s="620" t="s">
        <v>1823</v>
      </c>
      <c r="B162" s="620"/>
      <c r="C162" s="641" t="s">
        <v>1753</v>
      </c>
      <c r="D162" s="611" t="s">
        <v>1833</v>
      </c>
    </row>
    <row r="163" spans="1:4">
      <c r="A163" s="620" t="s">
        <v>1823</v>
      </c>
      <c r="B163" s="620"/>
      <c r="C163" s="641" t="s">
        <v>1753</v>
      </c>
      <c r="D163" s="611" t="s">
        <v>1695</v>
      </c>
    </row>
    <row r="164" spans="1:4">
      <c r="A164" s="620" t="s">
        <v>1823</v>
      </c>
      <c r="B164" s="620"/>
      <c r="C164" s="641" t="s">
        <v>1753</v>
      </c>
      <c r="D164" s="611" t="s">
        <v>1834</v>
      </c>
    </row>
    <row r="165" spans="1:4">
      <c r="A165" s="620" t="s">
        <v>1823</v>
      </c>
      <c r="B165" s="620"/>
      <c r="C165" s="641" t="s">
        <v>1753</v>
      </c>
      <c r="D165" s="611" t="s">
        <v>1835</v>
      </c>
    </row>
    <row r="166" spans="1:4">
      <c r="A166" s="620" t="s">
        <v>1823</v>
      </c>
      <c r="B166" s="620"/>
      <c r="C166" s="641" t="s">
        <v>1753</v>
      </c>
      <c r="D166" s="603" t="s">
        <v>1836</v>
      </c>
    </row>
    <row r="167" spans="1:4">
      <c r="A167" s="620" t="s">
        <v>1823</v>
      </c>
      <c r="B167" s="620"/>
      <c r="C167" s="641" t="s">
        <v>1753</v>
      </c>
      <c r="D167" s="603" t="s">
        <v>1837</v>
      </c>
    </row>
    <row r="168" spans="1:4">
      <c r="A168" s="620" t="s">
        <v>1823</v>
      </c>
      <c r="B168" s="620"/>
      <c r="C168" s="641" t="s">
        <v>1753</v>
      </c>
      <c r="D168" s="611" t="s">
        <v>1838</v>
      </c>
    </row>
    <row r="169" spans="1:4">
      <c r="A169" s="620" t="s">
        <v>1823</v>
      </c>
      <c r="B169" s="620"/>
      <c r="C169" s="641" t="s">
        <v>1753</v>
      </c>
      <c r="D169" s="611" t="s">
        <v>1839</v>
      </c>
    </row>
    <row r="170" spans="1:4">
      <c r="A170" s="620" t="s">
        <v>1823</v>
      </c>
      <c r="B170" s="620"/>
      <c r="C170" s="641" t="s">
        <v>1753</v>
      </c>
      <c r="D170" s="611" t="s">
        <v>1840</v>
      </c>
    </row>
    <row r="171" spans="1:4">
      <c r="A171" s="620" t="s">
        <v>1823</v>
      </c>
      <c r="B171" s="620"/>
      <c r="C171" s="641" t="s">
        <v>1753</v>
      </c>
      <c r="D171" s="611" t="s">
        <v>1933</v>
      </c>
    </row>
    <row r="172" spans="1:4">
      <c r="A172" s="620" t="s">
        <v>1823</v>
      </c>
      <c r="B172" s="620"/>
      <c r="C172" s="641" t="s">
        <v>1763</v>
      </c>
      <c r="D172" s="612" t="s">
        <v>1841</v>
      </c>
    </row>
    <row r="173" spans="1:4">
      <c r="A173" s="620" t="s">
        <v>1823</v>
      </c>
      <c r="B173" s="620"/>
      <c r="C173" s="641" t="s">
        <v>1763</v>
      </c>
      <c r="D173" s="612" t="s">
        <v>1842</v>
      </c>
    </row>
    <row r="174" spans="1:4">
      <c r="A174" s="620" t="s">
        <v>1823</v>
      </c>
      <c r="B174" s="620"/>
      <c r="C174" s="641" t="s">
        <v>1763</v>
      </c>
      <c r="D174" s="612" t="s">
        <v>1843</v>
      </c>
    </row>
    <row r="175" spans="1:4">
      <c r="A175" s="620" t="s">
        <v>1823</v>
      </c>
      <c r="B175" s="620"/>
      <c r="C175" s="641" t="s">
        <v>1763</v>
      </c>
      <c r="D175" s="610" t="s">
        <v>1234</v>
      </c>
    </row>
    <row r="176" spans="1:4">
      <c r="A176" s="620" t="s">
        <v>1823</v>
      </c>
      <c r="B176" s="620"/>
      <c r="C176" s="641" t="s">
        <v>1763</v>
      </c>
      <c r="D176" s="610" t="s">
        <v>1402</v>
      </c>
    </row>
    <row r="177" spans="1:4">
      <c r="A177" s="620" t="s">
        <v>1823</v>
      </c>
      <c r="B177" s="620"/>
      <c r="C177" s="641" t="s">
        <v>1763</v>
      </c>
      <c r="D177" s="611" t="s">
        <v>1262</v>
      </c>
    </row>
    <row r="178" spans="1:4">
      <c r="A178" s="620" t="s">
        <v>1823</v>
      </c>
      <c r="B178" s="620"/>
      <c r="C178" s="641" t="s">
        <v>1763</v>
      </c>
      <c r="D178" s="611" t="s">
        <v>1688</v>
      </c>
    </row>
    <row r="179" spans="1:4">
      <c r="A179" s="620" t="s">
        <v>1823</v>
      </c>
      <c r="B179" s="620"/>
      <c r="C179" s="641" t="s">
        <v>1763</v>
      </c>
      <c r="D179" s="612" t="s">
        <v>209</v>
      </c>
    </row>
    <row r="180" spans="1:4">
      <c r="A180" s="620" t="s">
        <v>1823</v>
      </c>
      <c r="B180" s="620"/>
      <c r="C180" s="641" t="s">
        <v>1763</v>
      </c>
      <c r="D180" s="612" t="s">
        <v>532</v>
      </c>
    </row>
    <row r="181" spans="1:4">
      <c r="A181" s="620" t="s">
        <v>1823</v>
      </c>
      <c r="B181" s="620"/>
      <c r="C181" s="641" t="s">
        <v>1763</v>
      </c>
      <c r="D181" s="612" t="s">
        <v>543</v>
      </c>
    </row>
    <row r="182" spans="1:4">
      <c r="A182" s="620" t="s">
        <v>1823</v>
      </c>
      <c r="B182" s="620"/>
      <c r="C182" s="641" t="s">
        <v>1763</v>
      </c>
      <c r="D182" s="612" t="s">
        <v>599</v>
      </c>
    </row>
    <row r="183" spans="1:4">
      <c r="A183" s="620" t="s">
        <v>1823</v>
      </c>
      <c r="B183" s="620"/>
      <c r="C183" s="641" t="s">
        <v>1763</v>
      </c>
      <c r="D183" s="612" t="s">
        <v>567</v>
      </c>
    </row>
    <row r="184" spans="1:4">
      <c r="A184" s="620" t="s">
        <v>1823</v>
      </c>
      <c r="B184" s="620"/>
      <c r="C184" s="641" t="s">
        <v>1763</v>
      </c>
      <c r="D184" s="612" t="s">
        <v>568</v>
      </c>
    </row>
    <row r="185" spans="1:4">
      <c r="A185" s="620" t="s">
        <v>1823</v>
      </c>
      <c r="B185" s="620"/>
      <c r="C185" s="641" t="s">
        <v>1763</v>
      </c>
      <c r="D185" s="612" t="s">
        <v>524</v>
      </c>
    </row>
    <row r="186" spans="1:4">
      <c r="A186" s="620" t="s">
        <v>1823</v>
      </c>
      <c r="B186" s="620"/>
      <c r="C186" s="641" t="s">
        <v>1763</v>
      </c>
      <c r="D186" s="612" t="s">
        <v>1658</v>
      </c>
    </row>
    <row r="187" spans="1:4">
      <c r="A187" s="620" t="s">
        <v>1823</v>
      </c>
      <c r="B187" s="620"/>
      <c r="C187" s="641" t="s">
        <v>1763</v>
      </c>
      <c r="D187" s="612" t="s">
        <v>525</v>
      </c>
    </row>
    <row r="188" spans="1:4">
      <c r="A188" s="620" t="s">
        <v>1823</v>
      </c>
      <c r="B188" s="620"/>
      <c r="C188" s="641" t="s">
        <v>1763</v>
      </c>
      <c r="D188" s="612" t="s">
        <v>526</v>
      </c>
    </row>
    <row r="189" spans="1:4">
      <c r="A189" s="620" t="s">
        <v>1823</v>
      </c>
      <c r="B189" s="620"/>
      <c r="C189" s="641" t="s">
        <v>1763</v>
      </c>
      <c r="D189" s="624" t="s">
        <v>1483</v>
      </c>
    </row>
    <row r="190" spans="1:4">
      <c r="A190" s="620" t="s">
        <v>1823</v>
      </c>
      <c r="B190" s="620"/>
      <c r="C190" s="641" t="s">
        <v>1763</v>
      </c>
      <c r="D190" s="612" t="s">
        <v>527</v>
      </c>
    </row>
    <row r="191" spans="1:4">
      <c r="A191" s="620" t="s">
        <v>1823</v>
      </c>
      <c r="B191" s="620"/>
      <c r="C191" s="641" t="s">
        <v>1763</v>
      </c>
      <c r="D191" s="612" t="s">
        <v>1947</v>
      </c>
    </row>
    <row r="192" spans="1:4">
      <c r="A192" s="620" t="s">
        <v>1823</v>
      </c>
      <c r="B192" s="620"/>
      <c r="C192" s="641" t="s">
        <v>1763</v>
      </c>
      <c r="D192" s="612" t="s">
        <v>528</v>
      </c>
    </row>
    <row r="193" spans="1:4">
      <c r="A193" s="620" t="s">
        <v>1823</v>
      </c>
      <c r="B193" s="620"/>
      <c r="C193" s="641" t="s">
        <v>1763</v>
      </c>
      <c r="D193" s="612" t="s">
        <v>529</v>
      </c>
    </row>
    <row r="194" spans="1:4">
      <c r="A194" s="620" t="s">
        <v>1823</v>
      </c>
      <c r="B194" s="620"/>
      <c r="C194" s="641" t="s">
        <v>1763</v>
      </c>
      <c r="D194" s="603" t="s">
        <v>1647</v>
      </c>
    </row>
    <row r="195" spans="1:4">
      <c r="A195" s="620" t="s">
        <v>1823</v>
      </c>
      <c r="B195" s="620"/>
      <c r="C195" s="641" t="s">
        <v>1763</v>
      </c>
      <c r="D195" s="603" t="s">
        <v>1844</v>
      </c>
    </row>
    <row r="196" spans="1:4">
      <c r="A196" s="620" t="s">
        <v>1823</v>
      </c>
      <c r="B196" s="620"/>
      <c r="C196" s="641" t="s">
        <v>1763</v>
      </c>
      <c r="D196" s="603" t="s">
        <v>1845</v>
      </c>
    </row>
    <row r="197" spans="1:4">
      <c r="A197" s="620" t="s">
        <v>1823</v>
      </c>
      <c r="B197" s="620"/>
      <c r="C197" s="641" t="s">
        <v>1763</v>
      </c>
      <c r="D197" s="612" t="s">
        <v>351</v>
      </c>
    </row>
    <row r="198" spans="1:4">
      <c r="A198" s="620" t="s">
        <v>1823</v>
      </c>
      <c r="B198" s="620"/>
      <c r="C198" s="641" t="s">
        <v>1763</v>
      </c>
      <c r="D198" s="612" t="s">
        <v>298</v>
      </c>
    </row>
    <row r="199" spans="1:4">
      <c r="A199" s="620" t="s">
        <v>1823</v>
      </c>
      <c r="B199" s="620"/>
      <c r="C199" s="641" t="s">
        <v>1763</v>
      </c>
      <c r="D199" s="612" t="s">
        <v>354</v>
      </c>
    </row>
    <row r="200" spans="1:4">
      <c r="A200" s="620" t="s">
        <v>1823</v>
      </c>
      <c r="B200" s="620"/>
      <c r="C200" s="641" t="s">
        <v>1763</v>
      </c>
      <c r="D200" s="612" t="s">
        <v>299</v>
      </c>
    </row>
    <row r="201" spans="1:4">
      <c r="A201" s="620" t="s">
        <v>1823</v>
      </c>
      <c r="B201" s="620"/>
      <c r="C201" s="641" t="s">
        <v>1763</v>
      </c>
      <c r="D201" s="612" t="s">
        <v>305</v>
      </c>
    </row>
    <row r="202" spans="1:4">
      <c r="A202" s="620" t="s">
        <v>1823</v>
      </c>
      <c r="B202" s="620"/>
      <c r="C202" s="641" t="s">
        <v>1763</v>
      </c>
      <c r="D202" s="612" t="s">
        <v>356</v>
      </c>
    </row>
    <row r="203" spans="1:4">
      <c r="A203" s="620" t="s">
        <v>1823</v>
      </c>
      <c r="B203" s="620"/>
      <c r="C203" s="641" t="s">
        <v>1763</v>
      </c>
      <c r="D203" s="612" t="s">
        <v>357</v>
      </c>
    </row>
    <row r="204" spans="1:4">
      <c r="A204" s="620" t="s">
        <v>1823</v>
      </c>
      <c r="B204" s="620"/>
      <c r="C204" s="641" t="s">
        <v>1763</v>
      </c>
      <c r="D204" s="612" t="s">
        <v>358</v>
      </c>
    </row>
    <row r="205" spans="1:4">
      <c r="A205" s="613" t="s">
        <v>1861</v>
      </c>
      <c r="B205" s="613"/>
      <c r="C205" s="641" t="s">
        <v>1461</v>
      </c>
      <c r="D205" s="606" t="s">
        <v>42</v>
      </c>
    </row>
    <row r="206" spans="1:4">
      <c r="A206" s="613" t="s">
        <v>1861</v>
      </c>
      <c r="B206" s="613"/>
      <c r="C206" s="641" t="s">
        <v>1461</v>
      </c>
      <c r="D206" s="606" t="s">
        <v>1846</v>
      </c>
    </row>
    <row r="207" spans="1:4">
      <c r="A207" s="613" t="s">
        <v>1861</v>
      </c>
      <c r="B207" s="613"/>
      <c r="C207" s="641" t="s">
        <v>1461</v>
      </c>
      <c r="D207" s="606" t="s">
        <v>44</v>
      </c>
    </row>
    <row r="208" spans="1:4">
      <c r="A208" s="613" t="s">
        <v>1861</v>
      </c>
      <c r="B208" s="613"/>
      <c r="C208" s="641" t="s">
        <v>1461</v>
      </c>
      <c r="D208" s="606" t="s">
        <v>1847</v>
      </c>
    </row>
    <row r="209" spans="1:4">
      <c r="A209" s="613" t="s">
        <v>1861</v>
      </c>
      <c r="B209" s="613"/>
      <c r="C209" s="641" t="s">
        <v>1461</v>
      </c>
      <c r="D209" s="606" t="s">
        <v>1848</v>
      </c>
    </row>
    <row r="210" spans="1:4">
      <c r="A210" s="613" t="s">
        <v>1861</v>
      </c>
      <c r="B210" s="613"/>
      <c r="C210" s="641" t="s">
        <v>1753</v>
      </c>
      <c r="D210" s="603" t="s">
        <v>1849</v>
      </c>
    </row>
    <row r="211" spans="1:4">
      <c r="A211" s="613" t="s">
        <v>1861</v>
      </c>
      <c r="B211" s="613"/>
      <c r="C211" s="641" t="s">
        <v>1753</v>
      </c>
      <c r="D211" s="603" t="s">
        <v>1850</v>
      </c>
    </row>
    <row r="212" spans="1:4">
      <c r="A212" s="613" t="s">
        <v>1861</v>
      </c>
      <c r="B212" s="613"/>
      <c r="C212" s="641" t="s">
        <v>1753</v>
      </c>
      <c r="D212" s="603" t="s">
        <v>1851</v>
      </c>
    </row>
    <row r="213" spans="1:4">
      <c r="A213" s="613" t="s">
        <v>1861</v>
      </c>
      <c r="B213" s="613"/>
      <c r="C213" s="641" t="s">
        <v>1753</v>
      </c>
      <c r="D213" s="624" t="s">
        <v>1852</v>
      </c>
    </row>
    <row r="214" spans="1:4">
      <c r="A214" s="613" t="s">
        <v>1861</v>
      </c>
      <c r="B214" s="613"/>
      <c r="C214" s="641" t="s">
        <v>1753</v>
      </c>
      <c r="D214" s="624" t="s">
        <v>1853</v>
      </c>
    </row>
    <row r="215" spans="1:4">
      <c r="A215" s="613" t="s">
        <v>1861</v>
      </c>
      <c r="B215" s="613"/>
      <c r="C215" s="641" t="s">
        <v>1753</v>
      </c>
      <c r="D215" s="624" t="s">
        <v>1854</v>
      </c>
    </row>
    <row r="216" spans="1:4">
      <c r="A216" s="613" t="s">
        <v>1861</v>
      </c>
      <c r="B216" s="613"/>
      <c r="C216" s="641" t="s">
        <v>1753</v>
      </c>
      <c r="D216" s="624" t="s">
        <v>1855</v>
      </c>
    </row>
    <row r="217" spans="1:4">
      <c r="A217" s="613" t="s">
        <v>1861</v>
      </c>
      <c r="B217" s="613"/>
      <c r="C217" s="641" t="s">
        <v>1753</v>
      </c>
      <c r="D217" s="624" t="s">
        <v>1856</v>
      </c>
    </row>
    <row r="218" spans="1:4">
      <c r="A218" s="613" t="s">
        <v>1861</v>
      </c>
      <c r="B218" s="613"/>
      <c r="C218" s="641" t="s">
        <v>1753</v>
      </c>
      <c r="D218" s="603" t="s">
        <v>1857</v>
      </c>
    </row>
    <row r="219" spans="1:4">
      <c r="A219" s="613" t="s">
        <v>1861</v>
      </c>
      <c r="B219" s="613"/>
      <c r="C219" s="641" t="s">
        <v>1753</v>
      </c>
      <c r="D219" s="603" t="s">
        <v>1858</v>
      </c>
    </row>
    <row r="220" spans="1:4">
      <c r="A220" s="613" t="s">
        <v>1861</v>
      </c>
      <c r="B220" s="613"/>
      <c r="C220" s="641" t="s">
        <v>1763</v>
      </c>
      <c r="D220" s="614" t="s">
        <v>503</v>
      </c>
    </row>
    <row r="221" spans="1:4">
      <c r="A221" s="613" t="s">
        <v>1861</v>
      </c>
      <c r="B221" s="613"/>
      <c r="C221" s="641" t="s">
        <v>1763</v>
      </c>
      <c r="D221" s="605" t="s">
        <v>292</v>
      </c>
    </row>
    <row r="222" spans="1:4">
      <c r="A222" s="613" t="s">
        <v>1861</v>
      </c>
      <c r="B222" s="613"/>
      <c r="C222" s="641" t="s">
        <v>1763</v>
      </c>
      <c r="D222" s="605" t="s">
        <v>504</v>
      </c>
    </row>
    <row r="223" spans="1:4">
      <c r="A223" s="613" t="s">
        <v>1861</v>
      </c>
      <c r="B223" s="613"/>
      <c r="C223" s="641" t="s">
        <v>1763</v>
      </c>
      <c r="D223" s="605" t="s">
        <v>505</v>
      </c>
    </row>
    <row r="224" spans="1:4">
      <c r="A224" s="613" t="s">
        <v>1861</v>
      </c>
      <c r="B224" s="613"/>
      <c r="C224" s="641" t="s">
        <v>1763</v>
      </c>
      <c r="D224" s="605" t="s">
        <v>1945</v>
      </c>
    </row>
    <row r="225" spans="1:4">
      <c r="A225" s="613" t="s">
        <v>1861</v>
      </c>
      <c r="B225" s="613"/>
      <c r="C225" s="641" t="s">
        <v>1763</v>
      </c>
      <c r="D225" s="615" t="s">
        <v>1663</v>
      </c>
    </row>
    <row r="226" spans="1:4">
      <c r="A226" s="613" t="s">
        <v>1861</v>
      </c>
      <c r="B226" s="613"/>
      <c r="C226" s="641" t="s">
        <v>1763</v>
      </c>
      <c r="D226" s="615" t="s">
        <v>1664</v>
      </c>
    </row>
    <row r="227" spans="1:4">
      <c r="A227" s="613" t="s">
        <v>1861</v>
      </c>
      <c r="B227" s="613"/>
      <c r="C227" s="641" t="s">
        <v>1763</v>
      </c>
      <c r="D227" s="624" t="s">
        <v>1341</v>
      </c>
    </row>
    <row r="228" spans="1:4">
      <c r="A228" s="613" t="s">
        <v>1861</v>
      </c>
      <c r="B228" s="613"/>
      <c r="C228" s="641" t="s">
        <v>1763</v>
      </c>
      <c r="D228" s="621" t="s">
        <v>1681</v>
      </c>
    </row>
    <row r="229" spans="1:4">
      <c r="A229" s="613" t="s">
        <v>1861</v>
      </c>
      <c r="B229" s="613"/>
      <c r="C229" s="641" t="s">
        <v>1763</v>
      </c>
      <c r="D229" s="625" t="s">
        <v>1672</v>
      </c>
    </row>
    <row r="230" spans="1:4">
      <c r="A230" s="613" t="s">
        <v>1861</v>
      </c>
      <c r="B230" s="613"/>
      <c r="C230" s="641" t="s">
        <v>1763</v>
      </c>
      <c r="D230" s="625" t="s">
        <v>1673</v>
      </c>
    </row>
    <row r="231" spans="1:4">
      <c r="A231" s="613" t="s">
        <v>1861</v>
      </c>
      <c r="B231" s="613"/>
      <c r="C231" s="641" t="s">
        <v>1763</v>
      </c>
      <c r="D231" s="620" t="s">
        <v>1675</v>
      </c>
    </row>
    <row r="232" spans="1:4">
      <c r="A232" s="613" t="s">
        <v>1861</v>
      </c>
      <c r="B232" s="613"/>
      <c r="C232" s="641" t="s">
        <v>1763</v>
      </c>
      <c r="D232" s="605" t="s">
        <v>508</v>
      </c>
    </row>
    <row r="233" spans="1:4">
      <c r="A233" s="613" t="s">
        <v>1861</v>
      </c>
      <c r="B233" s="613"/>
      <c r="C233" s="641" t="s">
        <v>1763</v>
      </c>
      <c r="D233" s="612" t="s">
        <v>1430</v>
      </c>
    </row>
    <row r="234" spans="1:4">
      <c r="A234" s="613" t="s">
        <v>1861</v>
      </c>
      <c r="B234" s="613"/>
      <c r="C234" s="641" t="s">
        <v>1763</v>
      </c>
      <c r="D234" s="620" t="s">
        <v>1682</v>
      </c>
    </row>
    <row r="235" spans="1:4">
      <c r="A235" s="613" t="s">
        <v>1861</v>
      </c>
      <c r="B235" s="613"/>
      <c r="C235" s="641" t="s">
        <v>1763</v>
      </c>
      <c r="D235" s="620" t="s">
        <v>1684</v>
      </c>
    </row>
    <row r="236" spans="1:4">
      <c r="A236" s="613" t="s">
        <v>1861</v>
      </c>
      <c r="B236" s="613"/>
      <c r="C236" s="641" t="s">
        <v>1763</v>
      </c>
      <c r="D236" s="625" t="s">
        <v>1667</v>
      </c>
    </row>
    <row r="237" spans="1:4">
      <c r="A237" s="613" t="s">
        <v>1861</v>
      </c>
      <c r="B237" s="613"/>
      <c r="C237" s="641" t="s">
        <v>1763</v>
      </c>
      <c r="D237" s="625" t="s">
        <v>1669</v>
      </c>
    </row>
    <row r="238" spans="1:4">
      <c r="A238" s="613" t="s">
        <v>1861</v>
      </c>
      <c r="B238" s="613"/>
      <c r="C238" s="641" t="s">
        <v>1763</v>
      </c>
      <c r="D238" s="625" t="s">
        <v>1670</v>
      </c>
    </row>
    <row r="239" spans="1:4">
      <c r="A239" s="613" t="s">
        <v>1861</v>
      </c>
      <c r="B239" s="613"/>
      <c r="C239" s="641" t="s">
        <v>1763</v>
      </c>
      <c r="D239" s="615" t="s">
        <v>173</v>
      </c>
    </row>
    <row r="240" spans="1:4">
      <c r="A240" s="613" t="s">
        <v>1861</v>
      </c>
      <c r="B240" s="613"/>
      <c r="C240" s="641" t="s">
        <v>1763</v>
      </c>
      <c r="D240" s="615" t="s">
        <v>1665</v>
      </c>
    </row>
    <row r="241" spans="1:4">
      <c r="A241" s="613" t="s">
        <v>1861</v>
      </c>
      <c r="B241" s="613"/>
      <c r="C241" s="641" t="s">
        <v>1763</v>
      </c>
      <c r="D241" s="615" t="s">
        <v>1666</v>
      </c>
    </row>
    <row r="242" spans="1:4">
      <c r="A242" s="613" t="s">
        <v>1861</v>
      </c>
      <c r="B242" s="613"/>
      <c r="C242" s="641" t="s">
        <v>1763</v>
      </c>
      <c r="D242" s="620" t="s">
        <v>1859</v>
      </c>
    </row>
    <row r="243" spans="1:4">
      <c r="A243" s="613" t="s">
        <v>1861</v>
      </c>
      <c r="B243" s="613"/>
      <c r="C243" s="641" t="s">
        <v>1763</v>
      </c>
      <c r="D243" s="620" t="s">
        <v>1860</v>
      </c>
    </row>
    <row r="244" spans="1:4">
      <c r="A244" s="613" t="s">
        <v>1861</v>
      </c>
      <c r="B244" s="613"/>
      <c r="C244" s="641" t="s">
        <v>1763</v>
      </c>
      <c r="D244" s="620" t="s">
        <v>1658</v>
      </c>
    </row>
    <row r="245" spans="1:4">
      <c r="A245" s="608" t="s">
        <v>1862</v>
      </c>
      <c r="B245" s="608"/>
      <c r="C245" s="641" t="s">
        <v>1461</v>
      </c>
      <c r="D245" s="621" t="s">
        <v>1863</v>
      </c>
    </row>
    <row r="246" spans="1:4">
      <c r="A246" s="608" t="s">
        <v>1862</v>
      </c>
      <c r="B246" s="608"/>
      <c r="C246" s="641" t="s">
        <v>1461</v>
      </c>
      <c r="D246" s="621" t="s">
        <v>1864</v>
      </c>
    </row>
    <row r="247" spans="1:4">
      <c r="A247" s="608" t="s">
        <v>1862</v>
      </c>
      <c r="B247" s="608"/>
      <c r="C247" s="641" t="s">
        <v>1461</v>
      </c>
      <c r="D247" s="621" t="s">
        <v>929</v>
      </c>
    </row>
    <row r="248" spans="1:4">
      <c r="A248" s="608" t="s">
        <v>1862</v>
      </c>
      <c r="B248" s="608"/>
      <c r="C248" s="641" t="s">
        <v>1461</v>
      </c>
      <c r="D248" s="621" t="s">
        <v>930</v>
      </c>
    </row>
    <row r="249" spans="1:4">
      <c r="A249" s="608" t="s">
        <v>1862</v>
      </c>
      <c r="B249" s="608"/>
      <c r="C249" s="641" t="s">
        <v>1461</v>
      </c>
      <c r="D249" s="621" t="s">
        <v>1746</v>
      </c>
    </row>
    <row r="250" spans="1:4">
      <c r="A250" s="608" t="s">
        <v>1862</v>
      </c>
      <c r="B250" s="608"/>
      <c r="C250" s="641" t="s">
        <v>1461</v>
      </c>
      <c r="D250" s="621" t="s">
        <v>1201</v>
      </c>
    </row>
    <row r="251" spans="1:4">
      <c r="A251" s="608" t="s">
        <v>1862</v>
      </c>
      <c r="B251" s="608"/>
      <c r="C251" s="641" t="s">
        <v>1461</v>
      </c>
      <c r="D251" s="621" t="s">
        <v>934</v>
      </c>
    </row>
    <row r="252" spans="1:4">
      <c r="A252" s="608" t="s">
        <v>1862</v>
      </c>
      <c r="B252" s="608"/>
      <c r="C252" s="641" t="s">
        <v>1461</v>
      </c>
      <c r="D252" s="621" t="s">
        <v>1721</v>
      </c>
    </row>
    <row r="253" spans="1:4">
      <c r="A253" s="608" t="s">
        <v>1862</v>
      </c>
      <c r="B253" s="608"/>
      <c r="C253" s="641" t="s">
        <v>1461</v>
      </c>
      <c r="D253" s="621" t="s">
        <v>1720</v>
      </c>
    </row>
    <row r="254" spans="1:4">
      <c r="A254" s="608" t="s">
        <v>1862</v>
      </c>
      <c r="B254" s="608"/>
      <c r="C254" s="641" t="s">
        <v>1461</v>
      </c>
      <c r="D254" s="621" t="s">
        <v>274</v>
      </c>
    </row>
    <row r="255" spans="1:4">
      <c r="A255" s="608" t="s">
        <v>1862</v>
      </c>
      <c r="B255" s="608"/>
      <c r="C255" s="641" t="s">
        <v>1461</v>
      </c>
      <c r="D255" s="621" t="s">
        <v>1296</v>
      </c>
    </row>
    <row r="256" spans="1:4">
      <c r="A256" s="608" t="s">
        <v>1862</v>
      </c>
      <c r="B256" s="608"/>
      <c r="C256" s="641" t="s">
        <v>1753</v>
      </c>
      <c r="D256" s="621" t="s">
        <v>1865</v>
      </c>
    </row>
    <row r="257" spans="1:4">
      <c r="A257" s="608" t="s">
        <v>1862</v>
      </c>
      <c r="B257" s="608"/>
      <c r="C257" s="641" t="s">
        <v>1753</v>
      </c>
      <c r="D257" s="621" t="s">
        <v>1866</v>
      </c>
    </row>
    <row r="258" spans="1:4">
      <c r="A258" s="608" t="s">
        <v>1862</v>
      </c>
      <c r="B258" s="608"/>
      <c r="C258" s="641" t="s">
        <v>1753</v>
      </c>
      <c r="D258" s="621" t="s">
        <v>1867</v>
      </c>
    </row>
    <row r="259" spans="1:4">
      <c r="A259" s="608" t="s">
        <v>1862</v>
      </c>
      <c r="B259" s="608"/>
      <c r="C259" s="641" t="s">
        <v>1753</v>
      </c>
      <c r="D259" s="621" t="s">
        <v>1868</v>
      </c>
    </row>
    <row r="260" spans="1:4">
      <c r="A260" s="608" t="s">
        <v>1862</v>
      </c>
      <c r="B260" s="608"/>
      <c r="C260" s="641" t="s">
        <v>1753</v>
      </c>
      <c r="D260" s="621" t="s">
        <v>1773</v>
      </c>
    </row>
    <row r="261" spans="1:4">
      <c r="A261" s="608" t="s">
        <v>1862</v>
      </c>
      <c r="B261" s="608"/>
      <c r="C261" s="641" t="s">
        <v>1753</v>
      </c>
      <c r="D261" s="621" t="s">
        <v>1793</v>
      </c>
    </row>
    <row r="262" spans="1:4">
      <c r="A262" s="608" t="s">
        <v>1862</v>
      </c>
      <c r="B262" s="608"/>
      <c r="C262" s="641" t="s">
        <v>1753</v>
      </c>
      <c r="D262" s="621" t="s">
        <v>1869</v>
      </c>
    </row>
    <row r="263" spans="1:4">
      <c r="A263" s="608" t="s">
        <v>1862</v>
      </c>
      <c r="B263" s="608"/>
      <c r="C263" s="641" t="s">
        <v>1753</v>
      </c>
      <c r="D263" s="621" t="s">
        <v>1870</v>
      </c>
    </row>
    <row r="264" spans="1:4">
      <c r="A264" s="608" t="s">
        <v>1862</v>
      </c>
      <c r="B264" s="608"/>
      <c r="C264" s="641" t="s">
        <v>1753</v>
      </c>
      <c r="D264" s="621" t="s">
        <v>1771</v>
      </c>
    </row>
    <row r="265" spans="1:4">
      <c r="A265" s="608" t="s">
        <v>1862</v>
      </c>
      <c r="B265" s="608"/>
      <c r="C265" s="641" t="s">
        <v>1753</v>
      </c>
      <c r="D265" s="621" t="s">
        <v>1871</v>
      </c>
    </row>
    <row r="266" spans="1:4">
      <c r="A266" s="608" t="s">
        <v>1862</v>
      </c>
      <c r="B266" s="608"/>
      <c r="C266" s="641" t="s">
        <v>1753</v>
      </c>
      <c r="D266" s="621" t="s">
        <v>1872</v>
      </c>
    </row>
    <row r="267" spans="1:4">
      <c r="A267" s="608" t="s">
        <v>1862</v>
      </c>
      <c r="B267" s="608"/>
      <c r="C267" s="641" t="s">
        <v>1753</v>
      </c>
      <c r="D267" s="616" t="s">
        <v>1873</v>
      </c>
    </row>
    <row r="268" spans="1:4">
      <c r="A268" s="608" t="s">
        <v>1862</v>
      </c>
      <c r="B268" s="608"/>
      <c r="C268" s="641" t="s">
        <v>1763</v>
      </c>
      <c r="D268" s="609" t="s">
        <v>520</v>
      </c>
    </row>
    <row r="269" spans="1:4">
      <c r="A269" s="608" t="s">
        <v>1862</v>
      </c>
      <c r="B269" s="608"/>
      <c r="C269" s="641" t="s">
        <v>1763</v>
      </c>
      <c r="D269" s="609" t="s">
        <v>296</v>
      </c>
    </row>
    <row r="270" spans="1:4">
      <c r="A270" s="608" t="s">
        <v>1862</v>
      </c>
      <c r="B270" s="608"/>
      <c r="C270" s="641" t="s">
        <v>1763</v>
      </c>
      <c r="D270" s="609" t="s">
        <v>297</v>
      </c>
    </row>
    <row r="271" spans="1:4" ht="16.2">
      <c r="A271" s="608" t="s">
        <v>1862</v>
      </c>
      <c r="B271" s="608"/>
      <c r="C271" s="641" t="s">
        <v>1763</v>
      </c>
      <c r="D271" s="609" t="s">
        <v>1874</v>
      </c>
    </row>
    <row r="272" spans="1:4" ht="16.2">
      <c r="A272" s="608" t="s">
        <v>1862</v>
      </c>
      <c r="B272" s="608"/>
      <c r="C272" s="641" t="s">
        <v>1763</v>
      </c>
      <c r="D272" s="609" t="s">
        <v>1875</v>
      </c>
    </row>
    <row r="273" spans="1:4" ht="16.2">
      <c r="A273" s="608" t="s">
        <v>1862</v>
      </c>
      <c r="B273" s="608"/>
      <c r="C273" s="641" t="s">
        <v>1763</v>
      </c>
      <c r="D273" s="609" t="s">
        <v>1876</v>
      </c>
    </row>
    <row r="274" spans="1:4" ht="16.2">
      <c r="A274" s="608" t="s">
        <v>1862</v>
      </c>
      <c r="B274" s="608"/>
      <c r="C274" s="641" t="s">
        <v>1763</v>
      </c>
      <c r="D274" s="609" t="s">
        <v>1877</v>
      </c>
    </row>
    <row r="275" spans="1:4" ht="16.2">
      <c r="A275" s="608" t="s">
        <v>1862</v>
      </c>
      <c r="B275" s="608"/>
      <c r="C275" s="641" t="s">
        <v>1763</v>
      </c>
      <c r="D275" s="609" t="s">
        <v>1878</v>
      </c>
    </row>
    <row r="276" spans="1:4" ht="16.2">
      <c r="A276" s="608" t="s">
        <v>1862</v>
      </c>
      <c r="B276" s="608"/>
      <c r="C276" s="641" t="s">
        <v>1763</v>
      </c>
      <c r="D276" s="617" t="s">
        <v>1879</v>
      </c>
    </row>
    <row r="277" spans="1:4" ht="16.2">
      <c r="A277" s="608" t="s">
        <v>1862</v>
      </c>
      <c r="B277" s="608"/>
      <c r="C277" s="641" t="s">
        <v>1763</v>
      </c>
      <c r="D277" s="617" t="s">
        <v>1880</v>
      </c>
    </row>
    <row r="278" spans="1:4">
      <c r="A278" s="608" t="s">
        <v>1862</v>
      </c>
      <c r="B278" s="608"/>
      <c r="C278" s="641" t="s">
        <v>1763</v>
      </c>
      <c r="D278" s="609" t="s">
        <v>8</v>
      </c>
    </row>
    <row r="279" spans="1:4">
      <c r="A279" s="608" t="s">
        <v>1862</v>
      </c>
      <c r="B279" s="608"/>
      <c r="C279" s="641" t="s">
        <v>1763</v>
      </c>
      <c r="D279" s="622" t="s">
        <v>1672</v>
      </c>
    </row>
    <row r="280" spans="1:4">
      <c r="A280" s="608" t="s">
        <v>1862</v>
      </c>
      <c r="B280" s="608"/>
      <c r="C280" s="641" t="s">
        <v>1763</v>
      </c>
      <c r="D280" s="622" t="s">
        <v>1673</v>
      </c>
    </row>
    <row r="281" spans="1:4">
      <c r="A281" s="608" t="s">
        <v>1862</v>
      </c>
      <c r="B281" s="608"/>
      <c r="C281" s="641" t="s">
        <v>1763</v>
      </c>
      <c r="D281" s="621" t="s">
        <v>2154</v>
      </c>
    </row>
    <row r="282" spans="1:4">
      <c r="A282" s="608" t="s">
        <v>1862</v>
      </c>
      <c r="B282" s="608"/>
      <c r="C282" s="641" t="s">
        <v>1763</v>
      </c>
      <c r="D282" s="621" t="s">
        <v>2155</v>
      </c>
    </row>
    <row r="283" spans="1:4">
      <c r="A283" s="608" t="s">
        <v>1862</v>
      </c>
      <c r="B283" s="608"/>
      <c r="C283" s="641" t="s">
        <v>1763</v>
      </c>
      <c r="D283" s="621" t="s">
        <v>1706</v>
      </c>
    </row>
    <row r="284" spans="1:4">
      <c r="A284" s="608" t="s">
        <v>1937</v>
      </c>
      <c r="B284" s="608"/>
      <c r="C284" s="641" t="s">
        <v>1461</v>
      </c>
      <c r="D284" s="366" t="s">
        <v>1881</v>
      </c>
    </row>
    <row r="285" spans="1:4">
      <c r="A285" s="608" t="s">
        <v>1937</v>
      </c>
      <c r="B285" s="608"/>
      <c r="C285" s="641" t="s">
        <v>1461</v>
      </c>
      <c r="D285" s="366" t="s">
        <v>923</v>
      </c>
    </row>
    <row r="286" spans="1:4">
      <c r="A286" s="608" t="s">
        <v>1937</v>
      </c>
      <c r="B286" s="608"/>
      <c r="C286" s="641" t="s">
        <v>1461</v>
      </c>
      <c r="D286" s="366" t="s">
        <v>1296</v>
      </c>
    </row>
    <row r="287" spans="1:4">
      <c r="A287" s="608" t="s">
        <v>1937</v>
      </c>
      <c r="B287" s="608"/>
      <c r="C287" s="641" t="s">
        <v>1461</v>
      </c>
      <c r="D287" s="366" t="s">
        <v>924</v>
      </c>
    </row>
    <row r="288" spans="1:4">
      <c r="A288" s="608" t="s">
        <v>1937</v>
      </c>
      <c r="B288" s="608"/>
      <c r="C288" s="641" t="s">
        <v>1461</v>
      </c>
      <c r="D288" s="366" t="s">
        <v>1882</v>
      </c>
    </row>
    <row r="289" spans="1:4">
      <c r="A289" s="608" t="s">
        <v>1937</v>
      </c>
      <c r="B289" s="608"/>
      <c r="C289" s="641" t="s">
        <v>1461</v>
      </c>
      <c r="D289" s="366" t="s">
        <v>1938</v>
      </c>
    </row>
    <row r="290" spans="1:4">
      <c r="A290" s="608" t="s">
        <v>1937</v>
      </c>
      <c r="B290" s="608"/>
      <c r="C290" s="641" t="s">
        <v>1753</v>
      </c>
      <c r="D290" s="366" t="s">
        <v>1883</v>
      </c>
    </row>
    <row r="291" spans="1:4">
      <c r="A291" s="608" t="s">
        <v>1937</v>
      </c>
      <c r="B291" s="608"/>
      <c r="C291" s="641" t="s">
        <v>1753</v>
      </c>
      <c r="D291" s="603" t="s">
        <v>1884</v>
      </c>
    </row>
    <row r="292" spans="1:4">
      <c r="A292" s="608" t="s">
        <v>1937</v>
      </c>
      <c r="B292" s="608"/>
      <c r="C292" s="641" t="s">
        <v>1753</v>
      </c>
      <c r="D292" s="603" t="s">
        <v>1885</v>
      </c>
    </row>
    <row r="293" spans="1:4">
      <c r="A293" s="608" t="s">
        <v>1937</v>
      </c>
      <c r="B293" s="608"/>
      <c r="C293" s="641" t="s">
        <v>1753</v>
      </c>
      <c r="D293" s="610" t="s">
        <v>1886</v>
      </c>
    </row>
    <row r="294" spans="1:4">
      <c r="A294" s="608" t="s">
        <v>1937</v>
      </c>
      <c r="B294" s="608"/>
      <c r="C294" s="641" t="s">
        <v>1753</v>
      </c>
      <c r="D294" s="610" t="s">
        <v>1939</v>
      </c>
    </row>
    <row r="295" spans="1:4">
      <c r="A295" s="608" t="s">
        <v>1937</v>
      </c>
      <c r="B295" s="608"/>
      <c r="C295" s="641" t="s">
        <v>1753</v>
      </c>
      <c r="D295" s="366" t="s">
        <v>1887</v>
      </c>
    </row>
    <row r="296" spans="1:4">
      <c r="A296" s="608" t="s">
        <v>1937</v>
      </c>
      <c r="B296" s="608"/>
      <c r="C296" s="641" t="s">
        <v>1753</v>
      </c>
      <c r="D296" s="603" t="s">
        <v>1888</v>
      </c>
    </row>
    <row r="297" spans="1:4">
      <c r="A297" s="608" t="s">
        <v>1937</v>
      </c>
      <c r="B297" s="608"/>
      <c r="C297" s="641" t="s">
        <v>1753</v>
      </c>
      <c r="D297" s="603" t="s">
        <v>1889</v>
      </c>
    </row>
    <row r="298" spans="1:4">
      <c r="A298" s="608" t="s">
        <v>1937</v>
      </c>
      <c r="B298" s="608"/>
      <c r="C298" s="641" t="s">
        <v>1753</v>
      </c>
      <c r="D298" s="366" t="s">
        <v>1890</v>
      </c>
    </row>
    <row r="299" spans="1:4">
      <c r="A299" s="608" t="s">
        <v>1937</v>
      </c>
      <c r="B299" s="608"/>
      <c r="C299" s="641" t="s">
        <v>1753</v>
      </c>
      <c r="D299" s="366" t="s">
        <v>1891</v>
      </c>
    </row>
    <row r="300" spans="1:4">
      <c r="A300" s="608" t="s">
        <v>1937</v>
      </c>
      <c r="B300" s="608"/>
      <c r="C300" s="641" t="s">
        <v>1753</v>
      </c>
      <c r="D300" s="366" t="s">
        <v>1892</v>
      </c>
    </row>
    <row r="301" spans="1:4">
      <c r="A301" s="608" t="s">
        <v>1937</v>
      </c>
      <c r="B301" s="608"/>
      <c r="C301" s="641" t="s">
        <v>1753</v>
      </c>
      <c r="D301" s="366" t="s">
        <v>1893</v>
      </c>
    </row>
    <row r="302" spans="1:4">
      <c r="A302" s="608" t="s">
        <v>1937</v>
      </c>
      <c r="B302" s="608"/>
      <c r="C302" s="641" t="s">
        <v>1753</v>
      </c>
      <c r="D302" s="366" t="s">
        <v>1894</v>
      </c>
    </row>
    <row r="303" spans="1:4">
      <c r="A303" s="608" t="s">
        <v>1937</v>
      </c>
      <c r="B303" s="608"/>
      <c r="C303" s="641" t="s">
        <v>1753</v>
      </c>
      <c r="D303" s="366" t="s">
        <v>1794</v>
      </c>
    </row>
    <row r="304" spans="1:4">
      <c r="A304" s="608" t="s">
        <v>1937</v>
      </c>
      <c r="B304" s="608"/>
      <c r="C304" s="641" t="s">
        <v>1753</v>
      </c>
      <c r="D304" s="366" t="s">
        <v>1773</v>
      </c>
    </row>
    <row r="305" spans="1:4">
      <c r="A305" s="608" t="s">
        <v>1937</v>
      </c>
      <c r="B305" s="608"/>
      <c r="C305" s="641" t="s">
        <v>1753</v>
      </c>
      <c r="D305" s="366" t="s">
        <v>1856</v>
      </c>
    </row>
    <row r="306" spans="1:4">
      <c r="A306" s="608" t="s">
        <v>1937</v>
      </c>
      <c r="B306" s="608"/>
      <c r="C306" s="641" t="s">
        <v>1753</v>
      </c>
      <c r="D306" s="366" t="s">
        <v>1895</v>
      </c>
    </row>
    <row r="307" spans="1:4">
      <c r="A307" s="608" t="s">
        <v>1937</v>
      </c>
      <c r="B307" s="608"/>
      <c r="C307" s="641" t="s">
        <v>1763</v>
      </c>
      <c r="D307" s="366" t="s">
        <v>0</v>
      </c>
    </row>
    <row r="308" spans="1:4">
      <c r="A308" s="608" t="s">
        <v>1937</v>
      </c>
      <c r="B308" s="608"/>
      <c r="C308" s="641" t="s">
        <v>1763</v>
      </c>
      <c r="D308" s="366" t="s">
        <v>1896</v>
      </c>
    </row>
    <row r="309" spans="1:4">
      <c r="A309" s="608" t="s">
        <v>1937</v>
      </c>
      <c r="B309" s="608"/>
      <c r="C309" s="641" t="s">
        <v>1763</v>
      </c>
      <c r="D309" s="366" t="s">
        <v>1897</v>
      </c>
    </row>
    <row r="310" spans="1:4">
      <c r="A310" s="608" t="s">
        <v>1937</v>
      </c>
      <c r="B310" s="608"/>
      <c r="C310" s="641" t="s">
        <v>1763</v>
      </c>
      <c r="D310" s="366" t="s">
        <v>1898</v>
      </c>
    </row>
    <row r="311" spans="1:4">
      <c r="A311" s="608" t="s">
        <v>1937</v>
      </c>
      <c r="B311" s="608"/>
      <c r="C311" s="641" t="s">
        <v>1763</v>
      </c>
      <c r="D311" s="366" t="s">
        <v>1671</v>
      </c>
    </row>
    <row r="312" spans="1:4">
      <c r="A312" s="608" t="s">
        <v>1937</v>
      </c>
      <c r="B312" s="608"/>
      <c r="C312" s="641" t="s">
        <v>1763</v>
      </c>
      <c r="D312" s="366" t="s">
        <v>1899</v>
      </c>
    </row>
    <row r="313" spans="1:4">
      <c r="A313" s="608" t="s">
        <v>1937</v>
      </c>
      <c r="B313" s="608"/>
      <c r="C313" s="641" t="s">
        <v>1763</v>
      </c>
      <c r="D313" s="626" t="s">
        <v>1724</v>
      </c>
    </row>
    <row r="314" spans="1:4">
      <c r="A314" s="608" t="s">
        <v>1937</v>
      </c>
      <c r="B314" s="608"/>
      <c r="C314" s="641" t="s">
        <v>1763</v>
      </c>
      <c r="D314" s="626" t="s">
        <v>1725</v>
      </c>
    </row>
    <row r="315" spans="1:4">
      <c r="A315" s="608" t="s">
        <v>1937</v>
      </c>
      <c r="B315" s="608"/>
      <c r="C315" s="641" t="s">
        <v>1763</v>
      </c>
      <c r="D315" s="626" t="s">
        <v>1726</v>
      </c>
    </row>
    <row r="316" spans="1:4">
      <c r="A316" s="608" t="s">
        <v>1937</v>
      </c>
      <c r="B316" s="608"/>
      <c r="C316" s="641" t="s">
        <v>1763</v>
      </c>
      <c r="D316" s="366" t="s">
        <v>1900</v>
      </c>
    </row>
    <row r="317" spans="1:4">
      <c r="A317" s="608" t="s">
        <v>1937</v>
      </c>
      <c r="B317" s="608"/>
      <c r="C317" s="641" t="s">
        <v>1763</v>
      </c>
      <c r="D317" s="366" t="s">
        <v>1901</v>
      </c>
    </row>
    <row r="318" spans="1:4">
      <c r="A318" s="608" t="s">
        <v>967</v>
      </c>
      <c r="B318" s="620" t="s">
        <v>1823</v>
      </c>
      <c r="C318" s="641" t="s">
        <v>1461</v>
      </c>
      <c r="D318" s="366" t="s">
        <v>54</v>
      </c>
    </row>
    <row r="319" spans="1:4">
      <c r="A319" s="608" t="s">
        <v>967</v>
      </c>
      <c r="B319" s="620" t="s">
        <v>1823</v>
      </c>
      <c r="C319" s="641" t="s">
        <v>1461</v>
      </c>
      <c r="D319" s="366" t="s">
        <v>1902</v>
      </c>
    </row>
    <row r="320" spans="1:4">
      <c r="A320" s="608" t="s">
        <v>967</v>
      </c>
      <c r="B320" s="620" t="s">
        <v>1823</v>
      </c>
      <c r="C320" s="641" t="s">
        <v>1461</v>
      </c>
      <c r="D320" s="366" t="s">
        <v>1903</v>
      </c>
    </row>
    <row r="321" spans="1:4">
      <c r="A321" s="608" t="s">
        <v>967</v>
      </c>
      <c r="B321" s="620" t="s">
        <v>1823</v>
      </c>
      <c r="C321" s="641" t="s">
        <v>1461</v>
      </c>
      <c r="D321" s="366" t="s">
        <v>1904</v>
      </c>
    </row>
    <row r="322" spans="1:4">
      <c r="A322" s="608" t="s">
        <v>967</v>
      </c>
      <c r="B322" s="620" t="s">
        <v>1823</v>
      </c>
      <c r="C322" s="641" t="s">
        <v>1461</v>
      </c>
      <c r="D322" s="366" t="s">
        <v>1905</v>
      </c>
    </row>
    <row r="323" spans="1:4">
      <c r="A323" s="608" t="s">
        <v>967</v>
      </c>
      <c r="B323" s="366" t="s">
        <v>1770</v>
      </c>
      <c r="C323" s="641" t="s">
        <v>1461</v>
      </c>
      <c r="D323" s="366" t="s">
        <v>49</v>
      </c>
    </row>
    <row r="324" spans="1:4">
      <c r="A324" s="608" t="s">
        <v>967</v>
      </c>
      <c r="B324" s="621" t="s">
        <v>1803</v>
      </c>
      <c r="C324" s="641" t="s">
        <v>1461</v>
      </c>
      <c r="D324" s="366" t="s">
        <v>1906</v>
      </c>
    </row>
    <row r="325" spans="1:4">
      <c r="A325" s="608" t="s">
        <v>967</v>
      </c>
      <c r="B325" s="621" t="s">
        <v>1803</v>
      </c>
      <c r="C325" s="641" t="s">
        <v>1461</v>
      </c>
      <c r="D325" s="366" t="s">
        <v>1806</v>
      </c>
    </row>
    <row r="326" spans="1:4">
      <c r="A326" s="608" t="s">
        <v>967</v>
      </c>
      <c r="B326" s="621" t="s">
        <v>1803</v>
      </c>
      <c r="C326" s="641" t="s">
        <v>1461</v>
      </c>
      <c r="D326" s="366" t="s">
        <v>905</v>
      </c>
    </row>
    <row r="327" spans="1:4">
      <c r="A327" s="608" t="s">
        <v>967</v>
      </c>
      <c r="B327" s="621" t="s">
        <v>1803</v>
      </c>
      <c r="C327" s="641" t="s">
        <v>1461</v>
      </c>
      <c r="D327" s="366" t="s">
        <v>1717</v>
      </c>
    </row>
    <row r="328" spans="1:4">
      <c r="A328" s="608" t="s">
        <v>967</v>
      </c>
      <c r="B328" s="608" t="s">
        <v>1937</v>
      </c>
      <c r="C328" s="641" t="s">
        <v>1461</v>
      </c>
      <c r="D328" s="366" t="s">
        <v>903</v>
      </c>
    </row>
    <row r="329" spans="1:4">
      <c r="A329" s="608" t="s">
        <v>967</v>
      </c>
      <c r="B329" s="620" t="s">
        <v>1823</v>
      </c>
      <c r="C329" s="641" t="s">
        <v>1461</v>
      </c>
      <c r="D329" s="366" t="s">
        <v>899</v>
      </c>
    </row>
    <row r="330" spans="1:4">
      <c r="A330" s="608" t="s">
        <v>967</v>
      </c>
      <c r="B330" s="613" t="s">
        <v>1861</v>
      </c>
      <c r="C330" s="641" t="s">
        <v>1753</v>
      </c>
      <c r="D330" s="366" t="s">
        <v>1907</v>
      </c>
    </row>
    <row r="331" spans="1:4">
      <c r="A331" s="608" t="s">
        <v>967</v>
      </c>
      <c r="B331" s="613" t="s">
        <v>1861</v>
      </c>
      <c r="C331" s="641" t="s">
        <v>1753</v>
      </c>
      <c r="D331" s="603" t="s">
        <v>1884</v>
      </c>
    </row>
    <row r="332" spans="1:4">
      <c r="A332" s="608" t="s">
        <v>967</v>
      </c>
      <c r="B332" s="608"/>
      <c r="C332" s="641" t="s">
        <v>1753</v>
      </c>
      <c r="D332" s="603" t="s">
        <v>1885</v>
      </c>
    </row>
    <row r="333" spans="1:4">
      <c r="A333" s="608" t="s">
        <v>967</v>
      </c>
      <c r="B333" s="366" t="s">
        <v>1770</v>
      </c>
      <c r="C333" s="641" t="s">
        <v>1753</v>
      </c>
      <c r="D333" s="366" t="s">
        <v>1773</v>
      </c>
    </row>
    <row r="334" spans="1:4">
      <c r="A334" s="608" t="s">
        <v>967</v>
      </c>
      <c r="B334" s="366" t="s">
        <v>1770</v>
      </c>
      <c r="C334" s="641" t="s">
        <v>1753</v>
      </c>
      <c r="D334" s="630" t="s">
        <v>1935</v>
      </c>
    </row>
    <row r="335" spans="1:4">
      <c r="A335" s="608" t="s">
        <v>967</v>
      </c>
      <c r="B335" s="621" t="s">
        <v>1803</v>
      </c>
      <c r="C335" s="641" t="s">
        <v>1753</v>
      </c>
      <c r="D335" s="366" t="s">
        <v>1908</v>
      </c>
    </row>
    <row r="336" spans="1:4">
      <c r="A336" s="608" t="s">
        <v>967</v>
      </c>
      <c r="B336" s="613" t="s">
        <v>1861</v>
      </c>
      <c r="C336" s="641" t="s">
        <v>1753</v>
      </c>
      <c r="D336" s="366" t="s">
        <v>1909</v>
      </c>
    </row>
    <row r="337" spans="1:4">
      <c r="A337" s="608" t="s">
        <v>967</v>
      </c>
      <c r="B337" s="613" t="s">
        <v>1861</v>
      </c>
      <c r="C337" s="641" t="s">
        <v>1753</v>
      </c>
      <c r="D337" s="366" t="s">
        <v>1856</v>
      </c>
    </row>
    <row r="338" spans="1:4">
      <c r="A338" s="608" t="s">
        <v>967</v>
      </c>
      <c r="B338" s="366"/>
      <c r="C338" s="641" t="s">
        <v>1753</v>
      </c>
      <c r="D338" s="366" t="s">
        <v>1869</v>
      </c>
    </row>
    <row r="339" spans="1:4">
      <c r="A339" s="608" t="s">
        <v>967</v>
      </c>
      <c r="B339" s="608"/>
      <c r="C339" s="641" t="s">
        <v>1753</v>
      </c>
      <c r="D339" s="366" t="s">
        <v>1910</v>
      </c>
    </row>
    <row r="340" spans="1:4">
      <c r="A340" s="608" t="s">
        <v>967</v>
      </c>
      <c r="B340" s="620" t="s">
        <v>1823</v>
      </c>
      <c r="C340" s="641" t="s">
        <v>1753</v>
      </c>
      <c r="D340" s="366" t="s">
        <v>1911</v>
      </c>
    </row>
    <row r="341" spans="1:4">
      <c r="A341" s="608" t="s">
        <v>967</v>
      </c>
      <c r="B341" s="608"/>
      <c r="C341" s="641" t="s">
        <v>1753</v>
      </c>
      <c r="D341" s="366" t="s">
        <v>1912</v>
      </c>
    </row>
    <row r="342" spans="1:4">
      <c r="A342" s="608" t="s">
        <v>967</v>
      </c>
      <c r="B342" s="608"/>
      <c r="C342" s="641" t="s">
        <v>1753</v>
      </c>
      <c r="D342" s="366" t="s">
        <v>1913</v>
      </c>
    </row>
    <row r="343" spans="1:4">
      <c r="A343" s="608" t="s">
        <v>967</v>
      </c>
      <c r="B343" s="621" t="s">
        <v>1803</v>
      </c>
      <c r="C343" s="641" t="s">
        <v>1753</v>
      </c>
      <c r="D343" s="366" t="s">
        <v>1914</v>
      </c>
    </row>
    <row r="344" spans="1:4">
      <c r="A344" s="608" t="s">
        <v>967</v>
      </c>
      <c r="B344" s="621" t="s">
        <v>1803</v>
      </c>
      <c r="C344" s="641" t="s">
        <v>1753</v>
      </c>
      <c r="D344" s="366" t="s">
        <v>1915</v>
      </c>
    </row>
    <row r="345" spans="1:4">
      <c r="A345" s="608" t="s">
        <v>967</v>
      </c>
      <c r="B345" s="621" t="s">
        <v>1803</v>
      </c>
      <c r="C345" s="641" t="s">
        <v>1753</v>
      </c>
      <c r="D345" s="366" t="s">
        <v>1916</v>
      </c>
    </row>
    <row r="346" spans="1:4">
      <c r="A346" s="608" t="s">
        <v>967</v>
      </c>
      <c r="B346" s="621" t="s">
        <v>1803</v>
      </c>
      <c r="C346" s="641" t="s">
        <v>1753</v>
      </c>
      <c r="D346" s="366" t="s">
        <v>1598</v>
      </c>
    </row>
    <row r="347" spans="1:4">
      <c r="A347" s="608" t="s">
        <v>967</v>
      </c>
      <c r="B347" s="366" t="s">
        <v>1770</v>
      </c>
      <c r="C347" s="641" t="s">
        <v>1753</v>
      </c>
      <c r="D347" s="366" t="s">
        <v>1917</v>
      </c>
    </row>
    <row r="348" spans="1:4">
      <c r="A348" s="608" t="s">
        <v>967</v>
      </c>
      <c r="B348" s="621" t="s">
        <v>1803</v>
      </c>
      <c r="C348" s="641" t="s">
        <v>1753</v>
      </c>
      <c r="D348" s="366" t="s">
        <v>1918</v>
      </c>
    </row>
    <row r="349" spans="1:4">
      <c r="A349" s="608" t="s">
        <v>967</v>
      </c>
      <c r="B349" s="621" t="s">
        <v>1803</v>
      </c>
      <c r="C349" s="641" t="s">
        <v>1753</v>
      </c>
      <c r="D349" s="366" t="s">
        <v>1810</v>
      </c>
    </row>
    <row r="350" spans="1:4">
      <c r="A350" s="608" t="s">
        <v>967</v>
      </c>
      <c r="B350" s="608" t="s">
        <v>1937</v>
      </c>
      <c r="C350" s="641" t="s">
        <v>1753</v>
      </c>
      <c r="D350" s="366" t="s">
        <v>1919</v>
      </c>
    </row>
    <row r="351" spans="1:4">
      <c r="A351" s="608" t="s">
        <v>967</v>
      </c>
      <c r="B351" s="620" t="s">
        <v>1823</v>
      </c>
      <c r="C351" s="641" t="s">
        <v>1753</v>
      </c>
      <c r="D351" s="366" t="s">
        <v>1920</v>
      </c>
    </row>
    <row r="352" spans="1:4">
      <c r="A352" s="608" t="s">
        <v>967</v>
      </c>
      <c r="B352" s="620" t="s">
        <v>1823</v>
      </c>
      <c r="C352" s="641" t="s">
        <v>1753</v>
      </c>
      <c r="D352" s="366" t="s">
        <v>1921</v>
      </c>
    </row>
    <row r="353" spans="1:4">
      <c r="A353" s="608" t="s">
        <v>967</v>
      </c>
      <c r="B353" s="621" t="s">
        <v>1803</v>
      </c>
      <c r="C353" s="641" t="s">
        <v>1753</v>
      </c>
      <c r="D353" s="366" t="s">
        <v>1922</v>
      </c>
    </row>
    <row r="354" spans="1:4">
      <c r="A354" s="608" t="s">
        <v>967</v>
      </c>
      <c r="B354" s="620" t="s">
        <v>1823</v>
      </c>
      <c r="C354" s="641" t="s">
        <v>1753</v>
      </c>
      <c r="D354" s="366" t="s">
        <v>1923</v>
      </c>
    </row>
    <row r="355" spans="1:4">
      <c r="A355" s="608" t="s">
        <v>967</v>
      </c>
      <c r="B355" s="366" t="s">
        <v>1770</v>
      </c>
      <c r="C355" s="641" t="s">
        <v>1753</v>
      </c>
      <c r="D355" s="366" t="s">
        <v>1924</v>
      </c>
    </row>
    <row r="356" spans="1:4">
      <c r="A356" s="608" t="s">
        <v>967</v>
      </c>
      <c r="B356" s="620" t="s">
        <v>1823</v>
      </c>
      <c r="C356" s="641" t="s">
        <v>1753</v>
      </c>
      <c r="D356" s="366" t="s">
        <v>1925</v>
      </c>
    </row>
    <row r="357" spans="1:4">
      <c r="A357" s="608" t="s">
        <v>967</v>
      </c>
      <c r="B357" s="620" t="s">
        <v>1823</v>
      </c>
      <c r="C357" s="641" t="s">
        <v>1753</v>
      </c>
      <c r="D357" s="366" t="s">
        <v>1943</v>
      </c>
    </row>
    <row r="358" spans="1:4">
      <c r="A358" s="608" t="s">
        <v>967</v>
      </c>
      <c r="B358" s="620" t="s">
        <v>1823</v>
      </c>
      <c r="C358" s="641" t="s">
        <v>1753</v>
      </c>
      <c r="D358" s="611" t="s">
        <v>1933</v>
      </c>
    </row>
    <row r="359" spans="1:4">
      <c r="A359" s="608" t="s">
        <v>967</v>
      </c>
      <c r="B359" s="620" t="s">
        <v>1823</v>
      </c>
      <c r="C359" s="641" t="s">
        <v>1763</v>
      </c>
      <c r="D359" s="366" t="s">
        <v>1926</v>
      </c>
    </row>
    <row r="360" spans="1:4">
      <c r="A360" s="608" t="s">
        <v>967</v>
      </c>
      <c r="B360" s="620" t="s">
        <v>1823</v>
      </c>
      <c r="C360" s="641" t="s">
        <v>1763</v>
      </c>
      <c r="D360" s="366" t="s">
        <v>58</v>
      </c>
    </row>
    <row r="361" spans="1:4">
      <c r="A361" s="608" t="s">
        <v>967</v>
      </c>
      <c r="B361" s="620" t="s">
        <v>1823</v>
      </c>
      <c r="C361" s="641" t="s">
        <v>1763</v>
      </c>
      <c r="D361" s="366" t="s">
        <v>1927</v>
      </c>
    </row>
    <row r="362" spans="1:4">
      <c r="A362" s="608" t="s">
        <v>967</v>
      </c>
      <c r="B362" s="620" t="s">
        <v>1823</v>
      </c>
      <c r="C362" s="641" t="s">
        <v>1763</v>
      </c>
      <c r="D362" s="366" t="s">
        <v>1688</v>
      </c>
    </row>
    <row r="363" spans="1:4">
      <c r="A363" s="608" t="s">
        <v>967</v>
      </c>
      <c r="B363" s="621" t="s">
        <v>1803</v>
      </c>
      <c r="C363" s="641" t="s">
        <v>1763</v>
      </c>
      <c r="D363" s="366" t="s">
        <v>1703</v>
      </c>
    </row>
    <row r="364" spans="1:4">
      <c r="A364" s="608" t="s">
        <v>967</v>
      </c>
      <c r="B364" s="621" t="s">
        <v>1803</v>
      </c>
      <c r="C364" s="641" t="s">
        <v>1763</v>
      </c>
      <c r="D364" s="366" t="s">
        <v>1928</v>
      </c>
    </row>
    <row r="365" spans="1:4">
      <c r="A365" s="608" t="s">
        <v>967</v>
      </c>
      <c r="B365" s="608" t="s">
        <v>1862</v>
      </c>
      <c r="C365" s="641" t="s">
        <v>1763</v>
      </c>
      <c r="D365" s="366" t="s">
        <v>1929</v>
      </c>
    </row>
    <row r="366" spans="1:4">
      <c r="A366" s="608" t="s">
        <v>967</v>
      </c>
      <c r="B366" s="608" t="s">
        <v>1862</v>
      </c>
      <c r="C366" s="641" t="s">
        <v>1763</v>
      </c>
      <c r="D366" s="366" t="s">
        <v>152</v>
      </c>
    </row>
    <row r="367" spans="1:4">
      <c r="A367" s="608" t="s">
        <v>967</v>
      </c>
      <c r="B367" s="608" t="s">
        <v>1862</v>
      </c>
      <c r="C367" s="641" t="s">
        <v>1763</v>
      </c>
      <c r="D367" s="366" t="s">
        <v>156</v>
      </c>
    </row>
    <row r="368" spans="1:4">
      <c r="A368" s="608" t="s">
        <v>967</v>
      </c>
      <c r="B368" s="608" t="s">
        <v>1862</v>
      </c>
      <c r="C368" s="641" t="s">
        <v>1763</v>
      </c>
      <c r="D368" s="366" t="s">
        <v>1930</v>
      </c>
    </row>
    <row r="369" spans="1:4">
      <c r="A369" s="608" t="s">
        <v>967</v>
      </c>
      <c r="B369" s="608" t="s">
        <v>1862</v>
      </c>
      <c r="C369" s="641" t="s">
        <v>1763</v>
      </c>
      <c r="D369" s="366" t="s">
        <v>1931</v>
      </c>
    </row>
    <row r="370" spans="1:4">
      <c r="A370" s="608" t="s">
        <v>967</v>
      </c>
      <c r="B370" s="608" t="s">
        <v>1862</v>
      </c>
      <c r="C370" s="641" t="s">
        <v>1763</v>
      </c>
      <c r="D370" s="366" t="s">
        <v>1932</v>
      </c>
    </row>
    <row r="371" spans="1:4">
      <c r="A371" s="608" t="s">
        <v>967</v>
      </c>
      <c r="B371" s="620" t="s">
        <v>1823</v>
      </c>
      <c r="C371" s="641" t="s">
        <v>1763</v>
      </c>
      <c r="D371" s="366" t="s">
        <v>602</v>
      </c>
    </row>
    <row r="372" spans="1:4">
      <c r="A372" s="608" t="s">
        <v>967</v>
      </c>
      <c r="B372" s="608" t="s">
        <v>1862</v>
      </c>
      <c r="C372" s="641" t="s">
        <v>1763</v>
      </c>
      <c r="D372" s="366" t="s">
        <v>1296</v>
      </c>
    </row>
    <row r="373" spans="1:4">
      <c r="A373" s="608" t="s">
        <v>967</v>
      </c>
      <c r="B373" s="613" t="s">
        <v>1861</v>
      </c>
      <c r="C373" s="641" t="s">
        <v>1763</v>
      </c>
      <c r="D373" s="366" t="s">
        <v>1430</v>
      </c>
    </row>
    <row r="374" spans="1:4">
      <c r="A374" s="608" t="s">
        <v>967</v>
      </c>
      <c r="B374" s="613" t="s">
        <v>1861</v>
      </c>
      <c r="C374" s="641" t="s">
        <v>1763</v>
      </c>
      <c r="D374" s="366" t="s">
        <v>1671</v>
      </c>
    </row>
  </sheetData>
  <conditionalFormatting sqref="A1:B1048576">
    <cfRule type="containsText" dxfId="13" priority="5" operator="containsText" text="Loco">
      <formula>NOT(ISERROR(SEARCH("Loco",A1)))</formula>
    </cfRule>
    <cfRule type="containsText" dxfId="12" priority="6" operator="containsText" text="Cancer">
      <formula>NOT(ISERROR(SEARCH("Cancer",A1)))</formula>
    </cfRule>
    <cfRule type="containsText" dxfId="11" priority="7" operator="containsText" text="immuno">
      <formula>NOT(ISERROR(SEARCH("immuno",A1)))</formula>
    </cfRule>
    <cfRule type="containsText" dxfId="10" priority="8" operator="containsText" text="Endocrinologie">
      <formula>NOT(ISERROR(SEARCH("Endocrinologie",A1)))</formula>
    </cfRule>
    <cfRule type="containsText" dxfId="9" priority="9" operator="containsText" text="urinaire">
      <formula>NOT(ISERROR(SEARCH("urinaire",A1)))</formula>
    </cfRule>
    <cfRule type="containsText" dxfId="8" priority="10" operator="containsText" text="digestif">
      <formula>NOT(ISERROR(SEARCH("digestif",A1)))</formula>
    </cfRule>
    <cfRule type="containsText" dxfId="7" priority="11" operator="containsText" text="cardio">
      <formula>NOT(ISERROR(SEARCH("cardio",A1)))</formula>
    </cfRule>
    <cfRule type="containsText" dxfId="6" priority="12" operator="containsText" text="Voies">
      <formula>NOT(ISERROR(SEARCH("Voies",A1)))</formula>
    </cfRule>
    <cfRule type="containsText" dxfId="5" priority="13" operator="containsText" text="nerveux">
      <formula>NOT(ISERROR(SEARCH("nerveux",A1)))</formula>
    </cfRule>
  </conditionalFormatting>
  <conditionalFormatting sqref="C1:C1048576">
    <cfRule type="containsText" dxfId="4" priority="14" operator="containsText" text="analyses">
      <formula>NOT(ISERROR(SEARCH("analyses",C1)))</formula>
    </cfRule>
    <cfRule type="containsText" dxfId="3" priority="15" operator="containsText" text="Autoévaluation">
      <formula>NOT(ISERROR(SEARCH("Autoévaluation",C1)))</formula>
    </cfRule>
    <cfRule type="containsText" dxfId="2" priority="16" operator="containsText" text="Axes">
      <formula>NOT(ISERROR(SEARCH("Axes",C1)))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defaultColWidth="97.5546875" defaultRowHeight="18"/>
  <cols>
    <col min="1" max="1" width="82.6640625" style="384" bestFit="1" customWidth="1"/>
    <col min="2" max="2" width="25.77734375" style="72" bestFit="1" customWidth="1"/>
    <col min="3" max="3" width="16.5546875" style="70" customWidth="1"/>
    <col min="4" max="4" width="95.88671875" style="116" bestFit="1" customWidth="1"/>
    <col min="5" max="5" width="70.21875" style="76" bestFit="1" customWidth="1"/>
    <col min="6" max="6" width="11" style="90" bestFit="1" customWidth="1"/>
    <col min="7" max="7" width="19.6640625" style="72" bestFit="1" customWidth="1"/>
    <col min="8" max="8" width="18.109375" style="72" bestFit="1" customWidth="1"/>
    <col min="9" max="9" width="72.21875" style="72" bestFit="1" customWidth="1"/>
    <col min="10" max="16384" width="97.5546875" style="72"/>
  </cols>
  <sheetData>
    <row r="1" spans="1:8">
      <c r="B1" s="97"/>
      <c r="D1" s="114"/>
      <c r="E1" s="98" t="s">
        <v>85</v>
      </c>
      <c r="G1" s="79" t="s">
        <v>86</v>
      </c>
      <c r="H1" s="99">
        <f ca="1">TODAY()</f>
        <v>46126</v>
      </c>
    </row>
    <row r="2" spans="1:8" ht="35.4">
      <c r="A2" s="245" t="s">
        <v>773</v>
      </c>
      <c r="B2" s="103" t="s">
        <v>1043</v>
      </c>
      <c r="D2" s="115" t="s">
        <v>1157</v>
      </c>
      <c r="E2" s="88">
        <v>180</v>
      </c>
      <c r="F2" s="395" t="s">
        <v>0</v>
      </c>
      <c r="G2" s="90">
        <f>(E3*100)/(E2*E2)</f>
        <v>0.24382716049382716</v>
      </c>
    </row>
    <row r="3" spans="1:8">
      <c r="A3" s="245" t="s">
        <v>774</v>
      </c>
      <c r="D3" s="115" t="s">
        <v>1158</v>
      </c>
      <c r="E3" s="88">
        <v>79</v>
      </c>
    </row>
    <row r="4" spans="1:8" ht="36">
      <c r="A4" s="385" t="s">
        <v>828</v>
      </c>
      <c r="B4" s="103"/>
      <c r="D4" s="115" t="s">
        <v>1175</v>
      </c>
      <c r="E4" s="88">
        <v>89</v>
      </c>
    </row>
    <row r="5" spans="1:8" ht="35.4">
      <c r="A5" s="386" t="s">
        <v>829</v>
      </c>
      <c r="D5" s="115" t="s">
        <v>1176</v>
      </c>
      <c r="E5" s="91">
        <v>120</v>
      </c>
    </row>
    <row r="6" spans="1:8" ht="35.4">
      <c r="A6" s="386" t="s">
        <v>830</v>
      </c>
      <c r="D6" s="115" t="s">
        <v>1177</v>
      </c>
      <c r="E6" s="91">
        <v>70</v>
      </c>
    </row>
    <row r="7" spans="1:8">
      <c r="A7" s="387" t="s">
        <v>834</v>
      </c>
      <c r="D7" s="393" t="s">
        <v>615</v>
      </c>
      <c r="E7" s="88">
        <v>120</v>
      </c>
    </row>
    <row r="8" spans="1:8">
      <c r="A8" s="245" t="s">
        <v>773</v>
      </c>
      <c r="D8" s="393" t="s">
        <v>616</v>
      </c>
      <c r="E8" s="88">
        <v>125</v>
      </c>
    </row>
    <row r="9" spans="1:8">
      <c r="A9" s="245" t="s">
        <v>774</v>
      </c>
      <c r="D9" s="393" t="s">
        <v>652</v>
      </c>
      <c r="E9" s="88">
        <v>75</v>
      </c>
    </row>
    <row r="10" spans="1:8">
      <c r="A10" s="245" t="s">
        <v>819</v>
      </c>
      <c r="D10" s="393" t="s">
        <v>653</v>
      </c>
      <c r="E10" s="88">
        <v>120</v>
      </c>
    </row>
    <row r="11" spans="1:8" ht="36">
      <c r="A11" s="388" t="s">
        <v>1028</v>
      </c>
      <c r="D11" s="393" t="s">
        <v>654</v>
      </c>
      <c r="E11" s="88">
        <v>120</v>
      </c>
    </row>
    <row r="12" spans="1:8">
      <c r="A12" s="245" t="s">
        <v>1029</v>
      </c>
      <c r="D12" s="393" t="s">
        <v>621</v>
      </c>
      <c r="E12" s="88">
        <v>70</v>
      </c>
    </row>
    <row r="13" spans="1:8">
      <c r="A13" s="245" t="s">
        <v>1030</v>
      </c>
      <c r="D13" s="393" t="s">
        <v>617</v>
      </c>
      <c r="E13" s="88">
        <v>80</v>
      </c>
    </row>
    <row r="14" spans="1:8">
      <c r="A14" s="245" t="s">
        <v>1025</v>
      </c>
      <c r="D14" s="393" t="s">
        <v>622</v>
      </c>
      <c r="E14" s="88">
        <v>80</v>
      </c>
    </row>
    <row r="15" spans="1:8">
      <c r="A15" s="245" t="s">
        <v>1006</v>
      </c>
      <c r="D15" s="393" t="s">
        <v>655</v>
      </c>
      <c r="E15" s="88">
        <v>75</v>
      </c>
    </row>
    <row r="16" spans="1:8" ht="36">
      <c r="A16" s="388" t="s">
        <v>1031</v>
      </c>
      <c r="D16" s="393" t="s">
        <v>618</v>
      </c>
      <c r="E16" s="88">
        <v>96</v>
      </c>
    </row>
    <row r="17" spans="1:8">
      <c r="A17" s="247" t="s">
        <v>857</v>
      </c>
      <c r="D17" s="393" t="s">
        <v>619</v>
      </c>
      <c r="E17" s="88">
        <v>96</v>
      </c>
    </row>
    <row r="18" spans="1:8">
      <c r="A18" s="245" t="s">
        <v>773</v>
      </c>
      <c r="D18" s="393" t="s">
        <v>643</v>
      </c>
      <c r="E18" s="88" t="s">
        <v>645</v>
      </c>
    </row>
    <row r="19" spans="1:8">
      <c r="A19" s="245" t="s">
        <v>774</v>
      </c>
      <c r="D19" s="393" t="s">
        <v>644</v>
      </c>
      <c r="E19" s="88" t="s">
        <v>645</v>
      </c>
    </row>
    <row r="20" spans="1:8" ht="54">
      <c r="A20" s="247" t="s">
        <v>858</v>
      </c>
      <c r="D20" s="389" t="s">
        <v>751</v>
      </c>
      <c r="E20" s="208">
        <v>0</v>
      </c>
    </row>
    <row r="21" spans="1:8">
      <c r="A21" s="245" t="s">
        <v>773</v>
      </c>
      <c r="D21" s="210" t="s">
        <v>746</v>
      </c>
    </row>
    <row r="22" spans="1:8">
      <c r="A22" s="245" t="s">
        <v>774</v>
      </c>
      <c r="D22" s="210" t="s">
        <v>753</v>
      </c>
      <c r="E22" s="76">
        <v>0</v>
      </c>
      <c r="G22" s="72">
        <f>E22/20</f>
        <v>0</v>
      </c>
    </row>
    <row r="23" spans="1:8" ht="36">
      <c r="A23" s="247" t="s">
        <v>859</v>
      </c>
      <c r="D23" s="210" t="s">
        <v>754</v>
      </c>
      <c r="E23" s="76" t="s">
        <v>797</v>
      </c>
      <c r="G23" s="72">
        <f>IF(E23="Normale",1,0)</f>
        <v>0</v>
      </c>
    </row>
    <row r="24" spans="1:8">
      <c r="A24" s="245" t="s">
        <v>773</v>
      </c>
      <c r="D24" s="210" t="s">
        <v>755</v>
      </c>
      <c r="E24" s="76" t="s">
        <v>797</v>
      </c>
      <c r="G24" s="72">
        <f>IF(E24="Normale",1,0)</f>
        <v>0</v>
      </c>
      <c r="H24" s="218" t="s">
        <v>119</v>
      </c>
    </row>
    <row r="25" spans="1:8">
      <c r="A25" s="245" t="s">
        <v>774</v>
      </c>
      <c r="D25" s="390" t="s">
        <v>759</v>
      </c>
      <c r="E25" s="324" t="s">
        <v>756</v>
      </c>
      <c r="F25" s="347" t="s">
        <v>760</v>
      </c>
      <c r="G25" s="329"/>
      <c r="H25" s="329"/>
    </row>
    <row r="26" spans="1:8">
      <c r="A26" s="245" t="s">
        <v>832</v>
      </c>
      <c r="D26" s="394" t="s">
        <v>757</v>
      </c>
      <c r="E26" s="324"/>
      <c r="F26" s="347"/>
      <c r="G26" s="329"/>
      <c r="H26" s="219" t="s">
        <v>119</v>
      </c>
    </row>
    <row r="27" spans="1:8">
      <c r="A27" s="391" t="s">
        <v>1032</v>
      </c>
      <c r="D27" s="365" t="s">
        <v>756</v>
      </c>
      <c r="E27" s="324"/>
      <c r="F27" s="347"/>
      <c r="G27" s="329"/>
      <c r="H27" s="329"/>
    </row>
    <row r="28" spans="1:8">
      <c r="A28" s="392" t="s">
        <v>860</v>
      </c>
      <c r="D28" s="394" t="s">
        <v>758</v>
      </c>
      <c r="E28" s="324"/>
      <c r="F28" s="347"/>
      <c r="G28" s="329"/>
      <c r="H28" s="329"/>
    </row>
    <row r="29" spans="1:8">
      <c r="A29" s="384" t="s">
        <v>861</v>
      </c>
      <c r="D29" s="116" t="s">
        <v>1442</v>
      </c>
    </row>
    <row r="33" spans="1:9" ht="34.799999999999997">
      <c r="A33" s="72"/>
      <c r="B33" s="70"/>
      <c r="D33" s="116" t="s">
        <v>704</v>
      </c>
      <c r="E33" s="124">
        <v>0</v>
      </c>
    </row>
    <row r="35" spans="1:9">
      <c r="D35" s="116" t="s">
        <v>1115</v>
      </c>
    </row>
    <row r="36" spans="1:9">
      <c r="D36" s="116" t="s">
        <v>1116</v>
      </c>
    </row>
    <row r="37" spans="1:9">
      <c r="D37" s="116" t="s">
        <v>1117</v>
      </c>
    </row>
    <row r="38" spans="1:9">
      <c r="D38" s="116" t="s">
        <v>1118</v>
      </c>
    </row>
    <row r="39" spans="1:9" ht="36">
      <c r="D39" s="398" t="s">
        <v>1285</v>
      </c>
      <c r="E39" s="398"/>
      <c r="F39" s="397"/>
      <c r="G39" s="398" t="s">
        <v>1207</v>
      </c>
      <c r="H39" s="398" t="s">
        <v>1208</v>
      </c>
      <c r="I39" s="398" t="s">
        <v>1209</v>
      </c>
    </row>
    <row r="40" spans="1:9" ht="198">
      <c r="D40" s="398" t="s">
        <v>1277</v>
      </c>
      <c r="E40" s="398"/>
      <c r="F40" s="397" t="s">
        <v>1197</v>
      </c>
      <c r="G40" s="399" t="s">
        <v>1210</v>
      </c>
      <c r="H40" s="399" t="s">
        <v>1225</v>
      </c>
      <c r="I40" s="399" t="s">
        <v>1226</v>
      </c>
    </row>
    <row r="41" spans="1:9" ht="90">
      <c r="D41" s="398" t="s">
        <v>1278</v>
      </c>
      <c r="E41" s="398"/>
      <c r="F41" s="397"/>
      <c r="G41" s="399" t="s">
        <v>1211</v>
      </c>
      <c r="H41" s="399" t="s">
        <v>1227</v>
      </c>
      <c r="I41" s="399" t="s">
        <v>1212</v>
      </c>
    </row>
    <row r="42" spans="1:9" ht="234">
      <c r="D42" s="398" t="s">
        <v>1279</v>
      </c>
      <c r="E42" s="398"/>
      <c r="F42" s="397"/>
      <c r="G42" s="399" t="s">
        <v>1213</v>
      </c>
      <c r="H42" s="399" t="s">
        <v>1228</v>
      </c>
      <c r="I42" s="399" t="s">
        <v>1214</v>
      </c>
    </row>
    <row r="43" spans="1:9" ht="180">
      <c r="D43" s="398" t="s">
        <v>1280</v>
      </c>
      <c r="E43" s="398"/>
      <c r="F43" s="397"/>
      <c r="G43" s="399" t="s">
        <v>1215</v>
      </c>
      <c r="H43" s="399" t="s">
        <v>1216</v>
      </c>
      <c r="I43" s="399" t="s">
        <v>1229</v>
      </c>
    </row>
    <row r="44" spans="1:9" ht="144">
      <c r="D44" s="398" t="s">
        <v>1281</v>
      </c>
      <c r="E44" s="398"/>
      <c r="F44" s="397"/>
      <c r="G44" s="399" t="s">
        <v>1217</v>
      </c>
      <c r="H44" s="399" t="s">
        <v>1218</v>
      </c>
      <c r="I44" s="399" t="s">
        <v>1219</v>
      </c>
    </row>
    <row r="45" spans="1:9" ht="144">
      <c r="D45" s="398" t="s">
        <v>1282</v>
      </c>
      <c r="E45" s="398"/>
      <c r="F45" s="397"/>
      <c r="G45" s="399" t="s">
        <v>1220</v>
      </c>
      <c r="H45" s="399" t="s">
        <v>1221</v>
      </c>
      <c r="I45" s="399" t="s">
        <v>1230</v>
      </c>
    </row>
    <row r="46" spans="1:9" ht="180">
      <c r="D46" s="398" t="s">
        <v>1283</v>
      </c>
      <c r="E46" s="398"/>
      <c r="F46" s="397"/>
      <c r="G46" s="399" t="s">
        <v>1231</v>
      </c>
      <c r="H46" s="399" t="s">
        <v>1232</v>
      </c>
      <c r="I46" s="399" t="s">
        <v>1233</v>
      </c>
    </row>
    <row r="47" spans="1:9" ht="90">
      <c r="D47" s="398" t="s">
        <v>1284</v>
      </c>
      <c r="E47" s="398"/>
      <c r="F47" s="397"/>
      <c r="G47" s="399" t="s">
        <v>1222</v>
      </c>
      <c r="H47" s="399" t="s">
        <v>1223</v>
      </c>
      <c r="I47" s="399" t="s">
        <v>1224</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defaultColWidth="10.88671875" defaultRowHeight="15.6"/>
  <cols>
    <col min="1" max="1" width="40.44140625" style="154" bestFit="1" customWidth="1"/>
    <col min="2" max="2" width="17.21875" style="185" customWidth="1"/>
    <col min="3" max="3" width="13.109375" style="69" customWidth="1"/>
    <col min="4" max="4" width="10.88671875" style="155"/>
    <col min="5" max="6" width="10.88671875" style="156"/>
    <col min="7" max="7" width="22.88671875" style="26" customWidth="1"/>
    <col min="8" max="8" width="8.109375" style="26" customWidth="1"/>
    <col min="9" max="11" width="10.88671875" style="157"/>
    <col min="12" max="12" width="30.21875" style="157" customWidth="1"/>
    <col min="13" max="13" width="10.88671875" style="157"/>
    <col min="14" max="14" width="14.88671875" style="156" customWidth="1"/>
    <col min="15" max="15" width="16.88671875" style="156" customWidth="1"/>
    <col min="16" max="16384" width="10.88671875" style="156"/>
  </cols>
  <sheetData>
    <row r="1" spans="1:18">
      <c r="A1" s="68" t="s">
        <v>129</v>
      </c>
      <c r="B1" s="258" t="s">
        <v>130</v>
      </c>
      <c r="C1" s="154" t="s">
        <v>131</v>
      </c>
    </row>
    <row r="2" spans="1:18">
      <c r="A2" s="123" t="s">
        <v>132</v>
      </c>
      <c r="B2" s="259" t="s">
        <v>133</v>
      </c>
      <c r="C2" s="49">
        <v>1.19</v>
      </c>
      <c r="I2" s="26">
        <v>0</v>
      </c>
      <c r="J2" s="26">
        <v>1</v>
      </c>
      <c r="K2" s="26">
        <v>2</v>
      </c>
    </row>
    <row r="3" spans="1:18" ht="19.2">
      <c r="A3" s="104" t="s">
        <v>134</v>
      </c>
      <c r="B3" s="259" t="s">
        <v>135</v>
      </c>
      <c r="C3" s="50">
        <v>1</v>
      </c>
      <c r="D3" s="158">
        <f>C3*2.59</f>
        <v>2.59</v>
      </c>
      <c r="E3" s="156" t="s">
        <v>225</v>
      </c>
      <c r="F3" s="156" t="s">
        <v>337</v>
      </c>
      <c r="G3" s="51" t="s">
        <v>1</v>
      </c>
      <c r="H3" s="52">
        <f>C11</f>
        <v>5</v>
      </c>
      <c r="J3" s="157">
        <f>C3*2.58</f>
        <v>2.58</v>
      </c>
      <c r="K3" s="157" t="s">
        <v>311</v>
      </c>
      <c r="N3" s="159" t="s">
        <v>203</v>
      </c>
      <c r="O3" s="160">
        <f>C56</f>
        <v>51</v>
      </c>
    </row>
    <row r="4" spans="1:18" ht="19.2">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 Question'!F82="N",0,1)</f>
        <v>0</v>
      </c>
    </row>
    <row r="5" spans="1:18" ht="19.2">
      <c r="A5" s="104" t="s">
        <v>137</v>
      </c>
      <c r="B5" s="259" t="s">
        <v>135</v>
      </c>
      <c r="C5" s="50">
        <v>1.89</v>
      </c>
      <c r="D5" s="158">
        <f t="shared" si="0"/>
        <v>4.8950999999999993</v>
      </c>
      <c r="E5" s="156" t="s">
        <v>225</v>
      </c>
      <c r="F5" s="156" t="s">
        <v>335</v>
      </c>
      <c r="G5" s="126" t="s">
        <v>3</v>
      </c>
      <c r="H5" s="134">
        <f>C8</f>
        <v>2.2000000000000002</v>
      </c>
      <c r="N5" s="156" t="s">
        <v>308</v>
      </c>
      <c r="O5" s="156">
        <f>'Import Question'!F80</f>
        <v>110</v>
      </c>
      <c r="P5" s="159"/>
    </row>
    <row r="6" spans="1:18" ht="19.2">
      <c r="A6" s="104" t="s">
        <v>138</v>
      </c>
      <c r="B6" s="259" t="s">
        <v>135</v>
      </c>
      <c r="C6" s="50">
        <v>0.64</v>
      </c>
      <c r="D6" s="51">
        <f>C6*1.13</f>
        <v>0.72319999999999995</v>
      </c>
      <c r="E6" s="156" t="s">
        <v>225</v>
      </c>
      <c r="G6" s="51" t="s">
        <v>4</v>
      </c>
      <c r="H6" s="54">
        <f>D3</f>
        <v>2.59</v>
      </c>
      <c r="N6" s="156" t="s">
        <v>309</v>
      </c>
      <c r="O6" s="156">
        <f>H6</f>
        <v>2.59</v>
      </c>
      <c r="P6" s="159"/>
    </row>
    <row r="7" spans="1:18" ht="19.2">
      <c r="A7" s="104" t="s">
        <v>139</v>
      </c>
      <c r="B7" s="259" t="s">
        <v>140</v>
      </c>
      <c r="C7" s="49">
        <v>1.1000000000000001</v>
      </c>
      <c r="G7" s="51" t="s">
        <v>84</v>
      </c>
      <c r="H7" s="106">
        <f>C7</f>
        <v>1.1000000000000001</v>
      </c>
      <c r="N7" s="156" t="s">
        <v>310</v>
      </c>
      <c r="O7" s="156">
        <f>H8</f>
        <v>1.4504000000000001</v>
      </c>
      <c r="P7" s="159"/>
    </row>
    <row r="8" spans="1:18" ht="19.2">
      <c r="A8" s="161" t="s">
        <v>339</v>
      </c>
      <c r="B8" s="260" t="s">
        <v>341</v>
      </c>
      <c r="C8" s="113">
        <v>2.2000000000000002</v>
      </c>
      <c r="D8" s="162">
        <f>C8*4</f>
        <v>8.8000000000000007</v>
      </c>
      <c r="E8" s="163" t="s">
        <v>342</v>
      </c>
      <c r="F8" s="156" t="s">
        <v>340</v>
      </c>
      <c r="G8" s="51" t="s">
        <v>5</v>
      </c>
      <c r="H8" s="54">
        <f>D4</f>
        <v>1.4504000000000001</v>
      </c>
      <c r="N8" s="156" t="s">
        <v>219</v>
      </c>
      <c r="O8" s="156">
        <f>'Import Question'!H3</f>
        <v>1</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 Question'!F6*H25)/((H22*(SQRT(H24))))</f>
        <v>1.7524582215133926</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8.7031000000000025E-2</v>
      </c>
      <c r="M13" s="51">
        <f xml:space="preserve"> (-0.148+0.89*M16)/100</f>
        <v>4.6224000000000001E-2</v>
      </c>
    </row>
    <row r="14" spans="1:18">
      <c r="A14" s="104" t="s">
        <v>150</v>
      </c>
      <c r="B14" s="259" t="s">
        <v>151</v>
      </c>
      <c r="C14" s="50">
        <v>5</v>
      </c>
      <c r="D14" s="155" t="s">
        <v>257</v>
      </c>
      <c r="G14" s="51" t="s">
        <v>9</v>
      </c>
      <c r="H14" s="56">
        <f>C35</f>
        <v>52</v>
      </c>
      <c r="N14" s="156" t="s">
        <v>306</v>
      </c>
    </row>
    <row r="15" spans="1:18" ht="16.8">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9.2">
      <c r="A16" s="104" t="s">
        <v>154</v>
      </c>
      <c r="B16" s="57" t="s">
        <v>153</v>
      </c>
      <c r="C16" s="50">
        <v>3.7</v>
      </c>
      <c r="D16" s="155" t="s">
        <v>259</v>
      </c>
      <c r="G16" s="51" t="s">
        <v>104</v>
      </c>
      <c r="H16" s="53">
        <f>D36</f>
        <v>88.4</v>
      </c>
      <c r="K16" s="26" t="s">
        <v>27</v>
      </c>
      <c r="L16" s="26">
        <f>-10.2+0.33*'Import Question'!F6</f>
        <v>6.6300000000000026</v>
      </c>
      <c r="M16" s="51">
        <f xml:space="preserve"> -7.9+0.26*'Import Question'!F6</f>
        <v>5.3599999999999994</v>
      </c>
      <c r="P16" s="159"/>
    </row>
    <row r="17" spans="1:16" ht="19.2">
      <c r="A17" s="104" t="s">
        <v>155</v>
      </c>
      <c r="B17" s="57" t="s">
        <v>153</v>
      </c>
      <c r="C17" s="50">
        <v>0.06</v>
      </c>
      <c r="D17" s="155">
        <v>0.1</v>
      </c>
      <c r="G17" s="51" t="s">
        <v>11</v>
      </c>
      <c r="H17" s="52">
        <f>C25</f>
        <v>60</v>
      </c>
      <c r="K17" s="26" t="s">
        <v>63</v>
      </c>
      <c r="L17" s="26">
        <f>-12.3+0.09*'Import Question'!F80</f>
        <v>-2.4000000000000004</v>
      </c>
      <c r="M17" s="51">
        <f>-20.4+0.15*'Import Question'!F80</f>
        <v>-3.8999999999999986</v>
      </c>
      <c r="P17" s="159"/>
    </row>
    <row r="18" spans="1:16" ht="19.2">
      <c r="A18" s="104" t="s">
        <v>156</v>
      </c>
      <c r="B18" s="57" t="s">
        <v>153</v>
      </c>
      <c r="C18" s="50">
        <v>2</v>
      </c>
      <c r="D18" s="155" t="s">
        <v>260</v>
      </c>
      <c r="G18" s="51" t="s">
        <v>12</v>
      </c>
      <c r="H18" s="52">
        <f>C12</f>
        <v>14</v>
      </c>
      <c r="K18" s="26" t="s">
        <v>64</v>
      </c>
      <c r="L18" s="26">
        <f>IF('Import Question'!F104="Y",1,0)</f>
        <v>0</v>
      </c>
      <c r="M18" s="51">
        <f>IF('Import Question'!F104="Y",1,0)</f>
        <v>0</v>
      </c>
      <c r="P18" s="159"/>
    </row>
    <row r="19" spans="1:16" ht="19.2">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9.2">
      <c r="A20" s="104" t="s">
        <v>158</v>
      </c>
      <c r="B20" s="57" t="s">
        <v>159</v>
      </c>
      <c r="C20" s="49"/>
      <c r="G20" s="51" t="s">
        <v>559</v>
      </c>
      <c r="H20" s="52">
        <f>C16</f>
        <v>3.7</v>
      </c>
      <c r="K20" s="26" t="s">
        <v>66</v>
      </c>
      <c r="L20" s="26">
        <f>IF('Import Question'!F95="Y",1,0)</f>
        <v>0</v>
      </c>
      <c r="M20" s="51">
        <f>IF('Import Question'!F95="Y",1,0)</f>
        <v>0</v>
      </c>
      <c r="P20" s="159"/>
    </row>
    <row r="21" spans="1:16" ht="19.2">
      <c r="A21" s="104" t="s">
        <v>160</v>
      </c>
      <c r="B21" s="57" t="s">
        <v>161</v>
      </c>
      <c r="C21" s="50">
        <v>250</v>
      </c>
      <c r="G21" s="51" t="s">
        <v>14</v>
      </c>
      <c r="H21" s="52">
        <f>C18</f>
        <v>2</v>
      </c>
      <c r="K21" s="26" t="s">
        <v>67</v>
      </c>
      <c r="L21" s="26">
        <f>IF('Import Question'!F82="Y",1,0)</f>
        <v>0</v>
      </c>
      <c r="M21" s="51">
        <f>IF('Import Question'!F82="Y",1,0)</f>
        <v>0</v>
      </c>
      <c r="P21" s="159"/>
    </row>
    <row r="22" spans="1:16" ht="19.2">
      <c r="A22" s="104" t="s">
        <v>162</v>
      </c>
      <c r="B22" s="57" t="s">
        <v>143</v>
      </c>
      <c r="C22" s="49"/>
      <c r="G22" s="51" t="s">
        <v>15</v>
      </c>
      <c r="H22" s="52">
        <f>C19</f>
        <v>267</v>
      </c>
      <c r="K22" s="26" t="s">
        <v>68</v>
      </c>
      <c r="L22" s="51">
        <f>SUM(L16:L21)</f>
        <v>2.7293500000000019</v>
      </c>
      <c r="M22" s="51">
        <f>SUM(M16:M21)</f>
        <v>-0.52085539999999897</v>
      </c>
      <c r="P22" s="159"/>
    </row>
    <row r="23" spans="1:16">
      <c r="A23" s="104" t="s">
        <v>163</v>
      </c>
      <c r="B23" s="57" t="s">
        <v>164</v>
      </c>
      <c r="C23" s="50">
        <v>23</v>
      </c>
      <c r="G23" s="133" t="s">
        <v>16</v>
      </c>
      <c r="H23" s="55"/>
      <c r="K23" s="26" t="s">
        <v>116</v>
      </c>
      <c r="L23" s="51">
        <f>(-0.38+L22*1.37)/100</f>
        <v>3.359209500000003E-2</v>
      </c>
      <c r="M23" s="51">
        <f xml:space="preserve"> (-0.148+0.89*M22)/100</f>
        <v>-6.11561305999999E-3</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 Question'!F6)+5)</f>
        <v>8.2800000000000011</v>
      </c>
      <c r="M25" s="51">
        <f>-7.9+0.26*(('Import Question'!F6)+5)</f>
        <v>6.66</v>
      </c>
    </row>
    <row r="26" spans="1:16">
      <c r="A26" s="57" t="s">
        <v>535</v>
      </c>
      <c r="B26" s="57" t="s">
        <v>168</v>
      </c>
      <c r="C26" s="49"/>
      <c r="G26" s="51" t="s">
        <v>273</v>
      </c>
      <c r="H26" s="59">
        <f>(C53+C54)/12</f>
        <v>0.7583333333333333</v>
      </c>
      <c r="K26" s="26" t="s">
        <v>119</v>
      </c>
      <c r="L26" s="51">
        <f>(L17+L18+L19+L20+L21+L25)</f>
        <v>4.3793500000000005</v>
      </c>
      <c r="M26" s="51">
        <f>(M17+M18+M19+M20+M21+M25)</f>
        <v>0.77914460000000219</v>
      </c>
    </row>
    <row r="27" spans="1:16">
      <c r="A27" s="57" t="s">
        <v>533</v>
      </c>
      <c r="B27" s="57" t="s">
        <v>169</v>
      </c>
      <c r="C27" s="49"/>
      <c r="G27" s="51" t="s">
        <v>274</v>
      </c>
      <c r="H27" s="60" t="str">
        <f>IF(C55&lt;8,"L",(IF(C55&gt;14,"H","N")))</f>
        <v>N</v>
      </c>
      <c r="K27" s="26" t="s">
        <v>117</v>
      </c>
      <c r="L27" s="51">
        <f>(-0.38+L26*1.37)/100</f>
        <v>5.6197095000000016E-2</v>
      </c>
      <c r="M27" s="51">
        <f xml:space="preserve"> (-0.148+0.89*M26)/100</f>
        <v>5.4543869400000191E-3</v>
      </c>
    </row>
    <row r="28" spans="1:16">
      <c r="A28" s="57" t="s">
        <v>170</v>
      </c>
      <c r="B28" s="57" t="s">
        <v>171</v>
      </c>
      <c r="C28" s="49"/>
      <c r="G28" s="51" t="s">
        <v>19</v>
      </c>
      <c r="H28" s="52">
        <f>C31</f>
        <v>0.65</v>
      </c>
    </row>
    <row r="29" spans="1:16">
      <c r="A29" s="57" t="s">
        <v>172</v>
      </c>
      <c r="B29" s="57" t="s">
        <v>145</v>
      </c>
      <c r="C29" s="49"/>
      <c r="G29" s="169" t="s">
        <v>330</v>
      </c>
      <c r="H29" s="169">
        <f>'Import Question'!F229</f>
        <v>0</v>
      </c>
      <c r="I29" s="170" t="s">
        <v>331</v>
      </c>
      <c r="J29" s="171" t="e">
        <f>H3/H29</f>
        <v>#DIV/0!</v>
      </c>
      <c r="K29" s="172" t="s">
        <v>120</v>
      </c>
      <c r="L29" s="26">
        <f>IF('Import Question'!F3="H",1.23,1.04)</f>
        <v>1.23</v>
      </c>
    </row>
    <row r="30" spans="1:16">
      <c r="A30" s="125" t="s">
        <v>497</v>
      </c>
      <c r="B30" s="57" t="s">
        <v>164</v>
      </c>
      <c r="C30" s="128">
        <v>150</v>
      </c>
      <c r="G30" s="61" t="s">
        <v>114</v>
      </c>
      <c r="H30" s="62">
        <f>('Import Question'!F6*H25)/((H22*(SQRT(H24))))</f>
        <v>1.7524582215133926</v>
      </c>
      <c r="I30" s="173">
        <f>IF(H30&lt;2,0,1.5)</f>
        <v>0</v>
      </c>
    </row>
    <row r="31" spans="1:16">
      <c r="A31" s="104" t="s">
        <v>173</v>
      </c>
      <c r="B31" s="57" t="s">
        <v>174</v>
      </c>
      <c r="C31" s="50">
        <v>0.65</v>
      </c>
      <c r="G31" s="61" t="s">
        <v>103</v>
      </c>
      <c r="H31" s="62">
        <f>MAX(0.01,IF('Import Question'!F3="H",'Import Biologie'!L23,'Import Biologie'!M23))</f>
        <v>0.01</v>
      </c>
      <c r="I31" s="157" t="s">
        <v>115</v>
      </c>
      <c r="J31" s="48">
        <f>IF('Import Question'!F3="H",'Import Biologie'!L27,'Import Biologie'!M27)</f>
        <v>2.1956000000000017E-2</v>
      </c>
      <c r="K31" s="157">
        <v>8.5</v>
      </c>
    </row>
    <row r="32" spans="1:16">
      <c r="A32" s="57" t="s">
        <v>175</v>
      </c>
      <c r="B32" s="57" t="s">
        <v>176</v>
      </c>
      <c r="C32" s="50"/>
      <c r="D32" s="174">
        <f>C32*0.03624502</f>
        <v>0</v>
      </c>
      <c r="E32" s="156" t="s">
        <v>229</v>
      </c>
      <c r="G32" s="108" t="s">
        <v>58</v>
      </c>
      <c r="H32" s="108">
        <f>IF(H3=0,0,(IF('Import 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
      <c r="A37" s="104" t="s">
        <v>182</v>
      </c>
      <c r="B37" s="57" t="s">
        <v>183</v>
      </c>
      <c r="C37" s="50">
        <v>81</v>
      </c>
      <c r="D37" s="155" t="s">
        <v>177</v>
      </c>
      <c r="E37" s="175" t="s">
        <v>334</v>
      </c>
      <c r="F37" s="175">
        <f>IF(C37&lt;30,2,IF(C37&gt;60,1,1.5))+IF(C37=0,-1,0)</f>
        <v>1</v>
      </c>
      <c r="G37" s="63" t="s">
        <v>120</v>
      </c>
      <c r="H37" s="65" t="e">
        <f>((140-'Import Question'!F6)*('Import Question'!F78)*L29/('Import Biologie'!H16))</f>
        <v>#DIV/0!</v>
      </c>
      <c r="J37" s="176"/>
    </row>
    <row r="38" spans="1:14">
      <c r="A38" s="129" t="s">
        <v>348</v>
      </c>
      <c r="B38" s="261" t="s">
        <v>185</v>
      </c>
      <c r="C38" s="113"/>
      <c r="D38" s="155" t="s">
        <v>346</v>
      </c>
      <c r="E38" s="156" t="s">
        <v>347</v>
      </c>
      <c r="G38" s="61" t="s">
        <v>121</v>
      </c>
      <c r="H38" s="61">
        <f>SUM(J38:J42)</f>
        <v>0</v>
      </c>
      <c r="I38" s="157" t="s">
        <v>0</v>
      </c>
      <c r="J38" s="161">
        <f>IF('Import Question'!H77&gt;0.3,2,0)</f>
        <v>0</v>
      </c>
      <c r="L38" s="157">
        <v>2</v>
      </c>
    </row>
    <row r="39" spans="1:14">
      <c r="A39" s="130" t="s">
        <v>349</v>
      </c>
      <c r="B39" s="261" t="s">
        <v>185</v>
      </c>
      <c r="C39" s="113" t="s">
        <v>346</v>
      </c>
      <c r="I39" s="157" t="s">
        <v>71</v>
      </c>
      <c r="J39" s="157">
        <f>IF('Import Question'!F79&gt;'Import Biologie'!K39,1.5,0)</f>
        <v>0</v>
      </c>
      <c r="K39" s="177">
        <v>102</v>
      </c>
      <c r="L39" s="157">
        <v>1.5</v>
      </c>
    </row>
    <row r="40" spans="1:14">
      <c r="A40" s="131" t="s">
        <v>350</v>
      </c>
      <c r="B40" s="261" t="s">
        <v>185</v>
      </c>
      <c r="C40" s="113"/>
      <c r="F40" s="178" t="s">
        <v>255</v>
      </c>
      <c r="G40" s="179">
        <f>IF('Import 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 Question'!F104="Y",1,0),IF('Import 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51</v>
      </c>
      <c r="M48" s="156"/>
      <c r="N48" s="182" t="str">
        <f>IF(L59&lt;2.5,"Faible",IF(L59&gt;7.5,"Elevé","intermédiare"))</f>
        <v>Faible</v>
      </c>
    </row>
    <row r="49" spans="1:14">
      <c r="A49" s="66" t="s">
        <v>196</v>
      </c>
      <c r="B49" s="57" t="s">
        <v>189</v>
      </c>
      <c r="C49" s="50">
        <v>92</v>
      </c>
      <c r="E49" s="156" t="s">
        <v>231</v>
      </c>
      <c r="K49" s="150" t="s">
        <v>610</v>
      </c>
      <c r="L49" s="152">
        <f>'Import Question'!H3</f>
        <v>1</v>
      </c>
      <c r="M49" s="156"/>
      <c r="N49" s="182" t="str">
        <f>IF(L59&lt;5,"Faible",IF(L59&gt;10,"Elevé","intermédiare"))</f>
        <v>Faible</v>
      </c>
    </row>
    <row r="50" spans="1:14">
      <c r="A50" s="132" t="s">
        <v>197</v>
      </c>
      <c r="B50" s="261" t="s">
        <v>198</v>
      </c>
      <c r="C50" s="113"/>
      <c r="K50" s="150" t="s">
        <v>611</v>
      </c>
      <c r="L50" s="152">
        <f>IF('Import Question'!F82="Y",1,0)</f>
        <v>0</v>
      </c>
      <c r="M50" s="156"/>
      <c r="N50" s="182" t="str">
        <f>IF(L59&lt;7.5,"Faible",IF(L59&gt;15,"Elevé","intermédiare"))</f>
        <v>Faible</v>
      </c>
    </row>
    <row r="51" spans="1:14">
      <c r="A51" s="132" t="s">
        <v>199</v>
      </c>
      <c r="B51" s="261" t="s">
        <v>198</v>
      </c>
      <c r="C51" s="113"/>
      <c r="K51" s="153" t="s">
        <v>612</v>
      </c>
      <c r="L51" s="152">
        <f>'Import Question'!F80</f>
        <v>110</v>
      </c>
      <c r="M51" s="156"/>
      <c r="N51" s="183"/>
    </row>
    <row r="52" spans="1:14">
      <c r="A52" s="132" t="s">
        <v>200</v>
      </c>
      <c r="B52" s="261" t="s">
        <v>198</v>
      </c>
      <c r="C52" s="113"/>
      <c r="K52" s="150" t="s">
        <v>613</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 Question'!F6</f>
        <v>51</v>
      </c>
    </row>
    <row r="57" spans="1:14">
      <c r="A57" s="157" t="s">
        <v>204</v>
      </c>
      <c r="C57" s="187">
        <f>'Import Question'!F78</f>
        <v>75</v>
      </c>
      <c r="D57" s="155" t="s">
        <v>261</v>
      </c>
      <c r="E57" s="188">
        <f>C58-100-((C58-150)/4)</f>
        <v>61.25</v>
      </c>
      <c r="F57" s="176" t="s">
        <v>265</v>
      </c>
      <c r="G57" s="176" t="s">
        <v>264</v>
      </c>
      <c r="H57" s="189">
        <f>((10*C57)+(6.25*C58)-(5*C56)+5)/1000</f>
        <v>1.53125</v>
      </c>
    </row>
    <row r="58" spans="1:14">
      <c r="A58" s="157" t="s">
        <v>205</v>
      </c>
      <c r="C58" s="187">
        <f>'Import Question'!F77</f>
        <v>165</v>
      </c>
      <c r="F58" s="156" t="s">
        <v>267</v>
      </c>
      <c r="G58" s="176" t="s">
        <v>266</v>
      </c>
      <c r="H58" s="189">
        <f>((10*C57)+(C58*6.25)-(5*C56)-161)/1000</f>
        <v>1.3652500000000001</v>
      </c>
      <c r="L58" s="190" t="s">
        <v>614</v>
      </c>
    </row>
    <row r="59" spans="1:14">
      <c r="A59" s="157" t="s">
        <v>206</v>
      </c>
      <c r="C59" s="191">
        <f>100*C57/C58^2</f>
        <v>0.27548209366391185</v>
      </c>
      <c r="D59" s="155" t="s">
        <v>201</v>
      </c>
      <c r="K59" s="157" t="s">
        <v>609</v>
      </c>
      <c r="L59" s="192">
        <f xml:space="preserve"> -25.7140130071773+0.267011088709677*L48+2.55729166666666*L49+2.97395833333333*L50+0.0753386699507389*L51+0.576041666666669*L52</f>
        <v>-0.59544503840249741</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3.1866666666666668E-2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49</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34.271249999999995</v>
      </c>
      <c r="D73" s="158" t="s">
        <v>301</v>
      </c>
      <c r="E73" s="199">
        <f>(0.407*C57)+(0.267*C58)-9.2</f>
        <v>65.38</v>
      </c>
      <c r="F73" s="200" t="s">
        <v>304</v>
      </c>
    </row>
    <row r="74" spans="1:6">
      <c r="A74" s="198" t="s">
        <v>234</v>
      </c>
      <c r="B74" s="193"/>
      <c r="C74" s="194">
        <f>( (42-0.5*C56+0.0025*C56^2))</f>
        <v>23.002500000000001</v>
      </c>
      <c r="D74" s="155" t="s">
        <v>217</v>
      </c>
    </row>
    <row r="75" spans="1:6">
      <c r="A75" s="198" t="s">
        <v>220</v>
      </c>
      <c r="B75" s="193"/>
      <c r="C75" s="201">
        <f>(C72/C73)*(IF('Import Question'!H3=1,1,0))</f>
        <v>0.83054457905612955</v>
      </c>
      <c r="D75" s="158" t="s">
        <v>302</v>
      </c>
    </row>
    <row r="76" spans="1:6">
      <c r="A76" s="198" t="s">
        <v>221</v>
      </c>
      <c r="B76" s="193"/>
      <c r="C76" s="195">
        <f>(C72/C74)*(IF('Import Question'!H3=0,1,0))</f>
        <v>0</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1153</v>
      </c>
      <c r="B90" s="193"/>
      <c r="C90" s="193"/>
    </row>
    <row r="91" spans="1:7">
      <c r="A91" s="69" t="s">
        <v>1154</v>
      </c>
      <c r="B91" s="193"/>
      <c r="C91" s="185"/>
    </row>
    <row r="92" spans="1:7">
      <c r="A92" s="69" t="s">
        <v>1155</v>
      </c>
      <c r="B92" s="193"/>
      <c r="C92" s="185"/>
    </row>
    <row r="93" spans="1:7">
      <c r="A93" s="69"/>
      <c r="B93" s="193"/>
      <c r="C93" s="185"/>
    </row>
    <row r="94" spans="1:7">
      <c r="A94" s="69" t="s">
        <v>1234</v>
      </c>
      <c r="B94" s="193"/>
      <c r="C94" s="377" t="s">
        <v>1238</v>
      </c>
      <c r="D94" s="377" t="s">
        <v>1239</v>
      </c>
      <c r="E94" s="377" t="s">
        <v>1240</v>
      </c>
      <c r="F94" s="377" t="s">
        <v>1241</v>
      </c>
      <c r="G94" s="376"/>
    </row>
    <row r="95" spans="1:7">
      <c r="A95" s="69" t="s">
        <v>1235</v>
      </c>
      <c r="B95" s="193"/>
      <c r="C95" s="377" t="s">
        <v>1242</v>
      </c>
      <c r="D95" s="377" t="s">
        <v>1243</v>
      </c>
      <c r="E95" s="377" t="s">
        <v>1244</v>
      </c>
      <c r="F95" s="377" t="s">
        <v>1245</v>
      </c>
      <c r="G95" s="377" t="s">
        <v>1246</v>
      </c>
    </row>
    <row r="96" spans="1:7">
      <c r="A96" s="69" t="s">
        <v>1236</v>
      </c>
      <c r="B96" s="193"/>
      <c r="C96" s="377" t="s">
        <v>1247</v>
      </c>
      <c r="D96" s="377" t="s">
        <v>1248</v>
      </c>
      <c r="E96" s="377" t="s">
        <v>1249</v>
      </c>
      <c r="F96" s="377" t="s">
        <v>1250</v>
      </c>
      <c r="G96" s="377" t="s">
        <v>1251</v>
      </c>
    </row>
    <row r="97" spans="1:7">
      <c r="A97" s="69" t="s">
        <v>1237</v>
      </c>
      <c r="B97" s="193"/>
      <c r="C97" s="377" t="s">
        <v>1252</v>
      </c>
      <c r="D97" s="377" t="s">
        <v>1253</v>
      </c>
      <c r="E97" s="377" t="s">
        <v>1254</v>
      </c>
      <c r="F97" s="377" t="s">
        <v>1255</v>
      </c>
      <c r="G97" s="377" t="s">
        <v>1256</v>
      </c>
    </row>
    <row r="98" spans="1:7">
      <c r="A98" s="378" t="s">
        <v>1262</v>
      </c>
      <c r="B98" s="193"/>
      <c r="C98" s="377" t="s">
        <v>1257</v>
      </c>
      <c r="D98" s="377" t="s">
        <v>1258</v>
      </c>
      <c r="E98" s="377" t="s">
        <v>1259</v>
      </c>
      <c r="F98" s="377" t="s">
        <v>1260</v>
      </c>
      <c r="G98" s="377" t="s">
        <v>1261</v>
      </c>
    </row>
    <row r="99" spans="1:7">
      <c r="A99" s="69"/>
      <c r="C99" s="185" t="s">
        <v>1263</v>
      </c>
    </row>
    <row r="100" spans="1:7">
      <c r="A100" t="s">
        <v>1264</v>
      </c>
      <c r="B100" t="s">
        <v>1265</v>
      </c>
      <c r="C100" s="185"/>
    </row>
    <row r="101" spans="1:7" ht="26.4">
      <c r="A101" s="379" t="s">
        <v>1266</v>
      </c>
      <c r="B101" s="381" t="s">
        <v>1267</v>
      </c>
      <c r="C101" s="381" t="s">
        <v>1268</v>
      </c>
      <c r="D101" s="376"/>
    </row>
    <row r="102" spans="1:7" ht="26.4">
      <c r="A102" s="69"/>
      <c r="B102" s="381" t="s">
        <v>1269</v>
      </c>
      <c r="C102" s="382" t="s">
        <v>1270</v>
      </c>
      <c r="D102" s="382" t="s">
        <v>1271</v>
      </c>
    </row>
    <row r="103" spans="1:7" ht="26.4">
      <c r="B103" s="900" t="s">
        <v>1272</v>
      </c>
      <c r="C103" s="902" t="s">
        <v>1273</v>
      </c>
      <c r="D103" s="383" t="s">
        <v>1274</v>
      </c>
    </row>
    <row r="104" spans="1:7">
      <c r="B104" s="900"/>
      <c r="C104" s="902"/>
      <c r="D104" s="380"/>
    </row>
    <row r="105" spans="1:7" ht="26.4">
      <c r="B105" s="900"/>
      <c r="C105" s="902"/>
      <c r="D105" s="383" t="s">
        <v>1275</v>
      </c>
    </row>
    <row r="106" spans="1:7">
      <c r="B106" s="900"/>
      <c r="C106" s="902"/>
      <c r="D106" s="380"/>
    </row>
    <row r="107" spans="1:7" ht="26.4">
      <c r="B107" s="901"/>
      <c r="C107" s="903"/>
      <c r="D107" s="383" t="s">
        <v>1276</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defaultColWidth="10.6640625" defaultRowHeight="14.4"/>
  <cols>
    <col min="1" max="1" width="10.6640625" style="149"/>
    <col min="2" max="2" width="25.6640625" style="149" bestFit="1" customWidth="1"/>
    <col min="3" max="3" width="32.88671875" style="149" bestFit="1" customWidth="1"/>
    <col min="4" max="4" width="34.77734375" style="149" bestFit="1" customWidth="1"/>
    <col min="5" max="5" width="41.5546875" style="149" bestFit="1" customWidth="1"/>
    <col min="6" max="6" width="46.21875" style="149" bestFit="1" customWidth="1"/>
    <col min="7" max="7" width="22" style="149" bestFit="1" customWidth="1"/>
    <col min="8" max="8" width="7.44140625" style="149" bestFit="1" customWidth="1"/>
    <col min="9" max="9" width="11.44140625" style="149" bestFit="1" customWidth="1"/>
    <col min="10" max="10" width="26.77734375" style="149" bestFit="1" customWidth="1"/>
    <col min="11" max="11" width="13.109375" style="149" bestFit="1" customWidth="1"/>
    <col min="12" max="12" width="9.5546875" style="149" bestFit="1" customWidth="1"/>
    <col min="13" max="13" width="8.88671875" style="149" bestFit="1" customWidth="1"/>
    <col min="14" max="14" width="12.77734375" style="149" bestFit="1" customWidth="1"/>
    <col min="15" max="15" width="15.5546875" style="149" bestFit="1" customWidth="1"/>
    <col min="16" max="16384" width="10.6640625" style="149"/>
  </cols>
  <sheetData>
    <row r="1" spans="2:15">
      <c r="B1" s="406" t="s">
        <v>1048</v>
      </c>
    </row>
    <row r="2" spans="2:15">
      <c r="B2" s="25" t="s">
        <v>1050</v>
      </c>
      <c r="C2" s="149" t="s">
        <v>1051</v>
      </c>
      <c r="G2" s="405"/>
    </row>
    <row r="3" spans="2:15">
      <c r="B3" s="25" t="s">
        <v>1052</v>
      </c>
      <c r="C3" s="405" t="s">
        <v>134</v>
      </c>
      <c r="D3" s="405" t="s">
        <v>136</v>
      </c>
      <c r="E3" s="405" t="s">
        <v>137</v>
      </c>
      <c r="F3" s="405" t="s">
        <v>138</v>
      </c>
      <c r="G3" s="405" t="s">
        <v>333</v>
      </c>
      <c r="H3" s="405" t="s">
        <v>142</v>
      </c>
      <c r="I3" s="405" t="s">
        <v>1053</v>
      </c>
      <c r="J3" s="407" t="s">
        <v>1054</v>
      </c>
      <c r="K3" s="149" t="s">
        <v>1303</v>
      </c>
    </row>
    <row r="4" spans="2:15">
      <c r="B4" s="25" t="s">
        <v>1055</v>
      </c>
      <c r="C4" s="405" t="s">
        <v>139</v>
      </c>
      <c r="D4" s="149" t="s">
        <v>1056</v>
      </c>
      <c r="E4" s="149" t="s">
        <v>1297</v>
      </c>
      <c r="F4" s="405" t="s">
        <v>1057</v>
      </c>
      <c r="G4" s="149" t="s">
        <v>1058</v>
      </c>
    </row>
    <row r="5" spans="2:15">
      <c r="B5" s="25" t="s">
        <v>1059</v>
      </c>
      <c r="C5" s="405" t="s">
        <v>1060</v>
      </c>
      <c r="D5" s="405" t="s">
        <v>1061</v>
      </c>
      <c r="E5" s="405" t="s">
        <v>1062</v>
      </c>
      <c r="K5" s="405"/>
    </row>
    <row r="6" spans="2:15">
      <c r="B6" s="25" t="s">
        <v>1063</v>
      </c>
      <c r="C6" s="405" t="s">
        <v>1064</v>
      </c>
      <c r="D6" s="405" t="s">
        <v>1065</v>
      </c>
      <c r="E6" s="405" t="s">
        <v>1066</v>
      </c>
      <c r="F6" s="405" t="s">
        <v>1067</v>
      </c>
      <c r="G6" s="405" t="s">
        <v>1068</v>
      </c>
      <c r="H6" s="149" t="s">
        <v>1069</v>
      </c>
      <c r="I6" s="149" t="s">
        <v>1070</v>
      </c>
      <c r="K6" s="405"/>
    </row>
    <row r="7" spans="2:15">
      <c r="B7" s="25" t="s">
        <v>1071</v>
      </c>
      <c r="C7" s="405" t="s">
        <v>1072</v>
      </c>
      <c r="D7" s="405" t="s">
        <v>1073</v>
      </c>
      <c r="E7" s="405" t="s">
        <v>1074</v>
      </c>
      <c r="F7" s="149" t="s">
        <v>1075</v>
      </c>
      <c r="K7" s="405"/>
    </row>
    <row r="8" spans="2:15">
      <c r="B8" s="25" t="s">
        <v>1076</v>
      </c>
      <c r="C8" s="149" t="s">
        <v>144</v>
      </c>
      <c r="D8" s="149" t="s">
        <v>1077</v>
      </c>
      <c r="E8" s="149" t="s">
        <v>1078</v>
      </c>
      <c r="G8" s="405" t="s">
        <v>339</v>
      </c>
    </row>
    <row r="9" spans="2:15">
      <c r="B9" s="25" t="s">
        <v>1079</v>
      </c>
      <c r="C9" s="405" t="s">
        <v>1080</v>
      </c>
      <c r="D9" s="405" t="s">
        <v>1057</v>
      </c>
      <c r="E9" s="405" t="s">
        <v>162</v>
      </c>
    </row>
    <row r="10" spans="2:15">
      <c r="B10" s="25" t="s">
        <v>1081</v>
      </c>
      <c r="C10" s="405" t="s">
        <v>497</v>
      </c>
      <c r="G10" s="405"/>
      <c r="K10" s="405"/>
    </row>
    <row r="11" spans="2:15">
      <c r="B11" s="25" t="s">
        <v>1049</v>
      </c>
      <c r="C11" s="149" t="s">
        <v>1082</v>
      </c>
      <c r="D11" s="405" t="s">
        <v>1083</v>
      </c>
      <c r="E11" s="405" t="s">
        <v>1084</v>
      </c>
      <c r="F11" s="149" t="s">
        <v>1085</v>
      </c>
      <c r="G11" s="408" t="s">
        <v>1086</v>
      </c>
      <c r="L11" s="405"/>
    </row>
    <row r="12" spans="2:15">
      <c r="B12" s="25" t="s">
        <v>1087</v>
      </c>
      <c r="C12" s="405" t="s">
        <v>1088</v>
      </c>
      <c r="D12" s="149" t="s">
        <v>1089</v>
      </c>
      <c r="E12" s="149" t="s">
        <v>1302</v>
      </c>
      <c r="K12" s="405"/>
    </row>
    <row r="13" spans="2:15">
      <c r="B13" s="25" t="s">
        <v>1090</v>
      </c>
      <c r="C13" s="405" t="s">
        <v>1091</v>
      </c>
      <c r="D13" s="149" t="s">
        <v>1092</v>
      </c>
      <c r="E13" s="409" t="s">
        <v>1093</v>
      </c>
      <c r="F13" s="149" t="s">
        <v>1301</v>
      </c>
      <c r="K13" s="405"/>
    </row>
    <row r="14" spans="2:15">
      <c r="B14" s="25" t="s">
        <v>1094</v>
      </c>
      <c r="C14" s="405" t="s">
        <v>1095</v>
      </c>
      <c r="D14" s="405" t="s">
        <v>1096</v>
      </c>
      <c r="E14" s="405" t="s">
        <v>188</v>
      </c>
      <c r="F14" s="405" t="s">
        <v>1097</v>
      </c>
      <c r="G14" s="405" t="s">
        <v>1098</v>
      </c>
      <c r="H14" s="405" t="s">
        <v>193</v>
      </c>
      <c r="I14" s="405" t="s">
        <v>1099</v>
      </c>
      <c r="J14" s="405" t="s">
        <v>1100</v>
      </c>
      <c r="K14" s="405" t="s">
        <v>1101</v>
      </c>
      <c r="L14" s="405" t="s">
        <v>358</v>
      </c>
      <c r="M14" s="405" t="s">
        <v>1102</v>
      </c>
      <c r="N14" s="405" t="s">
        <v>1103</v>
      </c>
      <c r="O14" s="149" t="s">
        <v>1104</v>
      </c>
    </row>
    <row r="15" spans="2:15">
      <c r="B15" s="25" t="s">
        <v>1105</v>
      </c>
      <c r="C15" s="149" t="s">
        <v>1106</v>
      </c>
      <c r="K15" s="405"/>
    </row>
    <row r="16" spans="2:15">
      <c r="B16" s="25" t="s">
        <v>1110</v>
      </c>
      <c r="C16" s="149" t="s">
        <v>1111</v>
      </c>
      <c r="K16" s="405"/>
    </row>
    <row r="17" spans="2:11">
      <c r="B17" s="25" t="s">
        <v>1107</v>
      </c>
      <c r="C17" s="149" t="s">
        <v>1108</v>
      </c>
      <c r="K17" s="405"/>
    </row>
    <row r="18" spans="2:11">
      <c r="B18" s="25" t="s">
        <v>1112</v>
      </c>
      <c r="C18" s="149" t="s">
        <v>1299</v>
      </c>
      <c r="D18" s="149" t="s">
        <v>1298</v>
      </c>
      <c r="E18" s="149" t="s">
        <v>1300</v>
      </c>
      <c r="K18" s="405"/>
    </row>
    <row r="19" spans="2:11">
      <c r="B19" s="25" t="s">
        <v>1109</v>
      </c>
      <c r="K19" s="405"/>
    </row>
    <row r="20" spans="2:11">
      <c r="B20" s="25"/>
    </row>
    <row r="21" spans="2:11">
      <c r="B21" s="316" t="s">
        <v>1113</v>
      </c>
    </row>
    <row r="22" spans="2:11">
      <c r="B22" s="316" t="s">
        <v>922</v>
      </c>
    </row>
    <row r="23" spans="2:11">
      <c r="B23" s="25" t="s">
        <v>1114</v>
      </c>
    </row>
    <row r="24" spans="2:11">
      <c r="B24" s="25" t="s">
        <v>42</v>
      </c>
    </row>
    <row r="25" spans="2:11">
      <c r="B25" s="25" t="s">
        <v>1199</v>
      </c>
    </row>
    <row r="26" spans="2:11">
      <c r="B26" s="25" t="s">
        <v>920</v>
      </c>
    </row>
    <row r="27" spans="2:11">
      <c r="B27" s="25" t="s">
        <v>929</v>
      </c>
    </row>
    <row r="28" spans="2:11">
      <c r="B28" s="25" t="s">
        <v>930</v>
      </c>
    </row>
    <row r="29" spans="2:11">
      <c r="B29" s="25" t="s">
        <v>1405</v>
      </c>
    </row>
    <row r="30" spans="2:11">
      <c r="B30" s="25" t="s">
        <v>1200</v>
      </c>
    </row>
    <row r="31" spans="2:11">
      <c r="B31" s="25" t="s">
        <v>1201</v>
      </c>
    </row>
    <row r="32" spans="2:11">
      <c r="B32" s="25" t="s">
        <v>932</v>
      </c>
    </row>
    <row r="33" spans="2:2">
      <c r="B33" s="25" t="s">
        <v>931</v>
      </c>
    </row>
    <row r="34" spans="2:2">
      <c r="B34" s="25" t="s">
        <v>1295</v>
      </c>
    </row>
    <row r="35" spans="2:2">
      <c r="B35" s="25" t="s">
        <v>1202</v>
      </c>
    </row>
    <row r="36" spans="2:2">
      <c r="B36" s="25" t="s">
        <v>1203</v>
      </c>
    </row>
    <row r="37" spans="2:2">
      <c r="B37" s="25" t="s">
        <v>1296</v>
      </c>
    </row>
  </sheetData>
  <pageMargins left="0.7" right="0.7" top="0.75" bottom="0.75" header="0.3" footer="0.3"/>
  <pageSetup scale="3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3" zoomScale="75" zoomScaleNormal="75" zoomScaleSheetLayoutView="75" workbookViewId="0">
      <selection activeCell="Q23" sqref="Q23"/>
    </sheetView>
  </sheetViews>
  <sheetFormatPr defaultColWidth="11.5546875" defaultRowHeight="14.4"/>
  <cols>
    <col min="8" max="8" width="15.21875" style="265" customWidth="1"/>
    <col min="9" max="10" width="10.88671875" style="15"/>
    <col min="11" max="11" width="14.44140625" style="15" customWidth="1"/>
    <col min="13" max="13" width="15.77734375" customWidth="1"/>
    <col min="14" max="14" width="11.5546875" style="15"/>
    <col min="17" max="17" width="16.44140625" customWidth="1"/>
  </cols>
  <sheetData>
    <row r="2" spans="7:25" ht="21">
      <c r="G2" s="235" t="s">
        <v>55</v>
      </c>
      <c r="H2" s="264" t="s">
        <v>34</v>
      </c>
      <c r="I2" s="236" t="s">
        <v>56</v>
      </c>
      <c r="J2" s="236" t="s">
        <v>80</v>
      </c>
      <c r="K2" s="236" t="s">
        <v>605</v>
      </c>
      <c r="R2" t="s">
        <v>769</v>
      </c>
      <c r="W2" s="234"/>
      <c r="X2" s="21"/>
      <c r="Y2" s="22"/>
    </row>
    <row r="3" spans="7:25" ht="21">
      <c r="G3" s="237" t="s">
        <v>54</v>
      </c>
      <c r="H3" s="263">
        <f>calculRISKS!R2</f>
        <v>2.1151720279720565E-2</v>
      </c>
      <c r="I3" s="238">
        <f>calculRISKS!S2</f>
        <v>1.4148000000000001E-2</v>
      </c>
      <c r="J3" s="238">
        <f>calculRISKS!V2</f>
        <v>2.9070000000000002E-2</v>
      </c>
      <c r="K3" s="263">
        <f>(MAX(I3,J3)-(H3+(H3*0.1)))</f>
        <v>5.8031076923073799E-3</v>
      </c>
      <c r="M3" s="239" t="s">
        <v>91</v>
      </c>
      <c r="N3" s="28"/>
      <c r="O3" s="242">
        <v>-5</v>
      </c>
      <c r="Q3" s="845" t="s">
        <v>54</v>
      </c>
      <c r="R3" s="244">
        <f>MIN(I3:J3)/H3</f>
        <v>0.66888176530797572</v>
      </c>
      <c r="S3">
        <v>1.2</v>
      </c>
      <c r="T3" s="28">
        <f>IF(R3&gt;3,3,R3)</f>
        <v>0.66888176530797572</v>
      </c>
      <c r="U3" s="28">
        <v>2.2000000000000002</v>
      </c>
      <c r="V3" s="28">
        <v>3</v>
      </c>
      <c r="W3" s="20" t="s">
        <v>770</v>
      </c>
      <c r="X3" s="20" t="s">
        <v>772</v>
      </c>
      <c r="Y3" s="20" t="s">
        <v>771</v>
      </c>
    </row>
    <row r="4" spans="7:25" ht="21">
      <c r="G4" s="240" t="s">
        <v>35</v>
      </c>
      <c r="H4" s="263">
        <f>calculRISKS!R3</f>
        <v>6.9843356643353782E-2</v>
      </c>
      <c r="I4" s="238">
        <f>calculRISKS!S3</f>
        <v>0.10057443356642944</v>
      </c>
      <c r="J4" s="238">
        <f>calculRISKS!V3</f>
        <v>0.13446981818181417</v>
      </c>
      <c r="K4" s="263">
        <f t="shared" ref="K4:K23" si="0">MAX(I4,J4)-(H4+(H4*0.1))</f>
        <v>5.7642125874125011E-2</v>
      </c>
      <c r="M4" s="239" t="s">
        <v>92</v>
      </c>
      <c r="N4" s="28"/>
      <c r="O4" s="242"/>
      <c r="Q4" s="846" t="s">
        <v>35</v>
      </c>
      <c r="R4" s="244">
        <f t="shared" ref="R4:R23" si="1">MIN(I4:J4)/H4</f>
        <v>1.44</v>
      </c>
      <c r="S4">
        <v>1.2</v>
      </c>
      <c r="T4" s="28">
        <f t="shared" ref="T4:T23" si="2">IF(R4&gt;3,3,R4)</f>
        <v>1.44</v>
      </c>
      <c r="U4" s="28">
        <v>2.2000000000000002</v>
      </c>
      <c r="V4" s="28">
        <v>3</v>
      </c>
      <c r="W4" s="20" t="s">
        <v>770</v>
      </c>
      <c r="X4" s="20" t="s">
        <v>772</v>
      </c>
      <c r="Y4" s="20" t="s">
        <v>771</v>
      </c>
    </row>
    <row r="5" spans="7:25" ht="21">
      <c r="G5" s="240" t="s">
        <v>36</v>
      </c>
      <c r="H5" s="263">
        <f>calculRISKS!R4</f>
        <v>5.9709999999999763E-3</v>
      </c>
      <c r="I5" s="238">
        <f>calculRISKS!S4</f>
        <v>7.1651999999999714E-3</v>
      </c>
      <c r="J5" s="238">
        <f>calculRISKS!V4</f>
        <v>1.7762057142857102E-2</v>
      </c>
      <c r="K5" s="263">
        <f t="shared" si="0"/>
        <v>1.1193957142857128E-2</v>
      </c>
      <c r="M5" s="239" t="s">
        <v>93</v>
      </c>
      <c r="N5" s="28"/>
      <c r="O5" s="242">
        <v>5</v>
      </c>
      <c r="Q5" s="240" t="s">
        <v>36</v>
      </c>
      <c r="R5" s="244">
        <f t="shared" si="1"/>
        <v>1.2</v>
      </c>
      <c r="S5">
        <v>1.2</v>
      </c>
      <c r="T5" s="28">
        <f t="shared" si="2"/>
        <v>1.2</v>
      </c>
      <c r="U5" s="28">
        <v>2.2000000000000002</v>
      </c>
      <c r="V5" s="28">
        <v>3</v>
      </c>
      <c r="W5" s="20" t="s">
        <v>770</v>
      </c>
      <c r="X5" s="20" t="s">
        <v>772</v>
      </c>
      <c r="Y5" s="20" t="s">
        <v>771</v>
      </c>
    </row>
    <row r="6" spans="7:25" ht="21">
      <c r="G6" s="240" t="s">
        <v>37</v>
      </c>
      <c r="H6" s="263">
        <f>calculRISKS!R5</f>
        <v>7.4500000000001565E-2</v>
      </c>
      <c r="I6" s="238">
        <f>calculRISKS!S5</f>
        <v>8.0460000000001697E-2</v>
      </c>
      <c r="J6" s="238">
        <f>calculRISKS!V5</f>
        <v>9.0720000000001771E-2</v>
      </c>
      <c r="K6" s="263">
        <f t="shared" si="0"/>
        <v>8.7700000000000555E-3</v>
      </c>
      <c r="M6" s="239" t="s">
        <v>94</v>
      </c>
      <c r="N6" s="28"/>
      <c r="O6" s="242">
        <v>20</v>
      </c>
      <c r="Q6" s="240" t="s">
        <v>37</v>
      </c>
      <c r="R6" s="244">
        <f t="shared" si="1"/>
        <v>1.08</v>
      </c>
      <c r="S6">
        <v>1.2</v>
      </c>
      <c r="T6" s="28">
        <f t="shared" si="2"/>
        <v>1.08</v>
      </c>
      <c r="U6" s="28">
        <v>2.2000000000000002</v>
      </c>
      <c r="V6" s="28">
        <v>3</v>
      </c>
      <c r="W6" s="20" t="s">
        <v>770</v>
      </c>
      <c r="X6" s="20" t="s">
        <v>772</v>
      </c>
      <c r="Y6" s="20" t="s">
        <v>771</v>
      </c>
    </row>
    <row r="7" spans="7:25" ht="21">
      <c r="G7" s="240" t="s">
        <v>38</v>
      </c>
      <c r="H7" s="263">
        <f>calculRISKS!R6</f>
        <v>6.2724999999999708E-3</v>
      </c>
      <c r="I7" s="238">
        <f>calculRISKS!S6</f>
        <v>5.0179999999999773E-3</v>
      </c>
      <c r="J7" s="238">
        <f>calculRISKS!V6</f>
        <v>8.0845714285713976E-3</v>
      </c>
      <c r="K7" s="263">
        <f t="shared" si="0"/>
        <v>1.1848214285714292E-3</v>
      </c>
      <c r="N7" s="28"/>
      <c r="Q7" s="240" t="s">
        <v>38</v>
      </c>
      <c r="R7" s="244">
        <f t="shared" si="1"/>
        <v>0.80000000000000016</v>
      </c>
      <c r="S7">
        <v>1.2</v>
      </c>
      <c r="T7" s="28">
        <f t="shared" si="2"/>
        <v>0.80000000000000016</v>
      </c>
      <c r="U7" s="28">
        <v>2.2000000000000002</v>
      </c>
      <c r="V7" s="28">
        <v>3</v>
      </c>
      <c r="W7" s="20" t="s">
        <v>770</v>
      </c>
      <c r="X7" s="20" t="s">
        <v>772</v>
      </c>
      <c r="Y7" s="20" t="s">
        <v>771</v>
      </c>
    </row>
    <row r="8" spans="7:25" ht="21">
      <c r="G8" s="240" t="s">
        <v>39</v>
      </c>
      <c r="H8" s="263">
        <f>calculRISKS!R7</f>
        <v>1.5885877470923487E-3</v>
      </c>
      <c r="I8" s="238">
        <f>calculRISKS!S7</f>
        <v>1.7156747668597367E-3</v>
      </c>
      <c r="J8" s="238">
        <f>calculRISKS!V7</f>
        <v>4.0561613858835855E-3</v>
      </c>
      <c r="K8" s="263">
        <f t="shared" si="0"/>
        <v>2.308714864082002E-3</v>
      </c>
      <c r="N8" s="28"/>
      <c r="Q8" s="240" t="s">
        <v>39</v>
      </c>
      <c r="R8" s="244">
        <f t="shared" si="1"/>
        <v>1.08</v>
      </c>
      <c r="S8">
        <v>1.2</v>
      </c>
      <c r="T8" s="28">
        <f t="shared" si="2"/>
        <v>1.08</v>
      </c>
      <c r="U8" s="28">
        <v>2.2000000000000002</v>
      </c>
      <c r="V8" s="28">
        <v>3</v>
      </c>
      <c r="W8" s="20" t="s">
        <v>770</v>
      </c>
      <c r="X8" s="20" t="s">
        <v>772</v>
      </c>
      <c r="Y8" s="20" t="s">
        <v>771</v>
      </c>
    </row>
    <row r="9" spans="7:25" ht="21">
      <c r="G9" s="240" t="s">
        <v>250</v>
      </c>
      <c r="H9" s="263">
        <f>calculRISKS!R8</f>
        <v>0.17640000000000003</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770</v>
      </c>
      <c r="X9" s="20" t="s">
        <v>772</v>
      </c>
      <c r="Y9" s="20" t="s">
        <v>771</v>
      </c>
    </row>
    <row r="10" spans="7:25" ht="21">
      <c r="G10" s="240" t="s">
        <v>41</v>
      </c>
      <c r="H10" s="263">
        <f>calculRISKS!R9</f>
        <v>4.200000000000001E-2</v>
      </c>
      <c r="I10" s="238">
        <f>calculRISKS!S9</f>
        <v>4.200000000000001E-2</v>
      </c>
      <c r="J10" s="238">
        <f>calculRISKS!V9</f>
        <v>5.2000000000000005E-2</v>
      </c>
      <c r="K10" s="263">
        <f t="shared" si="0"/>
        <v>5.7999999999999927E-3</v>
      </c>
      <c r="N10" s="28"/>
      <c r="Q10" s="240" t="s">
        <v>41</v>
      </c>
      <c r="R10" s="244">
        <f t="shared" si="1"/>
        <v>1</v>
      </c>
      <c r="S10">
        <v>1.2</v>
      </c>
      <c r="T10" s="28">
        <f t="shared" si="2"/>
        <v>1</v>
      </c>
      <c r="U10" s="28">
        <v>2.2000000000000002</v>
      </c>
      <c r="V10" s="28">
        <v>3</v>
      </c>
      <c r="W10" s="20" t="s">
        <v>770</v>
      </c>
      <c r="X10" s="20" t="s">
        <v>772</v>
      </c>
      <c r="Y10" s="20" t="s">
        <v>771</v>
      </c>
    </row>
    <row r="11" spans="7:25" ht="21">
      <c r="G11" s="240" t="s">
        <v>42</v>
      </c>
      <c r="H11" s="263">
        <f>calculRISKS!R10</f>
        <v>0.10999999999999999</v>
      </c>
      <c r="I11" s="238">
        <f>calculRISKS!S10</f>
        <v>1</v>
      </c>
      <c r="J11" s="238">
        <f>calculRISKS!V10</f>
        <v>1</v>
      </c>
      <c r="K11" s="263">
        <f t="shared" si="0"/>
        <v>0.879</v>
      </c>
      <c r="N11" s="28"/>
      <c r="Q11" s="240" t="s">
        <v>42</v>
      </c>
      <c r="R11" s="244">
        <f t="shared" si="1"/>
        <v>9.0909090909090917</v>
      </c>
      <c r="S11">
        <v>1.2</v>
      </c>
      <c r="T11" s="28">
        <f t="shared" si="2"/>
        <v>3</v>
      </c>
      <c r="U11" s="28">
        <v>2.2000000000000002</v>
      </c>
      <c r="V11" s="28">
        <v>3</v>
      </c>
      <c r="W11" s="20" t="s">
        <v>770</v>
      </c>
      <c r="X11" s="20" t="s">
        <v>772</v>
      </c>
      <c r="Y11" s="20" t="s">
        <v>771</v>
      </c>
    </row>
    <row r="12" spans="7:25" ht="21">
      <c r="G12" s="240" t="s">
        <v>249</v>
      </c>
      <c r="H12" s="263">
        <f>calculRISKS!R11</f>
        <v>1.4675000000000013E-2</v>
      </c>
      <c r="I12" s="238">
        <f>calculRISKS!S11</f>
        <v>1.5849000000000016E-2</v>
      </c>
      <c r="J12" s="238">
        <f>calculRISKS!V11</f>
        <v>2.0149714285714281E-2</v>
      </c>
      <c r="K12" s="263">
        <f t="shared" si="0"/>
        <v>4.0072142857142667E-3</v>
      </c>
      <c r="N12" s="28"/>
      <c r="Q12" s="240" t="s">
        <v>249</v>
      </c>
      <c r="R12" s="244">
        <f t="shared" si="1"/>
        <v>1.08</v>
      </c>
      <c r="S12">
        <v>1.2</v>
      </c>
      <c r="T12" s="28">
        <f t="shared" si="2"/>
        <v>1.08</v>
      </c>
      <c r="U12" s="28">
        <v>2.2000000000000002</v>
      </c>
      <c r="V12" s="28">
        <v>3</v>
      </c>
      <c r="W12" s="20" t="s">
        <v>770</v>
      </c>
      <c r="X12" s="20" t="s">
        <v>772</v>
      </c>
      <c r="Y12" s="20" t="s">
        <v>771</v>
      </c>
    </row>
    <row r="13" spans="7:25" ht="21">
      <c r="G13" s="240" t="s">
        <v>44</v>
      </c>
      <c r="H13" s="263">
        <f>calculRISKS!R12</f>
        <v>0.13237500000000005</v>
      </c>
      <c r="I13" s="238">
        <f>calculRISKS!S12</f>
        <v>6.6187500000000024E-2</v>
      </c>
      <c r="J13" s="238">
        <f>calculRISKS!V12</f>
        <v>7.3642857142857149E-2</v>
      </c>
      <c r="K13" s="263">
        <f t="shared" si="0"/>
        <v>-7.1969642857142913E-2</v>
      </c>
      <c r="N13" s="28"/>
      <c r="Q13" s="240" t="s">
        <v>44</v>
      </c>
      <c r="R13" s="244">
        <f t="shared" si="1"/>
        <v>0.5</v>
      </c>
      <c r="S13">
        <v>1.2</v>
      </c>
      <c r="T13" s="28">
        <f t="shared" si="2"/>
        <v>0.5</v>
      </c>
      <c r="U13" s="28">
        <v>2.2000000000000002</v>
      </c>
      <c r="V13" s="28">
        <v>3</v>
      </c>
      <c r="W13" s="20" t="s">
        <v>770</v>
      </c>
      <c r="X13" s="20" t="s">
        <v>772</v>
      </c>
      <c r="Y13" s="20" t="s">
        <v>771</v>
      </c>
    </row>
    <row r="14" spans="7:25" ht="21">
      <c r="G14" s="240" t="s">
        <v>45</v>
      </c>
      <c r="H14" s="263">
        <f>calculRISKS!R13</f>
        <v>0.02</v>
      </c>
      <c r="I14" s="238">
        <f>calculRISKS!S13</f>
        <v>1.8000000000000002E-2</v>
      </c>
      <c r="J14" s="238">
        <f>calculRISKS!V13</f>
        <v>1.8000000000000002E-2</v>
      </c>
      <c r="K14" s="263">
        <f t="shared" si="0"/>
        <v>-3.9999999999999966E-3</v>
      </c>
      <c r="N14" s="28"/>
      <c r="Q14" s="240" t="s">
        <v>45</v>
      </c>
      <c r="R14" s="244">
        <f t="shared" si="1"/>
        <v>0.90000000000000013</v>
      </c>
      <c r="S14">
        <v>1.2</v>
      </c>
      <c r="T14" s="28">
        <f t="shared" si="2"/>
        <v>0.90000000000000013</v>
      </c>
      <c r="U14" s="28">
        <v>2.2000000000000002</v>
      </c>
      <c r="V14" s="28">
        <v>3</v>
      </c>
      <c r="W14" s="20" t="s">
        <v>770</v>
      </c>
      <c r="X14" s="20" t="s">
        <v>772</v>
      </c>
      <c r="Y14" s="20" t="s">
        <v>771</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770</v>
      </c>
      <c r="X15" s="20" t="s">
        <v>772</v>
      </c>
      <c r="Y15" s="20" t="s">
        <v>771</v>
      </c>
    </row>
    <row r="16" spans="7:25" ht="21">
      <c r="G16" s="240" t="s">
        <v>47</v>
      </c>
      <c r="H16" s="263">
        <f>calculRISKS!R15</f>
        <v>2.4855386633241799E-2</v>
      </c>
      <c r="I16" s="238">
        <f>calculRISKS!S15</f>
        <v>3.3333333333333335E-3</v>
      </c>
      <c r="J16" s="238">
        <f>calculRISKS!V15</f>
        <v>7.3186666666666721E-3</v>
      </c>
      <c r="K16" s="263">
        <f t="shared" si="0"/>
        <v>-2.0022258629899307E-2</v>
      </c>
      <c r="N16" s="28"/>
      <c r="Q16" s="240" t="s">
        <v>47</v>
      </c>
      <c r="R16" s="244">
        <f t="shared" si="1"/>
        <v>0.13410909202576257</v>
      </c>
      <c r="S16">
        <v>1.2</v>
      </c>
      <c r="T16" s="28">
        <f t="shared" si="2"/>
        <v>0.13410909202576257</v>
      </c>
      <c r="U16" s="28">
        <v>2.2000000000000002</v>
      </c>
      <c r="V16" s="28">
        <v>3</v>
      </c>
      <c r="W16" s="20" t="s">
        <v>770</v>
      </c>
      <c r="X16" s="20" t="s">
        <v>772</v>
      </c>
      <c r="Y16" s="20" t="s">
        <v>771</v>
      </c>
    </row>
    <row r="17" spans="3:25" ht="21">
      <c r="G17" s="240" t="s">
        <v>48</v>
      </c>
      <c r="H17" s="263">
        <f>calculRISKS!R16</f>
        <v>6.5412121212121116E-2</v>
      </c>
      <c r="I17" s="238">
        <f>calculRISKS!S16</f>
        <v>0.01</v>
      </c>
      <c r="J17" s="238">
        <f>calculRISKS!V16</f>
        <v>2.1956000000000017E-2</v>
      </c>
      <c r="K17" s="263">
        <f t="shared" si="0"/>
        <v>-4.9997333333333213E-2</v>
      </c>
      <c r="N17" s="28"/>
      <c r="Q17" s="240" t="s">
        <v>48</v>
      </c>
      <c r="R17" s="244">
        <f t="shared" si="1"/>
        <v>0.15287686463448555</v>
      </c>
      <c r="S17">
        <v>1.2</v>
      </c>
      <c r="T17" s="28">
        <f t="shared" si="2"/>
        <v>0.15287686463448555</v>
      </c>
      <c r="U17" s="28">
        <v>2.2000000000000002</v>
      </c>
      <c r="V17" s="28">
        <v>3</v>
      </c>
      <c r="W17" s="20" t="s">
        <v>770</v>
      </c>
      <c r="X17" s="20" t="s">
        <v>772</v>
      </c>
      <c r="Y17" s="20" t="s">
        <v>771</v>
      </c>
    </row>
    <row r="18" spans="3:25" ht="21">
      <c r="G18" s="240" t="s">
        <v>49</v>
      </c>
      <c r="H18" s="263">
        <f>calculRISKS!R17</f>
        <v>1E-3</v>
      </c>
      <c r="I18" s="238">
        <f>calculRISKS!S17</f>
        <v>1.0000000000000001E-5</v>
      </c>
      <c r="J18" s="238">
        <f>calculRISKS!V17</f>
        <v>1.0000000000000001E-5</v>
      </c>
      <c r="K18" s="263">
        <f t="shared" si="0"/>
        <v>-1.09E-3</v>
      </c>
      <c r="N18" s="28"/>
      <c r="Q18" s="240" t="s">
        <v>49</v>
      </c>
      <c r="R18" s="244">
        <f t="shared" si="1"/>
        <v>0.01</v>
      </c>
      <c r="S18">
        <v>1.2</v>
      </c>
      <c r="T18" s="28">
        <f t="shared" si="2"/>
        <v>0.01</v>
      </c>
      <c r="U18" s="28">
        <v>2.2000000000000002</v>
      </c>
      <c r="V18" s="28">
        <v>3</v>
      </c>
      <c r="W18" s="20" t="s">
        <v>770</v>
      </c>
      <c r="X18" s="20" t="s">
        <v>772</v>
      </c>
      <c r="Y18" s="20" t="s">
        <v>771</v>
      </c>
    </row>
    <row r="19" spans="3:25" ht="21">
      <c r="G19" s="240" t="s">
        <v>50</v>
      </c>
      <c r="H19" s="263">
        <f>calculRISKS!R18</f>
        <v>7.1434452797106782E-3</v>
      </c>
      <c r="I19" s="238">
        <f>calculRISKS!S18</f>
        <v>7.1434452797106796E-5</v>
      </c>
      <c r="J19" s="238">
        <f>calculRISKS!V18</f>
        <v>1.0276969368271926E-4</v>
      </c>
      <c r="K19" s="263">
        <f t="shared" si="0"/>
        <v>-7.7550201139990277E-3</v>
      </c>
      <c r="N19" s="28"/>
      <c r="Q19" s="240" t="s">
        <v>50</v>
      </c>
      <c r="R19" s="244">
        <f t="shared" si="1"/>
        <v>1.0000000000000002E-2</v>
      </c>
      <c r="S19">
        <v>1.2</v>
      </c>
      <c r="T19" s="28">
        <f t="shared" si="2"/>
        <v>1.0000000000000002E-2</v>
      </c>
      <c r="U19" s="28">
        <v>2.2000000000000002</v>
      </c>
      <c r="V19" s="28">
        <v>3</v>
      </c>
      <c r="W19" s="20" t="s">
        <v>770</v>
      </c>
      <c r="X19" s="20" t="s">
        <v>772</v>
      </c>
      <c r="Y19" s="20" t="s">
        <v>771</v>
      </c>
    </row>
    <row r="20" spans="3:25" ht="21">
      <c r="G20" s="240" t="s">
        <v>51</v>
      </c>
      <c r="H20" s="263">
        <f>calculRISKS!R19</f>
        <v>0.06</v>
      </c>
      <c r="I20" s="238">
        <f>calculRISKS!S19</f>
        <v>5.3999999999999999E-2</v>
      </c>
      <c r="J20" s="238">
        <f>calculRISKS!V19</f>
        <v>5.3999999999999999E-2</v>
      </c>
      <c r="K20" s="263">
        <f t="shared" si="0"/>
        <v>-1.2000000000000004E-2</v>
      </c>
      <c r="N20" s="28"/>
      <c r="Q20" s="240" t="s">
        <v>51</v>
      </c>
      <c r="R20" s="244">
        <f t="shared" si="1"/>
        <v>0.9</v>
      </c>
      <c r="S20">
        <v>1.2</v>
      </c>
      <c r="T20" s="28">
        <f t="shared" si="2"/>
        <v>0.9</v>
      </c>
      <c r="U20" s="28">
        <v>2.2000000000000002</v>
      </c>
      <c r="V20" s="28">
        <v>3</v>
      </c>
      <c r="W20" s="20" t="s">
        <v>770</v>
      </c>
      <c r="X20" s="20" t="s">
        <v>772</v>
      </c>
      <c r="Y20" s="20" t="s">
        <v>771</v>
      </c>
    </row>
    <row r="21" spans="3:25" ht="21">
      <c r="G21" s="240" t="s">
        <v>52</v>
      </c>
      <c r="H21" s="263">
        <f>calculRISKS!R20</f>
        <v>2.3673391337022207E-3</v>
      </c>
      <c r="I21" s="238">
        <f>calculRISKS!S20</f>
        <v>2.1306052203319986E-3</v>
      </c>
      <c r="J21" s="238">
        <f>calculRISKS!V20</f>
        <v>2.1306052203319986E-3</v>
      </c>
      <c r="K21" s="263">
        <f t="shared" si="0"/>
        <v>-4.7346782674044432E-4</v>
      </c>
      <c r="N21" s="28"/>
      <c r="Q21" s="240" t="s">
        <v>52</v>
      </c>
      <c r="R21" s="244">
        <f t="shared" si="1"/>
        <v>0.89999999999999991</v>
      </c>
      <c r="S21">
        <v>1.2</v>
      </c>
      <c r="T21" s="28">
        <f t="shared" si="2"/>
        <v>0.89999999999999991</v>
      </c>
      <c r="U21" s="28">
        <v>2.2000000000000002</v>
      </c>
      <c r="V21" s="28">
        <v>3</v>
      </c>
      <c r="W21" s="20" t="s">
        <v>770</v>
      </c>
      <c r="X21" s="20" t="s">
        <v>772</v>
      </c>
      <c r="Y21" s="20" t="s">
        <v>771</v>
      </c>
    </row>
    <row r="22" spans="3:25" ht="21">
      <c r="G22" s="240" t="s">
        <v>96</v>
      </c>
      <c r="H22" s="263">
        <f>calculRISKS!R21</f>
        <v>1.2784597402597535E-4</v>
      </c>
      <c r="I22" s="238">
        <f>calculRISKS!S21</f>
        <v>1.3807365194805338E-4</v>
      </c>
      <c r="J22" s="238">
        <f>calculRISKS!V21</f>
        <v>2.2882404155844289E-4</v>
      </c>
      <c r="K22" s="263">
        <f t="shared" si="0"/>
        <v>8.8193470129870012E-5</v>
      </c>
      <c r="N22" s="28"/>
      <c r="Q22" s="240" t="s">
        <v>2361</v>
      </c>
      <c r="R22" s="244">
        <f t="shared" si="1"/>
        <v>1.08</v>
      </c>
      <c r="S22">
        <v>1.2</v>
      </c>
      <c r="T22" s="28">
        <f t="shared" si="2"/>
        <v>1.08</v>
      </c>
      <c r="U22" s="28">
        <v>2.2000000000000002</v>
      </c>
      <c r="V22" s="28">
        <v>3</v>
      </c>
      <c r="W22" s="20" t="s">
        <v>770</v>
      </c>
      <c r="X22" s="20" t="s">
        <v>772</v>
      </c>
      <c r="Y22" s="20" t="s">
        <v>771</v>
      </c>
    </row>
    <row r="23" spans="3:25" ht="21">
      <c r="G23" s="241" t="s">
        <v>604</v>
      </c>
      <c r="H23" s="263">
        <f>calculRISKS!R22</f>
        <v>1.8304012697282351E-4</v>
      </c>
      <c r="I23" s="238">
        <f>calculRISKS!S22</f>
        <v>1.6473611427554118E-5</v>
      </c>
      <c r="J23" s="238">
        <f>calculRISKS!V22</f>
        <v>1.1457993972338216E-4</v>
      </c>
      <c r="K23" s="263">
        <f t="shared" si="0"/>
        <v>-8.67641999467237E-5</v>
      </c>
      <c r="N23" s="28"/>
      <c r="Q23" s="241" t="s">
        <v>604</v>
      </c>
      <c r="R23" s="244">
        <f t="shared" si="1"/>
        <v>9.0000000000000011E-2</v>
      </c>
      <c r="S23">
        <v>1.2</v>
      </c>
      <c r="T23" s="28">
        <f t="shared" si="2"/>
        <v>9.0000000000000011E-2</v>
      </c>
      <c r="U23" s="28">
        <v>2.2000000000000002</v>
      </c>
      <c r="V23" s="28">
        <v>3</v>
      </c>
      <c r="W23" s="20" t="s">
        <v>770</v>
      </c>
      <c r="X23" s="20" t="s">
        <v>772</v>
      </c>
      <c r="Y23" s="20" t="s">
        <v>771</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 priority="2" operator="greaterThan">
      <formula>2.2</formula>
    </cfRule>
  </conditionalFormatting>
  <conditionalFormatting sqref="R3:R23">
    <cfRule type="cellIs" dxfId="0"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defaultColWidth="10.88671875" defaultRowHeight="25.8"/>
  <cols>
    <col min="1" max="1" width="72.77734375" style="231" customWidth="1"/>
    <col min="2" max="2" width="54" style="232" customWidth="1"/>
    <col min="3" max="3" width="255.77734375" style="42" bestFit="1" customWidth="1"/>
    <col min="4" max="16384" width="10.88671875" style="220"/>
  </cols>
  <sheetData>
    <row r="1" spans="1:3">
      <c r="A1" s="43" t="s">
        <v>238</v>
      </c>
      <c r="B1" s="37" t="s">
        <v>244</v>
      </c>
      <c r="C1" s="40" t="s">
        <v>549</v>
      </c>
    </row>
    <row r="2" spans="1:3" ht="93.6">
      <c r="A2" s="847" t="s">
        <v>54</v>
      </c>
      <c r="B2" s="262">
        <f>calculRISKS!V2</f>
        <v>2.9070000000000002E-2</v>
      </c>
      <c r="C2" s="41" t="s">
        <v>582</v>
      </c>
    </row>
    <row r="3" spans="1:3" ht="117">
      <c r="A3" s="847" t="s">
        <v>35</v>
      </c>
      <c r="B3" s="39">
        <f>calculRISKS!V3</f>
        <v>0.13446981818181417</v>
      </c>
      <c r="C3" s="41" t="s">
        <v>570</v>
      </c>
    </row>
    <row r="4" spans="1:3" ht="46.8">
      <c r="A4" s="44" t="s">
        <v>36</v>
      </c>
      <c r="B4" s="39">
        <f>calculRISKS!V4</f>
        <v>1.7762057142857102E-2</v>
      </c>
      <c r="C4" s="41" t="s">
        <v>583</v>
      </c>
    </row>
    <row r="5" spans="1:3" ht="93.6">
      <c r="A5" s="44" t="s">
        <v>37</v>
      </c>
      <c r="B5" s="39">
        <f>calculRISKS!V5</f>
        <v>9.0720000000001771E-2</v>
      </c>
      <c r="C5" s="41" t="s">
        <v>581</v>
      </c>
    </row>
    <row r="6" spans="1:3" ht="93.6">
      <c r="A6" s="44" t="s">
        <v>38</v>
      </c>
      <c r="B6" s="39">
        <f>calculRISKS!V6</f>
        <v>8.0845714285713976E-3</v>
      </c>
      <c r="C6" s="41" t="s">
        <v>571</v>
      </c>
    </row>
    <row r="7" spans="1:3" ht="93.6">
      <c r="A7" s="44" t="s">
        <v>248</v>
      </c>
      <c r="B7" s="39">
        <f>calculRISKS!V7</f>
        <v>4.0561613858835855E-3</v>
      </c>
      <c r="C7" s="41" t="s">
        <v>584</v>
      </c>
    </row>
    <row r="8" spans="1:3" ht="93.6">
      <c r="A8" s="44" t="s">
        <v>250</v>
      </c>
      <c r="B8" s="39" t="e">
        <f>calculRISKS!V8</f>
        <v>#DIV/0!</v>
      </c>
      <c r="C8" s="41" t="s">
        <v>572</v>
      </c>
    </row>
    <row r="9" spans="1:3" ht="93.6">
      <c r="A9" s="44" t="s">
        <v>41</v>
      </c>
      <c r="B9" s="39">
        <f>calculRISKS!V9</f>
        <v>5.2000000000000005E-2</v>
      </c>
      <c r="C9" s="42" t="s">
        <v>573</v>
      </c>
    </row>
    <row r="10" spans="1:3" ht="93.6">
      <c r="A10" s="44" t="s">
        <v>42</v>
      </c>
      <c r="B10" s="39">
        <f>calculRISKS!V10</f>
        <v>1</v>
      </c>
      <c r="C10" s="42" t="s">
        <v>576</v>
      </c>
    </row>
    <row r="11" spans="1:3" ht="93.6">
      <c r="A11" s="44" t="s">
        <v>246</v>
      </c>
      <c r="B11" s="39">
        <f>calculRISKS!V11</f>
        <v>2.0149714285714281E-2</v>
      </c>
      <c r="C11" s="42" t="s">
        <v>575</v>
      </c>
    </row>
    <row r="12" spans="1:3" ht="93.6">
      <c r="A12" s="44" t="s">
        <v>44</v>
      </c>
      <c r="B12" s="39">
        <f>calculRISKS!V12</f>
        <v>7.3642857142857149E-2</v>
      </c>
      <c r="C12" s="221" t="s">
        <v>574</v>
      </c>
    </row>
    <row r="13" spans="1:3" ht="140.4">
      <c r="A13" s="44" t="s">
        <v>45</v>
      </c>
      <c r="B13" s="39">
        <f>calculRISKS!V13</f>
        <v>1.8000000000000002E-2</v>
      </c>
      <c r="C13" s="222" t="s">
        <v>585</v>
      </c>
    </row>
    <row r="14" spans="1:3" ht="117">
      <c r="A14" s="44" t="s">
        <v>46</v>
      </c>
      <c r="B14" s="39">
        <f>calculRISKS!V14</f>
        <v>4.3200000000000002E-2</v>
      </c>
      <c r="C14" s="223" t="s">
        <v>586</v>
      </c>
    </row>
    <row r="15" spans="1:3" ht="140.4">
      <c r="A15" s="44" t="s">
        <v>47</v>
      </c>
      <c r="B15" s="39">
        <f>calculRISKS!V15</f>
        <v>7.3186666666666721E-3</v>
      </c>
      <c r="C15" s="221" t="s">
        <v>587</v>
      </c>
    </row>
    <row r="16" spans="1:3" ht="140.4">
      <c r="A16" s="44" t="s">
        <v>48</v>
      </c>
      <c r="B16" s="39">
        <f>calculRISKS!V16</f>
        <v>2.1956000000000017E-2</v>
      </c>
      <c r="C16" s="222" t="s">
        <v>577</v>
      </c>
    </row>
    <row r="17" spans="1:3" ht="70.2">
      <c r="A17" s="44" t="s">
        <v>49</v>
      </c>
      <c r="B17" s="39">
        <f>calculRISKS!V17</f>
        <v>1.0000000000000001E-5</v>
      </c>
      <c r="C17" s="222" t="s">
        <v>588</v>
      </c>
    </row>
    <row r="18" spans="1:3" ht="70.2">
      <c r="A18" s="224" t="s">
        <v>247</v>
      </c>
      <c r="B18" s="39">
        <f>calculRISKS!V18</f>
        <v>1.0276969368271926E-4</v>
      </c>
      <c r="C18" s="222" t="s">
        <v>578</v>
      </c>
    </row>
    <row r="19" spans="1:3" ht="117">
      <c r="A19" s="44" t="s">
        <v>51</v>
      </c>
      <c r="B19" s="39">
        <f>calculRISKS!V19</f>
        <v>5.3999999999999999E-2</v>
      </c>
      <c r="C19" s="222" t="s">
        <v>589</v>
      </c>
    </row>
    <row r="20" spans="1:3" ht="93.6">
      <c r="A20" s="44" t="s">
        <v>52</v>
      </c>
      <c r="B20" s="39">
        <f>calculRISKS!V20</f>
        <v>2.1306052203319986E-3</v>
      </c>
      <c r="C20" s="222" t="s">
        <v>579</v>
      </c>
    </row>
    <row r="21" spans="1:3" ht="163.80000000000001">
      <c r="A21" s="44" t="s">
        <v>96</v>
      </c>
      <c r="B21" s="38">
        <f>calculRISKS!V21</f>
        <v>2.2882404155844289E-4</v>
      </c>
      <c r="C21" s="221" t="s">
        <v>590</v>
      </c>
    </row>
    <row r="22" spans="1:3" ht="70.2">
      <c r="A22" s="44" t="s">
        <v>607</v>
      </c>
      <c r="B22" s="39">
        <f>calculRISKS!V22</f>
        <v>1.1457993972338216E-4</v>
      </c>
      <c r="C22" s="148" t="s">
        <v>606</v>
      </c>
    </row>
    <row r="23" spans="1:3" s="227" customFormat="1">
      <c r="A23" s="225" t="s">
        <v>240</v>
      </c>
      <c r="B23" s="45" t="s">
        <v>245</v>
      </c>
      <c r="C23" s="226"/>
    </row>
    <row r="24" spans="1:3">
      <c r="A24" s="44" t="s">
        <v>251</v>
      </c>
      <c r="B24" s="228">
        <f>1-('Import Question'!H125/9)</f>
        <v>0.66666666666666674</v>
      </c>
      <c r="C24" s="229" t="s">
        <v>761</v>
      </c>
    </row>
    <row r="25" spans="1:3">
      <c r="A25" s="250" t="s">
        <v>777</v>
      </c>
      <c r="B25" s="228">
        <f>1-(('Import Question'!F209+'Import Question'!G267)/4)</f>
        <v>1</v>
      </c>
      <c r="C25" s="229" t="s">
        <v>762</v>
      </c>
    </row>
    <row r="26" spans="1:3">
      <c r="A26" s="44" t="s">
        <v>252</v>
      </c>
      <c r="B26" s="228">
        <f>1-('Import Question'!F214/3)</f>
        <v>0.66666666666666674</v>
      </c>
      <c r="C26" s="229" t="s">
        <v>763</v>
      </c>
    </row>
    <row r="27" spans="1:3">
      <c r="A27" s="44" t="s">
        <v>253</v>
      </c>
      <c r="B27" s="228">
        <f>1-('Import Question'!F219/3)</f>
        <v>1</v>
      </c>
      <c r="C27" s="229" t="s">
        <v>764</v>
      </c>
    </row>
    <row r="28" spans="1:3">
      <c r="A28" s="44" t="s">
        <v>254</v>
      </c>
      <c r="B28" s="228">
        <f>1-('Import Question'!F224+'Import Question'!G270)/4</f>
        <v>1</v>
      </c>
      <c r="C28" s="229" t="s">
        <v>765</v>
      </c>
    </row>
    <row r="29" spans="1:3">
      <c r="A29" s="250" t="s">
        <v>784</v>
      </c>
      <c r="B29" s="228">
        <f>1-('Import Question'!H140/6)</f>
        <v>1</v>
      </c>
      <c r="C29" s="229" t="s">
        <v>766</v>
      </c>
    </row>
    <row r="30" spans="1:3" ht="46.8">
      <c r="A30" s="230" t="s">
        <v>746</v>
      </c>
      <c r="B30" s="228">
        <f>1-'Import Question'!G261</f>
        <v>1</v>
      </c>
      <c r="C30" s="252" t="s">
        <v>786</v>
      </c>
    </row>
    <row r="31" spans="1:3">
      <c r="A31" s="230" t="s">
        <v>747</v>
      </c>
      <c r="B31" s="228">
        <f>1-'Import Question'!G264</f>
        <v>1</v>
      </c>
      <c r="C31" s="253" t="s">
        <v>785</v>
      </c>
    </row>
    <row r="32" spans="1:3">
      <c r="A32" s="251" t="s">
        <v>776</v>
      </c>
      <c r="B32" s="228">
        <f>1-(('Import Question'!G122+'Import Question'!G258)/2)</f>
        <v>1</v>
      </c>
    </row>
    <row r="33" spans="1:2">
      <c r="A33" s="251" t="s">
        <v>778</v>
      </c>
      <c r="B33" s="228">
        <f>1-('Import Question'!G273+'Import 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E4" zoomScale="75" zoomScaleNormal="75" workbookViewId="0">
      <selection activeCell="E26" sqref="E26"/>
    </sheetView>
  </sheetViews>
  <sheetFormatPr defaultColWidth="11.5546875" defaultRowHeight="14.4"/>
  <cols>
    <col min="1" max="3" width="10.88671875" customWidth="1"/>
    <col min="4" max="4" width="13.109375" customWidth="1"/>
    <col min="5" max="5" width="25.109375" customWidth="1"/>
    <col min="6" max="6" width="35.44140625" style="20" customWidth="1"/>
    <col min="7" max="7" width="47.109375" customWidth="1"/>
  </cols>
  <sheetData>
    <row r="4" spans="5:8" ht="23.4">
      <c r="F4" s="27" t="s">
        <v>107</v>
      </c>
      <c r="G4" s="27" t="s">
        <v>108</v>
      </c>
    </row>
    <row r="6" spans="5:8" ht="18">
      <c r="E6" s="843" t="s">
        <v>54</v>
      </c>
      <c r="F6" s="20" t="str">
        <f>IF('Import Question'!F3="F","ND",(IF(RESULTATS!R3&gt;1.2,"Consultation spécialisée","Dépistage usuel")))</f>
        <v>Dépistage usuel</v>
      </c>
      <c r="G6" s="24" t="s">
        <v>109</v>
      </c>
      <c r="H6" s="16" t="str">
        <f>IF('Import Question'!H77&gt;0.25,"Oui","Non")</f>
        <v>Oui</v>
      </c>
    </row>
    <row r="7" spans="5:8" ht="18">
      <c r="E7" s="844" t="s">
        <v>35</v>
      </c>
      <c r="F7" s="20" t="str">
        <f>IF('Import Question'!F3="F","ND",(IF(RESULTATS!R4&gt;1.2,"Consultation spécialisée", "Dépistage usuel")))</f>
        <v>Consultation spécialisée</v>
      </c>
      <c r="G7" s="24" t="s">
        <v>111</v>
      </c>
      <c r="H7" s="16" t="str">
        <f>IF('Import Question'!F82="Y","Oui","Non")</f>
        <v>Non</v>
      </c>
    </row>
    <row r="8" spans="5:8" ht="18">
      <c r="E8" s="18" t="s">
        <v>36</v>
      </c>
      <c r="F8" s="20" t="str">
        <f>IF(RESULTATS!R5&gt;1.2,"Consultation spécialisée","Dépistage usuel")</f>
        <v>Dépistage usuel</v>
      </c>
      <c r="G8" s="24" t="s">
        <v>237</v>
      </c>
      <c r="H8" s="16" t="str">
        <f>IF('Import Question'!F86="Y","Oui","Non")</f>
        <v>Non</v>
      </c>
    </row>
    <row r="9" spans="5:8" ht="18">
      <c r="E9" s="18" t="s">
        <v>37</v>
      </c>
      <c r="F9" s="20" t="str">
        <f>IF(RESULTATS!R6&gt;1.2,"Echographie rénale", "Dépistage usuel")</f>
        <v>Dépistage usuel</v>
      </c>
      <c r="G9" s="24" t="s">
        <v>110</v>
      </c>
      <c r="H9" s="16" t="str">
        <f>IF('Import Question'!F89="Y","Non","Oui")</f>
        <v>Non</v>
      </c>
    </row>
    <row r="10" spans="5:8" ht="18">
      <c r="E10" s="18" t="s">
        <v>38</v>
      </c>
      <c r="F10" s="20" t="str">
        <f>IF(RESULTATS!R7&gt;1.2,"DXA", "Dépistage usuel")</f>
        <v>Dépistage usuel</v>
      </c>
      <c r="G10" s="24" t="s">
        <v>113</v>
      </c>
      <c r="H10" s="16" t="str">
        <f>IF('Import Question'!F92="Y","Non","Oui")</f>
        <v>Oui</v>
      </c>
    </row>
    <row r="11" spans="5:8" ht="18">
      <c r="E11" s="18" t="s">
        <v>39</v>
      </c>
      <c r="F11" s="20" t="str">
        <f>IF(RESULTATS!R8&gt;1.2,"Consultation spécialisée", "Dépistage usuel")</f>
        <v>Dépistage usuel</v>
      </c>
      <c r="G11" s="24" t="s">
        <v>125</v>
      </c>
      <c r="H11" s="16" t="str">
        <f>IF('Import 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Dépistage usuel</v>
      </c>
    </row>
    <row r="21" spans="5:6">
      <c r="E21" s="18" t="s">
        <v>49</v>
      </c>
      <c r="F21" s="20" t="str">
        <f>IF(RESULTATS!R18&gt;1.2,"scanner thoracique", "Dépistage usuel")</f>
        <v>Dépistage usuel</v>
      </c>
    </row>
    <row r="22" spans="5:6">
      <c r="E22" s="18" t="s">
        <v>50</v>
      </c>
      <c r="F22" s="20" t="str">
        <f>IF(RESULTATS!R19&gt;1.2,"Consultation spécialisée", "Dépistage usuel")</f>
        <v>Dépistage usuel</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2056</v>
      </c>
      <c r="F25" s="20" t="str">
        <f>IF('Import Question'!F3="H","ND",(IF(RESULTATS!R22&gt;1.2,"Consultation spécialisée","Dépistage usuel")))</f>
        <v>ND</v>
      </c>
    </row>
    <row r="26" spans="5:6">
      <c r="E26" s="23" t="s">
        <v>604</v>
      </c>
      <c r="F26" s="20" t="str">
        <f>IF(RESULTATS!R23&gt;1.2,"Consultation spécialisée", "Dépistage usuel")</f>
        <v>Dépistage usuel</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defaultColWidth="9.109375" defaultRowHeight="14.4"/>
  <cols>
    <col min="1" max="1" width="9.88671875" bestFit="1" customWidth="1"/>
    <col min="2" max="2" width="9.88671875" customWidth="1"/>
    <col min="4" max="4" width="13.109375" bestFit="1" customWidth="1"/>
    <col min="5" max="5" width="24.21875" bestFit="1" customWidth="1"/>
    <col min="8" max="8" width="27.33203125" bestFit="1" customWidth="1"/>
    <col min="11" max="11" width="34.33203125" bestFit="1" customWidth="1"/>
  </cols>
  <sheetData>
    <row r="1" spans="1:14" s="865" customFormat="1">
      <c r="A1" s="865" t="s">
        <v>2393</v>
      </c>
      <c r="D1" s="865" t="s">
        <v>2394</v>
      </c>
      <c r="G1" s="865" t="s">
        <v>2605</v>
      </c>
      <c r="J1" s="865" t="s">
        <v>2616</v>
      </c>
      <c r="M1" s="865" t="s">
        <v>2621</v>
      </c>
    </row>
    <row r="2" spans="1:14">
      <c r="A2">
        <v>0</v>
      </c>
      <c r="B2" t="s">
        <v>645</v>
      </c>
      <c r="D2">
        <v>0</v>
      </c>
      <c r="E2" t="s">
        <v>645</v>
      </c>
      <c r="G2">
        <v>0</v>
      </c>
      <c r="H2" t="s">
        <v>2601</v>
      </c>
      <c r="J2">
        <v>0</v>
      </c>
      <c r="K2" t="s">
        <v>2607</v>
      </c>
      <c r="M2">
        <v>0</v>
      </c>
      <c r="N2" t="s">
        <v>2617</v>
      </c>
    </row>
    <row r="3" spans="1:14">
      <c r="A3">
        <v>1</v>
      </c>
      <c r="B3" t="s">
        <v>646</v>
      </c>
      <c r="D3">
        <v>1</v>
      </c>
      <c r="E3" t="s">
        <v>646</v>
      </c>
      <c r="G3">
        <v>1</v>
      </c>
      <c r="H3" t="s">
        <v>2603</v>
      </c>
      <c r="J3">
        <v>1</v>
      </c>
      <c r="K3" t="s">
        <v>2608</v>
      </c>
      <c r="M3">
        <v>1</v>
      </c>
      <c r="N3" t="s">
        <v>2620</v>
      </c>
    </row>
    <row r="4" spans="1:14">
      <c r="D4" s="437">
        <v>2</v>
      </c>
      <c r="E4" t="s">
        <v>819</v>
      </c>
      <c r="G4">
        <v>2</v>
      </c>
      <c r="H4" t="s">
        <v>2604</v>
      </c>
      <c r="J4">
        <v>1</v>
      </c>
      <c r="K4" t="s">
        <v>2609</v>
      </c>
      <c r="M4">
        <v>1</v>
      </c>
      <c r="N4" t="s">
        <v>2618</v>
      </c>
    </row>
    <row r="5" spans="1:14">
      <c r="A5" t="s">
        <v>2702</v>
      </c>
      <c r="G5">
        <v>0</v>
      </c>
      <c r="H5" t="s">
        <v>2602</v>
      </c>
      <c r="J5" s="437">
        <v>1</v>
      </c>
      <c r="K5" t="s">
        <v>2610</v>
      </c>
      <c r="M5">
        <v>1</v>
      </c>
      <c r="N5" t="s">
        <v>2619</v>
      </c>
    </row>
    <row r="6" spans="1:14">
      <c r="A6">
        <v>0</v>
      </c>
      <c r="B6" t="s">
        <v>62</v>
      </c>
      <c r="J6">
        <v>1</v>
      </c>
      <c r="K6" t="s">
        <v>2611</v>
      </c>
      <c r="M6">
        <v>1</v>
      </c>
      <c r="N6" t="s">
        <v>812</v>
      </c>
    </row>
    <row r="7" spans="1:14">
      <c r="A7">
        <v>1</v>
      </c>
      <c r="B7" t="s">
        <v>61</v>
      </c>
      <c r="J7">
        <v>2</v>
      </c>
      <c r="K7" t="s">
        <v>2612</v>
      </c>
    </row>
    <row r="8" spans="1:14">
      <c r="J8">
        <v>3</v>
      </c>
      <c r="K8" t="s">
        <v>2613</v>
      </c>
    </row>
    <row r="9" spans="1:14">
      <c r="J9">
        <v>4</v>
      </c>
      <c r="K9" t="s">
        <v>2614</v>
      </c>
    </row>
    <row r="10" spans="1:14">
      <c r="J10">
        <v>5</v>
      </c>
      <c r="K10" t="s">
        <v>2615</v>
      </c>
    </row>
    <row r="12" spans="1:14" s="865" customFormat="1">
      <c r="A12" s="865" t="s">
        <v>2622</v>
      </c>
      <c r="D12" s="865" t="s">
        <v>2634</v>
      </c>
      <c r="G12" s="865" t="s">
        <v>2635</v>
      </c>
      <c r="J12" s="865" t="s">
        <v>2636</v>
      </c>
      <c r="M12" s="865" t="s">
        <v>2637</v>
      </c>
    </row>
    <row r="13" spans="1:14">
      <c r="A13">
        <v>0</v>
      </c>
      <c r="B13" t="s">
        <v>2624</v>
      </c>
      <c r="D13">
        <v>0</v>
      </c>
      <c r="E13" t="s">
        <v>2626</v>
      </c>
      <c r="G13">
        <v>0</v>
      </c>
      <c r="H13" t="s">
        <v>2628</v>
      </c>
      <c r="J13">
        <v>0</v>
      </c>
      <c r="K13" t="s">
        <v>2632</v>
      </c>
      <c r="M13">
        <v>0</v>
      </c>
      <c r="N13" t="s">
        <v>1002</v>
      </c>
    </row>
    <row r="14" spans="1:14">
      <c r="A14">
        <v>1</v>
      </c>
      <c r="B14" t="s">
        <v>2623</v>
      </c>
      <c r="D14">
        <v>1</v>
      </c>
      <c r="E14" t="s">
        <v>938</v>
      </c>
      <c r="G14">
        <v>1</v>
      </c>
      <c r="H14" t="s">
        <v>2629</v>
      </c>
      <c r="J14">
        <v>1</v>
      </c>
      <c r="K14" t="s">
        <v>2633</v>
      </c>
      <c r="M14">
        <v>1</v>
      </c>
      <c r="N14" t="s">
        <v>1003</v>
      </c>
    </row>
    <row r="15" spans="1:14">
      <c r="A15">
        <v>2</v>
      </c>
      <c r="B15" t="s">
        <v>2369</v>
      </c>
      <c r="D15">
        <v>2</v>
      </c>
      <c r="E15" t="s">
        <v>2627</v>
      </c>
      <c r="G15">
        <v>2</v>
      </c>
      <c r="H15" t="s">
        <v>2630</v>
      </c>
      <c r="J15">
        <v>2</v>
      </c>
      <c r="K15" t="s">
        <v>1003</v>
      </c>
      <c r="M15">
        <v>2</v>
      </c>
      <c r="N15" t="s">
        <v>1004</v>
      </c>
    </row>
    <row r="16" spans="1:14">
      <c r="D16">
        <v>3</v>
      </c>
      <c r="E16" t="s">
        <v>936</v>
      </c>
      <c r="G16">
        <v>3</v>
      </c>
      <c r="H16" t="s">
        <v>2631</v>
      </c>
      <c r="J16">
        <v>3</v>
      </c>
      <c r="K16" t="s">
        <v>1010</v>
      </c>
      <c r="M16">
        <v>3</v>
      </c>
      <c r="N16" t="s">
        <v>1005</v>
      </c>
    </row>
    <row r="18" spans="1:14" s="865" customFormat="1">
      <c r="A18" s="865" t="s">
        <v>2638</v>
      </c>
      <c r="D18" s="865" t="s">
        <v>2639</v>
      </c>
      <c r="G18" s="865" t="s">
        <v>2644</v>
      </c>
      <c r="J18" s="865" t="s">
        <v>2645</v>
      </c>
      <c r="M18" s="865" t="s">
        <v>2648</v>
      </c>
    </row>
    <row r="19" spans="1:14">
      <c r="A19">
        <v>0</v>
      </c>
      <c r="B19">
        <v>0</v>
      </c>
      <c r="D19">
        <v>0</v>
      </c>
      <c r="E19" t="s">
        <v>2640</v>
      </c>
      <c r="G19">
        <v>0</v>
      </c>
      <c r="H19" s="866" t="s">
        <v>856</v>
      </c>
      <c r="J19">
        <v>0</v>
      </c>
      <c r="K19" t="s">
        <v>870</v>
      </c>
      <c r="M19">
        <v>0</v>
      </c>
      <c r="N19" t="s">
        <v>2649</v>
      </c>
    </row>
    <row r="20" spans="1:14">
      <c r="A20">
        <v>1</v>
      </c>
      <c r="B20">
        <v>1</v>
      </c>
      <c r="D20">
        <v>1</v>
      </c>
      <c r="E20" t="s">
        <v>2641</v>
      </c>
      <c r="G20">
        <v>1</v>
      </c>
      <c r="H20" t="s">
        <v>855</v>
      </c>
      <c r="J20">
        <v>1</v>
      </c>
      <c r="K20" t="s">
        <v>2646</v>
      </c>
      <c r="M20">
        <v>1</v>
      </c>
      <c r="N20" t="s">
        <v>2650</v>
      </c>
    </row>
    <row r="21" spans="1:14">
      <c r="A21">
        <v>2</v>
      </c>
      <c r="B21" t="s">
        <v>90</v>
      </c>
      <c r="D21">
        <v>2</v>
      </c>
      <c r="E21" t="s">
        <v>2642</v>
      </c>
      <c r="G21">
        <v>2</v>
      </c>
      <c r="H21" t="s">
        <v>854</v>
      </c>
      <c r="J21">
        <v>2</v>
      </c>
      <c r="K21" t="s">
        <v>937</v>
      </c>
      <c r="M21">
        <v>2</v>
      </c>
      <c r="N21" t="s">
        <v>2651</v>
      </c>
    </row>
    <row r="22" spans="1:14">
      <c r="D22">
        <v>3</v>
      </c>
      <c r="E22" t="s">
        <v>2643</v>
      </c>
      <c r="J22">
        <v>3</v>
      </c>
      <c r="K22" t="s">
        <v>2647</v>
      </c>
      <c r="M22">
        <v>3</v>
      </c>
      <c r="N22" t="s">
        <v>2652</v>
      </c>
    </row>
    <row r="24" spans="1:14" s="865" customFormat="1">
      <c r="A24" s="865" t="s">
        <v>2653</v>
      </c>
      <c r="D24" s="865" t="s">
        <v>2658</v>
      </c>
      <c r="G24" s="865" t="s">
        <v>2662</v>
      </c>
      <c r="J24" s="865" t="s">
        <v>2663</v>
      </c>
    </row>
    <row r="25" spans="1:14">
      <c r="A25">
        <v>0</v>
      </c>
      <c r="B25" t="s">
        <v>638</v>
      </c>
      <c r="D25">
        <v>0</v>
      </c>
      <c r="E25" t="s">
        <v>2656</v>
      </c>
      <c r="G25">
        <v>0</v>
      </c>
      <c r="H25" t="s">
        <v>2660</v>
      </c>
      <c r="J25">
        <v>0</v>
      </c>
      <c r="K25" t="s">
        <v>868</v>
      </c>
    </row>
    <row r="26" spans="1:14">
      <c r="A26">
        <v>1</v>
      </c>
      <c r="B26" t="s">
        <v>2654</v>
      </c>
      <c r="D26">
        <v>1</v>
      </c>
      <c r="E26" t="s">
        <v>2657</v>
      </c>
      <c r="G26">
        <v>1</v>
      </c>
      <c r="H26" t="s">
        <v>2661</v>
      </c>
      <c r="J26">
        <v>1</v>
      </c>
      <c r="K26" t="s">
        <v>867</v>
      </c>
    </row>
    <row r="27" spans="1:14">
      <c r="A27">
        <v>2</v>
      </c>
      <c r="B27" t="s">
        <v>2655</v>
      </c>
      <c r="G27">
        <v>2</v>
      </c>
      <c r="H27" t="s">
        <v>2659</v>
      </c>
      <c r="J27">
        <v>2</v>
      </c>
      <c r="K27" t="s">
        <v>2664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8"/>
  <sheetViews>
    <sheetView zoomScale="58" zoomScaleNormal="58" zoomScaleSheetLayoutView="82" workbookViewId="0">
      <pane xSplit="3" ySplit="1" topLeftCell="D2" activePane="bottomRight" state="frozen"/>
      <selection pane="topRight" activeCell="D1" sqref="D1"/>
      <selection pane="bottomLeft" activeCell="A2" sqref="A2"/>
      <selection pane="bottomRight" activeCell="E57" sqref="E57"/>
    </sheetView>
  </sheetViews>
  <sheetFormatPr defaultColWidth="10.88671875" defaultRowHeight="18"/>
  <cols>
    <col min="1" max="1" width="103.77734375" style="688" customWidth="1"/>
    <col min="2" max="2" width="17.21875" style="338" customWidth="1"/>
    <col min="3" max="3" width="15.5546875" style="338" customWidth="1"/>
    <col min="4" max="4" width="10" style="745"/>
    <col min="5" max="6" width="10.88671875" style="691"/>
    <col min="7" max="7" width="22.88671875" style="329" customWidth="1"/>
    <col min="8" max="8" width="8.109375" style="329" customWidth="1"/>
    <col min="9" max="11" width="10.88671875" style="691"/>
    <col min="12" max="12" width="30.21875" style="691" customWidth="1"/>
    <col min="13" max="13" width="10.88671875" style="691"/>
    <col min="14" max="14" width="14.88671875" style="691" customWidth="1"/>
    <col min="15" max="15" width="16.88671875" style="691" customWidth="1"/>
    <col min="16" max="18" width="10.88671875" style="691"/>
    <col min="19" max="19" width="30.5546875" style="691" customWidth="1"/>
    <col min="20" max="16384" width="10.88671875" style="691"/>
  </cols>
  <sheetData>
    <row r="1" spans="1:19">
      <c r="A1" s="685" t="s">
        <v>129</v>
      </c>
      <c r="B1" s="338" t="s">
        <v>130</v>
      </c>
      <c r="C1" s="744" t="s">
        <v>131</v>
      </c>
      <c r="S1" s="691" t="s">
        <v>2065</v>
      </c>
    </row>
    <row r="2" spans="1:19">
      <c r="A2" s="686" t="s">
        <v>132</v>
      </c>
      <c r="B2" s="744" t="s">
        <v>133</v>
      </c>
      <c r="C2" s="746"/>
      <c r="D2" s="745">
        <f>C2*215</f>
        <v>0</v>
      </c>
      <c r="E2" s="794" t="s">
        <v>180</v>
      </c>
      <c r="I2" s="329">
        <v>0</v>
      </c>
      <c r="J2" s="329">
        <v>1</v>
      </c>
      <c r="K2" s="329">
        <v>2</v>
      </c>
      <c r="S2" s="691" t="s">
        <v>1052</v>
      </c>
    </row>
    <row r="3" spans="1:19">
      <c r="A3" s="686" t="s">
        <v>134</v>
      </c>
      <c r="B3" s="744" t="s">
        <v>135</v>
      </c>
      <c r="C3" s="747"/>
      <c r="D3" s="748">
        <f>C3*2.59</f>
        <v>0</v>
      </c>
      <c r="E3" s="691" t="s">
        <v>225</v>
      </c>
      <c r="F3" s="691" t="s">
        <v>337</v>
      </c>
      <c r="G3" s="347" t="s">
        <v>1</v>
      </c>
      <c r="H3" s="749">
        <f>C11</f>
        <v>0</v>
      </c>
      <c r="J3" s="691">
        <f>C3*2.58</f>
        <v>0</v>
      </c>
      <c r="K3" s="691" t="s">
        <v>311</v>
      </c>
      <c r="N3" s="795" t="s">
        <v>203</v>
      </c>
      <c r="O3" s="796">
        <f>C56</f>
        <v>51</v>
      </c>
      <c r="S3" s="691" t="s">
        <v>1052</v>
      </c>
    </row>
    <row r="4" spans="1:19">
      <c r="A4" s="686" t="s">
        <v>136</v>
      </c>
      <c r="B4" s="744" t="s">
        <v>135</v>
      </c>
      <c r="C4" s="747"/>
      <c r="D4" s="748">
        <f t="shared" ref="D4:D5" si="0">C4*2.59</f>
        <v>0</v>
      </c>
      <c r="E4" s="691" t="s">
        <v>225</v>
      </c>
      <c r="F4" s="691" t="s">
        <v>336</v>
      </c>
      <c r="G4" s="347" t="s">
        <v>2</v>
      </c>
      <c r="H4" s="749">
        <f>C33</f>
        <v>0</v>
      </c>
      <c r="J4" s="691">
        <f>C4*2.58</f>
        <v>0</v>
      </c>
      <c r="K4" s="691" t="s">
        <v>311</v>
      </c>
      <c r="N4" s="795" t="s">
        <v>307</v>
      </c>
      <c r="O4" s="691">
        <f>IF('Import Question'!F82="N",0,1)</f>
        <v>0</v>
      </c>
      <c r="S4" s="691" t="s">
        <v>1052</v>
      </c>
    </row>
    <row r="5" spans="1:19">
      <c r="A5" s="686" t="s">
        <v>137</v>
      </c>
      <c r="B5" s="744" t="s">
        <v>135</v>
      </c>
      <c r="C5" s="747"/>
      <c r="D5" s="748">
        <f t="shared" si="0"/>
        <v>0</v>
      </c>
      <c r="E5" s="691" t="s">
        <v>225</v>
      </c>
      <c r="F5" s="691" t="s">
        <v>335</v>
      </c>
      <c r="G5" s="750" t="s">
        <v>3</v>
      </c>
      <c r="H5" s="751">
        <f>C8</f>
        <v>0</v>
      </c>
      <c r="N5" s="691" t="s">
        <v>308</v>
      </c>
      <c r="O5" s="691">
        <f>'Import Question'!F80</f>
        <v>110</v>
      </c>
      <c r="P5" s="795"/>
      <c r="S5" s="691" t="s">
        <v>1052</v>
      </c>
    </row>
    <row r="6" spans="1:19">
      <c r="A6" s="686" t="s">
        <v>138</v>
      </c>
      <c r="B6" s="744" t="s">
        <v>135</v>
      </c>
      <c r="C6" s="747"/>
      <c r="D6" s="347">
        <f>C6*1.13</f>
        <v>0</v>
      </c>
      <c r="E6" s="691" t="s">
        <v>225</v>
      </c>
      <c r="G6" s="347" t="s">
        <v>4</v>
      </c>
      <c r="H6" s="683">
        <f>D3</f>
        <v>0</v>
      </c>
      <c r="N6" s="691" t="s">
        <v>309</v>
      </c>
      <c r="O6" s="691">
        <f>H6</f>
        <v>0</v>
      </c>
      <c r="P6" s="795"/>
      <c r="S6" s="691" t="s">
        <v>1052</v>
      </c>
    </row>
    <row r="7" spans="1:19">
      <c r="A7" s="686" t="s">
        <v>139</v>
      </c>
      <c r="B7" s="744" t="s">
        <v>140</v>
      </c>
      <c r="C7" s="746"/>
      <c r="G7" s="347" t="s">
        <v>84</v>
      </c>
      <c r="H7" s="752">
        <f>C7</f>
        <v>0</v>
      </c>
      <c r="N7" s="691" t="s">
        <v>310</v>
      </c>
      <c r="O7" s="691">
        <f>H8</f>
        <v>0</v>
      </c>
      <c r="P7" s="795"/>
      <c r="S7" s="691" t="s">
        <v>1055</v>
      </c>
    </row>
    <row r="8" spans="1:19">
      <c r="A8" s="712" t="s">
        <v>339</v>
      </c>
      <c r="B8" s="753" t="s">
        <v>341</v>
      </c>
      <c r="C8" s="754"/>
      <c r="D8" s="687">
        <f>C8*4</f>
        <v>0</v>
      </c>
      <c r="E8" s="797" t="s">
        <v>342</v>
      </c>
      <c r="F8" s="691" t="s">
        <v>340</v>
      </c>
      <c r="G8" s="347" t="s">
        <v>5</v>
      </c>
      <c r="H8" s="683">
        <f>D4</f>
        <v>0</v>
      </c>
      <c r="N8" s="691" t="s">
        <v>219</v>
      </c>
      <c r="O8" s="691">
        <f>'Import Question'!H3</f>
        <v>1</v>
      </c>
      <c r="P8" s="795"/>
      <c r="S8" s="691" t="s">
        <v>1090</v>
      </c>
    </row>
    <row r="9" spans="1:19">
      <c r="A9" s="686" t="s">
        <v>141</v>
      </c>
      <c r="B9" s="744" t="s">
        <v>133</v>
      </c>
      <c r="C9" s="746"/>
      <c r="D9" s="755">
        <f>C9*5.5</f>
        <v>0</v>
      </c>
      <c r="E9" s="691" t="s">
        <v>225</v>
      </c>
      <c r="G9" s="347" t="s">
        <v>6</v>
      </c>
      <c r="H9" s="749">
        <f>C10</f>
        <v>0</v>
      </c>
      <c r="K9" s="691" t="s">
        <v>106</v>
      </c>
      <c r="O9" s="796"/>
      <c r="S9" s="691" t="s">
        <v>1052</v>
      </c>
    </row>
    <row r="10" spans="1:19">
      <c r="A10" s="686" t="s">
        <v>142</v>
      </c>
      <c r="B10" s="744" t="s">
        <v>143</v>
      </c>
      <c r="C10" s="747"/>
      <c r="G10" s="347" t="s">
        <v>79</v>
      </c>
      <c r="H10" s="756">
        <f>C2</f>
        <v>0</v>
      </c>
      <c r="I10" s="691">
        <v>0.3</v>
      </c>
      <c r="K10" s="691" t="s">
        <v>100</v>
      </c>
      <c r="L10" s="757" t="e">
        <f>('Import Question'!F6*H25)/((H22*(SQRT(H24))))</f>
        <v>#DIV/0!</v>
      </c>
      <c r="S10" s="691" t="s">
        <v>1052</v>
      </c>
    </row>
    <row r="11" spans="1:19">
      <c r="A11" s="686" t="s">
        <v>144</v>
      </c>
      <c r="B11" s="744" t="s">
        <v>145</v>
      </c>
      <c r="C11" s="747"/>
      <c r="G11" s="347" t="s">
        <v>7</v>
      </c>
      <c r="H11" s="758">
        <f>D6</f>
        <v>0</v>
      </c>
      <c r="L11" s="691" t="s">
        <v>101</v>
      </c>
      <c r="S11" s="691" t="s">
        <v>1076</v>
      </c>
    </row>
    <row r="12" spans="1:19">
      <c r="A12" s="686" t="s">
        <v>146</v>
      </c>
      <c r="B12" s="744" t="s">
        <v>147</v>
      </c>
      <c r="C12" s="747"/>
      <c r="G12" s="347" t="s">
        <v>128</v>
      </c>
      <c r="H12" s="749">
        <f>C5</f>
        <v>0</v>
      </c>
      <c r="S12" s="691" t="s">
        <v>1050</v>
      </c>
    </row>
    <row r="13" spans="1:19">
      <c r="A13" s="686" t="s">
        <v>148</v>
      </c>
      <c r="B13" s="744" t="s">
        <v>149</v>
      </c>
      <c r="C13" s="747"/>
      <c r="G13" s="347" t="s">
        <v>8</v>
      </c>
      <c r="H13" s="749">
        <f>C21</f>
        <v>0</v>
      </c>
      <c r="K13" s="691" t="s">
        <v>236</v>
      </c>
      <c r="L13" s="347">
        <f>(-0.38+L16*1.37)/100</f>
        <v>8.7031000000000025E-2</v>
      </c>
      <c r="M13" s="347">
        <f xml:space="preserve"> (-0.148+0.89*M16)/100</f>
        <v>4.6224000000000001E-2</v>
      </c>
      <c r="S13" s="691" t="s">
        <v>1050</v>
      </c>
    </row>
    <row r="14" spans="1:19">
      <c r="A14" s="686" t="s">
        <v>150</v>
      </c>
      <c r="B14" s="744" t="s">
        <v>151</v>
      </c>
      <c r="C14" s="747"/>
      <c r="D14" s="745" t="s">
        <v>257</v>
      </c>
      <c r="G14" s="347" t="s">
        <v>9</v>
      </c>
      <c r="H14" s="758">
        <f>C35</f>
        <v>0</v>
      </c>
      <c r="N14" s="691" t="s">
        <v>306</v>
      </c>
      <c r="S14" s="691" t="s">
        <v>1050</v>
      </c>
    </row>
    <row r="15" spans="1:19">
      <c r="A15" s="686" t="s">
        <v>152</v>
      </c>
      <c r="B15" s="744" t="s">
        <v>153</v>
      </c>
      <c r="C15" s="759"/>
      <c r="D15" s="745" t="s">
        <v>256</v>
      </c>
      <c r="G15" s="750" t="s">
        <v>10</v>
      </c>
      <c r="H15" s="760">
        <f>C30</f>
        <v>0</v>
      </c>
      <c r="K15" s="329" t="s">
        <v>102</v>
      </c>
      <c r="L15" s="329" t="s">
        <v>61</v>
      </c>
      <c r="M15" s="329" t="s">
        <v>62</v>
      </c>
      <c r="N15" s="691" t="s">
        <v>61</v>
      </c>
      <c r="O15" s="691" t="s">
        <v>62</v>
      </c>
      <c r="P15" s="798"/>
      <c r="R15" s="799"/>
      <c r="S15" s="691" t="s">
        <v>1050</v>
      </c>
    </row>
    <row r="16" spans="1:19">
      <c r="A16" s="686" t="s">
        <v>154</v>
      </c>
      <c r="B16" s="744" t="s">
        <v>153</v>
      </c>
      <c r="C16" s="747"/>
      <c r="D16" s="745" t="s">
        <v>259</v>
      </c>
      <c r="G16" s="347" t="s">
        <v>104</v>
      </c>
      <c r="H16" s="320">
        <f>D36</f>
        <v>0</v>
      </c>
      <c r="K16" s="329" t="s">
        <v>27</v>
      </c>
      <c r="L16" s="329">
        <f>-10.2+0.33*'Import Question'!F6</f>
        <v>6.6300000000000026</v>
      </c>
      <c r="M16" s="347">
        <f xml:space="preserve"> -7.9+0.26*'Import Question'!F6</f>
        <v>5.3599999999999994</v>
      </c>
      <c r="P16" s="795"/>
      <c r="S16" s="691" t="s">
        <v>1050</v>
      </c>
    </row>
    <row r="17" spans="1:19">
      <c r="A17" s="686" t="s">
        <v>155</v>
      </c>
      <c r="B17" s="744" t="s">
        <v>153</v>
      </c>
      <c r="C17" s="747"/>
      <c r="D17" s="745">
        <v>0.1</v>
      </c>
      <c r="G17" s="347" t="s">
        <v>11</v>
      </c>
      <c r="H17" s="749">
        <f>C25</f>
        <v>0</v>
      </c>
      <c r="K17" s="329" t="s">
        <v>63</v>
      </c>
      <c r="L17" s="329">
        <f>-12.3+0.09*'Import Question'!F80</f>
        <v>-2.4000000000000004</v>
      </c>
      <c r="M17" s="347">
        <f>-20.4+0.15*'Import Question'!F80</f>
        <v>-3.8999999999999986</v>
      </c>
      <c r="P17" s="795"/>
      <c r="S17" s="691" t="s">
        <v>1050</v>
      </c>
    </row>
    <row r="18" spans="1:19">
      <c r="A18" s="686" t="s">
        <v>156</v>
      </c>
      <c r="B18" s="744" t="s">
        <v>153</v>
      </c>
      <c r="C18" s="747"/>
      <c r="D18" s="745" t="s">
        <v>260</v>
      </c>
      <c r="G18" s="347" t="s">
        <v>12</v>
      </c>
      <c r="H18" s="749">
        <f>C12</f>
        <v>0</v>
      </c>
      <c r="K18" s="329" t="s">
        <v>64</v>
      </c>
      <c r="L18" s="329">
        <f>IF('Import Question'!F104="Y",1,0)</f>
        <v>0</v>
      </c>
      <c r="M18" s="347">
        <f>IF('Import Question'!F104="Y",1,0)</f>
        <v>0</v>
      </c>
      <c r="P18" s="795"/>
      <c r="S18" s="691" t="s">
        <v>1050</v>
      </c>
    </row>
    <row r="19" spans="1:19">
      <c r="A19" s="686" t="s">
        <v>157</v>
      </c>
      <c r="B19" s="744" t="s">
        <v>153</v>
      </c>
      <c r="C19" s="747"/>
      <c r="D19" s="745" t="s">
        <v>258</v>
      </c>
      <c r="G19" s="347" t="s">
        <v>13</v>
      </c>
      <c r="H19" s="761">
        <f>C15</f>
        <v>0</v>
      </c>
      <c r="K19" s="329" t="s">
        <v>65</v>
      </c>
      <c r="L19" s="329">
        <f>-4+2.5*(H6*0.386)</f>
        <v>-4</v>
      </c>
      <c r="M19" s="347">
        <f xml:space="preserve"> -5.27+3.29*(H6*0.386)</f>
        <v>-5.27</v>
      </c>
      <c r="P19" s="795"/>
      <c r="S19" s="691" t="s">
        <v>1050</v>
      </c>
    </row>
    <row r="20" spans="1:19">
      <c r="A20" s="686" t="s">
        <v>158</v>
      </c>
      <c r="B20" s="744" t="s">
        <v>159</v>
      </c>
      <c r="C20" s="746"/>
      <c r="G20" s="347" t="s">
        <v>559</v>
      </c>
      <c r="H20" s="749">
        <f>C16</f>
        <v>0</v>
      </c>
      <c r="K20" s="329" t="s">
        <v>66</v>
      </c>
      <c r="L20" s="329">
        <f>IF('Import Question'!F95="Y",1,0)</f>
        <v>0</v>
      </c>
      <c r="M20" s="347">
        <f>IF('Import Question'!F95="Y",1,0)</f>
        <v>0</v>
      </c>
      <c r="P20" s="795"/>
      <c r="S20" s="691" t="s">
        <v>2066</v>
      </c>
    </row>
    <row r="21" spans="1:19">
      <c r="A21" s="686" t="s">
        <v>160</v>
      </c>
      <c r="B21" s="744" t="s">
        <v>161</v>
      </c>
      <c r="C21" s="747"/>
      <c r="G21" s="347" t="s">
        <v>14</v>
      </c>
      <c r="H21" s="749">
        <f>C18</f>
        <v>0</v>
      </c>
      <c r="K21" s="329" t="s">
        <v>67</v>
      </c>
      <c r="L21" s="329">
        <f>IF('Import Question'!F82="Y",1,0)</f>
        <v>0</v>
      </c>
      <c r="M21" s="347">
        <f>IF('Import Question'!F82="Y",1,0)</f>
        <v>0</v>
      </c>
      <c r="P21" s="795"/>
      <c r="S21" s="687" t="s">
        <v>1055</v>
      </c>
    </row>
    <row r="22" spans="1:19">
      <c r="A22" s="686" t="s">
        <v>162</v>
      </c>
      <c r="B22" s="744" t="s">
        <v>143</v>
      </c>
      <c r="C22" s="746"/>
      <c r="G22" s="347" t="s">
        <v>15</v>
      </c>
      <c r="H22" s="749">
        <f>C19</f>
        <v>0</v>
      </c>
      <c r="K22" s="329" t="s">
        <v>68</v>
      </c>
      <c r="L22" s="347">
        <f>SUM(L16:L21)</f>
        <v>0.2300000000000022</v>
      </c>
      <c r="M22" s="347">
        <f>SUM(M16:M21)</f>
        <v>-3.8099999999999987</v>
      </c>
      <c r="P22" s="795"/>
      <c r="S22" s="691" t="s">
        <v>2066</v>
      </c>
    </row>
    <row r="23" spans="1:19">
      <c r="A23" s="686" t="s">
        <v>163</v>
      </c>
      <c r="B23" s="744" t="s">
        <v>164</v>
      </c>
      <c r="C23" s="747"/>
      <c r="G23" s="762" t="s">
        <v>16</v>
      </c>
      <c r="H23" s="324"/>
      <c r="K23" s="329" t="s">
        <v>116</v>
      </c>
      <c r="L23" s="347">
        <f>(-0.38+L22*1.37)/100</f>
        <v>-6.4899999999996959E-4</v>
      </c>
      <c r="M23" s="347">
        <f xml:space="preserve"> (-0.148+0.89*M22)/100</f>
        <v>-3.538899999999999E-2</v>
      </c>
      <c r="S23" s="691" t="s">
        <v>1059</v>
      </c>
    </row>
    <row r="24" spans="1:19">
      <c r="A24" s="686" t="s">
        <v>165</v>
      </c>
      <c r="B24" s="744" t="s">
        <v>164</v>
      </c>
      <c r="C24" s="747"/>
      <c r="G24" s="347" t="s">
        <v>17</v>
      </c>
      <c r="H24" s="749">
        <f>C23</f>
        <v>0</v>
      </c>
      <c r="K24" s="329"/>
      <c r="L24" s="347"/>
      <c r="M24" s="347"/>
      <c r="S24" s="691" t="s">
        <v>1059</v>
      </c>
    </row>
    <row r="25" spans="1:19">
      <c r="A25" s="686" t="s">
        <v>166</v>
      </c>
      <c r="B25" s="744" t="s">
        <v>167</v>
      </c>
      <c r="C25" s="747"/>
      <c r="G25" s="347" t="s">
        <v>18</v>
      </c>
      <c r="H25" s="749">
        <f>C24</f>
        <v>0</v>
      </c>
      <c r="K25" s="329" t="s">
        <v>118</v>
      </c>
      <c r="L25" s="329">
        <f>-10.2+0.33*(('Import Question'!F6)+5)</f>
        <v>8.2800000000000011</v>
      </c>
      <c r="M25" s="347">
        <f>-7.9+0.26*(('Import Question'!F6)+5)</f>
        <v>6.66</v>
      </c>
      <c r="S25" s="691" t="s">
        <v>1059</v>
      </c>
    </row>
    <row r="26" spans="1:19">
      <c r="A26" s="686" t="s">
        <v>535</v>
      </c>
      <c r="B26" s="744" t="s">
        <v>168</v>
      </c>
      <c r="C26" s="746"/>
      <c r="G26" s="347" t="s">
        <v>273</v>
      </c>
      <c r="H26" s="763">
        <f>(C53+C54)/12</f>
        <v>0</v>
      </c>
      <c r="K26" s="329" t="s">
        <v>119</v>
      </c>
      <c r="L26" s="347">
        <f>(L17+L18+L19+L20+L21+L25)</f>
        <v>1.8800000000000008</v>
      </c>
      <c r="M26" s="347">
        <f>(M17+M18+M19+M20+M21+M25)</f>
        <v>-2.509999999999998</v>
      </c>
      <c r="S26" s="691" t="s">
        <v>2068</v>
      </c>
    </row>
    <row r="27" spans="1:19">
      <c r="A27" s="686" t="s">
        <v>533</v>
      </c>
      <c r="B27" s="744" t="s">
        <v>169</v>
      </c>
      <c r="C27" s="746"/>
      <c r="G27" s="347" t="s">
        <v>274</v>
      </c>
      <c r="H27" s="764" t="str">
        <f>IF(C55&lt;8,"L",(IF(C55&gt;14,"H","N")))</f>
        <v>L</v>
      </c>
      <c r="K27" s="329" t="s">
        <v>117</v>
      </c>
      <c r="L27" s="347">
        <f>(-0.38+L26*1.37)/100</f>
        <v>2.1956000000000017E-2</v>
      </c>
      <c r="M27" s="347">
        <f xml:space="preserve"> (-0.148+0.89*M26)/100</f>
        <v>-2.3818999999999986E-2</v>
      </c>
      <c r="S27" s="687" t="s">
        <v>2080</v>
      </c>
    </row>
    <row r="28" spans="1:19">
      <c r="A28" s="686" t="s">
        <v>170</v>
      </c>
      <c r="B28" s="744" t="s">
        <v>171</v>
      </c>
      <c r="C28" s="746"/>
      <c r="G28" s="347" t="s">
        <v>19</v>
      </c>
      <c r="H28" s="749">
        <f>C31</f>
        <v>0</v>
      </c>
      <c r="S28" s="687" t="s">
        <v>2080</v>
      </c>
    </row>
    <row r="29" spans="1:19">
      <c r="A29" s="686" t="s">
        <v>172</v>
      </c>
      <c r="B29" s="744" t="s">
        <v>145</v>
      </c>
      <c r="C29" s="746"/>
      <c r="G29" s="765" t="s">
        <v>330</v>
      </c>
      <c r="H29" s="765">
        <f>'Import Question'!F229</f>
        <v>0</v>
      </c>
      <c r="I29" s="766" t="s">
        <v>331</v>
      </c>
      <c r="J29" s="554" t="e">
        <f>H3/H29</f>
        <v>#DIV/0!</v>
      </c>
      <c r="K29" s="323" t="s">
        <v>120</v>
      </c>
      <c r="L29" s="329">
        <f>IF('Import Question'!F3="H",1.23,1.04)</f>
        <v>1.23</v>
      </c>
      <c r="S29" s="687" t="s">
        <v>2080</v>
      </c>
    </row>
    <row r="30" spans="1:19">
      <c r="A30" s="689" t="s">
        <v>497</v>
      </c>
      <c r="B30" s="744" t="s">
        <v>164</v>
      </c>
      <c r="C30" s="767"/>
      <c r="G30" s="332" t="s">
        <v>114</v>
      </c>
      <c r="H30" s="768" t="e">
        <f>('Import Question'!F6*H25)/((H22*(SQRT(H24))))</f>
        <v>#DIV/0!</v>
      </c>
      <c r="I30" s="769" t="e">
        <f>IF(H30&lt;2,0,1.5)</f>
        <v>#DIV/0!</v>
      </c>
      <c r="S30" s="691" t="s">
        <v>1081</v>
      </c>
    </row>
    <row r="31" spans="1:19">
      <c r="A31" s="686" t="s">
        <v>173</v>
      </c>
      <c r="B31" s="744" t="s">
        <v>174</v>
      </c>
      <c r="C31" s="747"/>
      <c r="G31" s="332" t="s">
        <v>103</v>
      </c>
      <c r="H31" s="851">
        <f>MAX(0.01,IF('Import Question'!F3="H",'Import Biologie'!L23,'Import Biologie'!M23))</f>
        <v>0.01</v>
      </c>
      <c r="I31" s="691" t="s">
        <v>115</v>
      </c>
      <c r="J31" s="770">
        <f>IF('Import Question'!F3="H",'Import Biologie'!L27,'Import Biologie'!M27)</f>
        <v>2.1956000000000017E-2</v>
      </c>
      <c r="K31" s="691">
        <v>8.5</v>
      </c>
      <c r="S31" s="691" t="s">
        <v>2068</v>
      </c>
    </row>
    <row r="32" spans="1:19">
      <c r="A32" s="686" t="s">
        <v>175</v>
      </c>
      <c r="B32" s="744" t="s">
        <v>176</v>
      </c>
      <c r="C32" s="747"/>
      <c r="D32" s="771">
        <f>C32*0.03624502</f>
        <v>0</v>
      </c>
      <c r="E32" s="691" t="s">
        <v>229</v>
      </c>
      <c r="G32" s="772" t="s">
        <v>58</v>
      </c>
      <c r="H32" s="772">
        <f>IF(H3=0,0,(IF('Import Question'!F110="Y",(H3*1.5),H3))*G40)</f>
        <v>0</v>
      </c>
      <c r="K32" s="691">
        <f>2/8.5</f>
        <v>0.23529411764705882</v>
      </c>
      <c r="S32" s="691" t="s">
        <v>2068</v>
      </c>
    </row>
    <row r="33" spans="1:19">
      <c r="A33" s="686" t="s">
        <v>178</v>
      </c>
      <c r="B33" s="744" t="s">
        <v>159</v>
      </c>
      <c r="C33" s="747"/>
      <c r="D33" s="347">
        <f>C33*0.168</f>
        <v>0</v>
      </c>
      <c r="E33" s="691" t="s">
        <v>230</v>
      </c>
      <c r="F33" s="797" t="s">
        <v>2151</v>
      </c>
      <c r="G33" s="772" t="s">
        <v>69</v>
      </c>
      <c r="H33" s="772">
        <f>MAX(IF(H6&gt;5.2,1.2,0),(IF(H11&gt;1.8,1.2,0)),(IF(H6=0,1,0)),(IF(H11&gt;5,2,0)))</f>
        <v>1</v>
      </c>
      <c r="I33" s="687"/>
      <c r="S33" s="691" t="s">
        <v>1090</v>
      </c>
    </row>
    <row r="34" spans="1:19">
      <c r="A34" s="686" t="s">
        <v>179</v>
      </c>
      <c r="B34" s="744" t="s">
        <v>180</v>
      </c>
      <c r="C34" s="746"/>
      <c r="G34" s="772" t="s">
        <v>70</v>
      </c>
      <c r="H34" s="772">
        <f>MAX(IF(H10&gt;6,2,0),IF(H10=0,1,0))</f>
        <v>1</v>
      </c>
      <c r="I34" s="687"/>
      <c r="S34" s="691" t="s">
        <v>1052</v>
      </c>
    </row>
    <row r="35" spans="1:19">
      <c r="A35" s="686" t="s">
        <v>327</v>
      </c>
      <c r="B35" s="744" t="s">
        <v>161</v>
      </c>
      <c r="C35" s="747"/>
      <c r="G35" s="332" t="s">
        <v>60</v>
      </c>
      <c r="H35" s="332">
        <f>MAX(IF(H5&gt;2.6,1.3,1),IF(H4&gt;420,1.3,1),IF(C44&gt;850,1.3,1),IF(C42&gt;7.5,1.3,1))</f>
        <v>1</v>
      </c>
      <c r="I35" s="329"/>
      <c r="K35" s="691" t="s">
        <v>580</v>
      </c>
      <c r="L35" s="329"/>
      <c r="N35" s="796"/>
      <c r="S35" s="691" t="s">
        <v>1052</v>
      </c>
    </row>
    <row r="36" spans="1:19">
      <c r="A36" s="686" t="s">
        <v>181</v>
      </c>
      <c r="B36" s="744" t="s">
        <v>140</v>
      </c>
      <c r="C36" s="747"/>
      <c r="D36" s="745">
        <f>C36*8.84</f>
        <v>0</v>
      </c>
      <c r="E36" s="691" t="s">
        <v>169</v>
      </c>
      <c r="G36" s="332" t="s">
        <v>59</v>
      </c>
      <c r="H36" s="773">
        <f>(0.0393+(0.042*H32)-(0.00055*H32^2))/3</f>
        <v>1.3100000000000001E-2</v>
      </c>
      <c r="I36" s="691" t="s">
        <v>243</v>
      </c>
      <c r="J36" s="773">
        <f>(0.0393+(0.042*(H32+1))-(0.00055*(H32+1)^2))/3</f>
        <v>2.6916666666666672E-2</v>
      </c>
      <c r="S36" s="691" t="s">
        <v>1090</v>
      </c>
    </row>
    <row r="37" spans="1:19">
      <c r="A37" s="686" t="s">
        <v>182</v>
      </c>
      <c r="B37" s="744" t="s">
        <v>183</v>
      </c>
      <c r="C37" s="747"/>
      <c r="D37" s="745" t="s">
        <v>177</v>
      </c>
      <c r="E37" s="175" t="s">
        <v>334</v>
      </c>
      <c r="F37" s="175">
        <f>IF(C37&lt;30,2,IF(C37&gt;60,1,1.5))+IF(C37=0,-1,0)</f>
        <v>1</v>
      </c>
      <c r="G37" s="774" t="s">
        <v>120</v>
      </c>
      <c r="H37" s="775" t="e">
        <f>((140-'Import Question'!F6)*('Import Question'!F78)*L29/('Import Biologie'!H16))</f>
        <v>#DIV/0!</v>
      </c>
      <c r="J37" s="800"/>
      <c r="S37" s="691" t="s">
        <v>1090</v>
      </c>
    </row>
    <row r="38" spans="1:19">
      <c r="A38" s="713" t="s">
        <v>348</v>
      </c>
      <c r="B38" s="753" t="s">
        <v>185</v>
      </c>
      <c r="C38" s="754"/>
      <c r="D38" s="745" t="s">
        <v>346</v>
      </c>
      <c r="E38" s="691" t="s">
        <v>347</v>
      </c>
      <c r="G38" s="332" t="s">
        <v>121</v>
      </c>
      <c r="H38" s="332">
        <f>SUM(J38:J42)</f>
        <v>1</v>
      </c>
      <c r="I38" s="691" t="s">
        <v>0</v>
      </c>
      <c r="J38" s="687">
        <f>IF('Import Question'!H77&gt;0.3,2,0)</f>
        <v>0</v>
      </c>
      <c r="L38" s="691">
        <v>2</v>
      </c>
      <c r="S38" s="691" t="s">
        <v>2067</v>
      </c>
    </row>
    <row r="39" spans="1:19">
      <c r="A39" s="714" t="s">
        <v>349</v>
      </c>
      <c r="B39" s="753" t="s">
        <v>185</v>
      </c>
      <c r="C39" s="754"/>
      <c r="I39" s="691" t="s">
        <v>71</v>
      </c>
      <c r="J39" s="691">
        <f>IF('Import Question'!F79&gt;'Import Biologie'!K39,1.5,0)</f>
        <v>0</v>
      </c>
      <c r="K39" s="776">
        <v>102</v>
      </c>
      <c r="L39" s="691">
        <v>1.5</v>
      </c>
      <c r="S39" s="691" t="s">
        <v>2067</v>
      </c>
    </row>
    <row r="40" spans="1:19">
      <c r="A40" s="713" t="s">
        <v>350</v>
      </c>
      <c r="B40" s="753" t="s">
        <v>185</v>
      </c>
      <c r="C40" s="754"/>
      <c r="F40" s="801" t="s">
        <v>255</v>
      </c>
      <c r="G40" s="525">
        <f>IF('Import Question'!H77&gt;0.3,1.5,1)</f>
        <v>1</v>
      </c>
      <c r="I40" s="691" t="s">
        <v>122</v>
      </c>
      <c r="J40" s="691">
        <f>L20</f>
        <v>0</v>
      </c>
      <c r="L40" s="691">
        <v>1</v>
      </c>
      <c r="S40" s="691" t="s">
        <v>2067</v>
      </c>
    </row>
    <row r="41" spans="1:19">
      <c r="A41" s="715" t="s">
        <v>186</v>
      </c>
      <c r="B41" s="744" t="s">
        <v>187</v>
      </c>
      <c r="C41" s="747"/>
      <c r="I41" s="691" t="s">
        <v>123</v>
      </c>
      <c r="J41" s="691">
        <f>H33</f>
        <v>1</v>
      </c>
      <c r="L41" s="691">
        <v>1</v>
      </c>
      <c r="S41" s="691" t="s">
        <v>1090</v>
      </c>
    </row>
    <row r="42" spans="1:19">
      <c r="A42" s="716" t="s">
        <v>188</v>
      </c>
      <c r="B42" s="744" t="s">
        <v>189</v>
      </c>
      <c r="C42" s="747"/>
      <c r="D42" s="745">
        <f>C42*40</f>
        <v>0</v>
      </c>
      <c r="E42" s="691" t="s">
        <v>192</v>
      </c>
      <c r="I42" s="691" t="s">
        <v>124</v>
      </c>
      <c r="J42" s="691">
        <f>MAX(IF('Import Question'!F104="Y",1,0),IF('Import Question'!F80&gt;140,1,0))</f>
        <v>0</v>
      </c>
      <c r="L42" s="691">
        <v>1</v>
      </c>
      <c r="S42" s="691" t="s">
        <v>1090</v>
      </c>
    </row>
    <row r="43" spans="1:19">
      <c r="A43" s="716" t="s">
        <v>190</v>
      </c>
      <c r="B43" s="744" t="s">
        <v>189</v>
      </c>
      <c r="C43" s="747"/>
      <c r="L43" s="691">
        <f>SUM(L38:L42)</f>
        <v>6.5</v>
      </c>
      <c r="S43" s="691" t="s">
        <v>1090</v>
      </c>
    </row>
    <row r="44" spans="1:19">
      <c r="A44" s="716" t="s">
        <v>191</v>
      </c>
      <c r="B44" s="744" t="s">
        <v>192</v>
      </c>
      <c r="C44" s="747"/>
      <c r="D44" s="745">
        <f>C44*0.168</f>
        <v>0</v>
      </c>
      <c r="S44" s="691" t="s">
        <v>1090</v>
      </c>
    </row>
    <row r="45" spans="1:19">
      <c r="A45" s="716" t="s">
        <v>193</v>
      </c>
      <c r="B45" s="744"/>
      <c r="C45" s="747"/>
      <c r="I45" s="691" t="s">
        <v>314</v>
      </c>
      <c r="K45" s="691" t="e">
        <f>IF(H37&lt;75,2,(IF(H37&gt;100,0,1)))</f>
        <v>#DIV/0!</v>
      </c>
      <c r="S45" s="691" t="s">
        <v>1090</v>
      </c>
    </row>
    <row r="46" spans="1:19">
      <c r="A46" s="716" t="s">
        <v>194</v>
      </c>
      <c r="B46" s="744" t="s">
        <v>488</v>
      </c>
      <c r="C46" s="746"/>
      <c r="M46" s="329"/>
      <c r="S46" s="691" t="s">
        <v>1090</v>
      </c>
    </row>
    <row r="47" spans="1:19">
      <c r="A47" s="716" t="s">
        <v>195</v>
      </c>
      <c r="B47" s="744" t="s">
        <v>225</v>
      </c>
      <c r="C47" s="747"/>
      <c r="D47" s="745">
        <f>(C47*1000)/8.84</f>
        <v>0</v>
      </c>
      <c r="E47" s="691" t="s">
        <v>230</v>
      </c>
      <c r="G47" s="355" t="s">
        <v>602</v>
      </c>
      <c r="H47" s="351">
        <f>IF(C38="Positive",3,1)</f>
        <v>1</v>
      </c>
      <c r="S47" s="691" t="s">
        <v>1090</v>
      </c>
    </row>
    <row r="48" spans="1:19">
      <c r="A48" s="716" t="s">
        <v>195</v>
      </c>
      <c r="B48" s="744" t="s">
        <v>189</v>
      </c>
      <c r="C48" s="747"/>
      <c r="D48" s="745">
        <f>(C48*1000)/8.84</f>
        <v>0</v>
      </c>
      <c r="E48" s="691" t="s">
        <v>192</v>
      </c>
      <c r="K48" s="331" t="s">
        <v>203</v>
      </c>
      <c r="L48" s="777">
        <f>C56</f>
        <v>51</v>
      </c>
      <c r="N48" s="778" t="str">
        <f>IF(L59&lt;2.5,"Faible",IF(L59&gt;7.5,"Elevé","intermédiare"))</f>
        <v>Faible</v>
      </c>
      <c r="S48" s="691" t="s">
        <v>1090</v>
      </c>
    </row>
    <row r="49" spans="1:19">
      <c r="A49" s="716" t="s">
        <v>196</v>
      </c>
      <c r="B49" s="744" t="s">
        <v>189</v>
      </c>
      <c r="C49" s="747"/>
      <c r="E49" s="691" t="s">
        <v>231</v>
      </c>
      <c r="K49" s="331" t="s">
        <v>610</v>
      </c>
      <c r="L49" s="331">
        <f>'Import Question'!H3</f>
        <v>1</v>
      </c>
      <c r="N49" s="778" t="str">
        <f>IF(L59&lt;5,"Faible",IF(L59&gt;10,"Elevé","intermédiare"))</f>
        <v>Faible</v>
      </c>
      <c r="S49" s="691" t="s">
        <v>1090</v>
      </c>
    </row>
    <row r="50" spans="1:19">
      <c r="A50" s="714" t="s">
        <v>197</v>
      </c>
      <c r="B50" s="753" t="s">
        <v>198</v>
      </c>
      <c r="C50" s="754"/>
      <c r="K50" s="331" t="s">
        <v>611</v>
      </c>
      <c r="L50" s="331">
        <f>IF('Import Question'!F82="Y",1,0)</f>
        <v>0</v>
      </c>
      <c r="N50" s="778" t="str">
        <f>IF(L59&lt;7.5,"Faible",IF(L59&gt;15,"Elevé","intermédiare"))</f>
        <v>Faible</v>
      </c>
      <c r="S50" s="691" t="s">
        <v>1090</v>
      </c>
    </row>
    <row r="51" spans="1:19">
      <c r="A51" s="714" t="s">
        <v>199</v>
      </c>
      <c r="B51" s="753" t="s">
        <v>198</v>
      </c>
      <c r="C51" s="754"/>
      <c r="K51" s="779" t="s">
        <v>612</v>
      </c>
      <c r="L51" s="331">
        <f>'Import Question'!F80</f>
        <v>110</v>
      </c>
      <c r="N51" s="333"/>
      <c r="S51" s="691" t="s">
        <v>1052</v>
      </c>
    </row>
    <row r="52" spans="1:19">
      <c r="A52" s="714" t="s">
        <v>200</v>
      </c>
      <c r="B52" s="753" t="s">
        <v>198</v>
      </c>
      <c r="C52" s="754"/>
      <c r="K52" s="331" t="s">
        <v>613</v>
      </c>
      <c r="L52" s="331">
        <f>H6-H8</f>
        <v>0</v>
      </c>
      <c r="N52" s="667" t="str">
        <f>IF(L48&lt;50,N48,(IF(L48&gt;70,N50,N49)))</f>
        <v>Faible</v>
      </c>
      <c r="S52" s="691" t="s">
        <v>1059</v>
      </c>
    </row>
    <row r="53" spans="1:19">
      <c r="A53" s="690" t="s">
        <v>268</v>
      </c>
      <c r="B53" s="338" t="s">
        <v>135</v>
      </c>
      <c r="D53" s="745" t="s">
        <v>271</v>
      </c>
      <c r="S53" s="691" t="s">
        <v>1055</v>
      </c>
    </row>
    <row r="54" spans="1:19">
      <c r="A54" s="690" t="s">
        <v>269</v>
      </c>
      <c r="B54" s="338" t="s">
        <v>135</v>
      </c>
      <c r="D54" s="745" t="s">
        <v>272</v>
      </c>
      <c r="S54" s="691" t="s">
        <v>1055</v>
      </c>
    </row>
    <row r="55" spans="1:19">
      <c r="A55" s="686" t="s">
        <v>270</v>
      </c>
      <c r="B55" s="338" t="s">
        <v>135</v>
      </c>
      <c r="S55" s="691" t="s">
        <v>1055</v>
      </c>
    </row>
    <row r="56" spans="1:19">
      <c r="A56" s="707" t="s">
        <v>203</v>
      </c>
      <c r="C56" s="802">
        <f>'Import Question'!F6</f>
        <v>51</v>
      </c>
      <c r="S56" s="803" t="s">
        <v>2081</v>
      </c>
    </row>
    <row r="57" spans="1:19">
      <c r="A57" s="707" t="s">
        <v>204</v>
      </c>
      <c r="C57" s="804">
        <f>'Import Question'!F78</f>
        <v>75</v>
      </c>
      <c r="D57" s="745" t="s">
        <v>261</v>
      </c>
      <c r="E57" s="692">
        <f>C58-100-((C58-150)/4)</f>
        <v>61.25</v>
      </c>
      <c r="F57" s="800" t="s">
        <v>265</v>
      </c>
      <c r="G57" s="800" t="s">
        <v>264</v>
      </c>
      <c r="H57" s="780">
        <f>((10*C57)+(6.25*C58)-(5*C56)+5)/1000</f>
        <v>1.53125</v>
      </c>
      <c r="S57" s="803" t="s">
        <v>2081</v>
      </c>
    </row>
    <row r="58" spans="1:19">
      <c r="A58" s="707" t="s">
        <v>205</v>
      </c>
      <c r="C58" s="804">
        <f>'Import Question'!F77</f>
        <v>165</v>
      </c>
      <c r="F58" s="691" t="s">
        <v>267</v>
      </c>
      <c r="G58" s="800" t="s">
        <v>266</v>
      </c>
      <c r="H58" s="780">
        <f>((10*C57)+(C58*6.25)-(5*C56)-161)/1000</f>
        <v>1.3652500000000001</v>
      </c>
      <c r="L58" s="779" t="s">
        <v>614</v>
      </c>
      <c r="S58" s="803" t="s">
        <v>2081</v>
      </c>
    </row>
    <row r="59" spans="1:19">
      <c r="A59" s="707" t="s">
        <v>206</v>
      </c>
      <c r="C59" s="805">
        <f>100*C57/C58^2</f>
        <v>0.27548209366391185</v>
      </c>
      <c r="D59" s="745" t="s">
        <v>201</v>
      </c>
      <c r="K59" s="691" t="s">
        <v>609</v>
      </c>
      <c r="L59" s="781">
        <f xml:space="preserve"> -25.7140130071773+0.267011088709677*L48+2.55729166666666*L49+2.97395833333333*L50+0.0753386699507389*L51+0.576041666666669*L52</f>
        <v>-1.2519021217358333</v>
      </c>
      <c r="S59" s="803" t="s">
        <v>2081</v>
      </c>
    </row>
    <row r="60" spans="1:19">
      <c r="A60" s="707" t="s">
        <v>207</v>
      </c>
      <c r="B60" s="745"/>
      <c r="C60" s="806" t="e">
        <f>C16/C18</f>
        <v>#DIV/0!</v>
      </c>
      <c r="D60" s="745" t="s">
        <v>202</v>
      </c>
      <c r="S60" s="803" t="s">
        <v>2081</v>
      </c>
    </row>
    <row r="61" spans="1:19">
      <c r="A61" s="707" t="s">
        <v>208</v>
      </c>
      <c r="B61" s="745"/>
      <c r="C61" s="806">
        <f>IF(C29&lt;0.8,1.1,1)</f>
        <v>1.1000000000000001</v>
      </c>
      <c r="S61" s="803" t="s">
        <v>2081</v>
      </c>
    </row>
    <row r="62" spans="1:19">
      <c r="A62" s="707" t="s">
        <v>209</v>
      </c>
      <c r="B62" s="745"/>
      <c r="C62" s="782" t="e">
        <f>C27/C28</f>
        <v>#DIV/0!</v>
      </c>
      <c r="S62" s="803" t="s">
        <v>2081</v>
      </c>
    </row>
    <row r="63" spans="1:19">
      <c r="A63" s="707" t="s">
        <v>210</v>
      </c>
      <c r="B63" s="745"/>
      <c r="C63" s="782" t="e">
        <f>C32/C26</f>
        <v>#DIV/0!</v>
      </c>
      <c r="S63" s="803" t="s">
        <v>2081</v>
      </c>
    </row>
    <row r="64" spans="1:19">
      <c r="A64" s="707" t="s">
        <v>211</v>
      </c>
      <c r="B64" s="745"/>
      <c r="C64" s="806">
        <f>IF(C35&lt;30,1.2,1)</f>
        <v>1.2</v>
      </c>
      <c r="S64" s="803" t="s">
        <v>2081</v>
      </c>
    </row>
    <row r="65" spans="1:19">
      <c r="A65" s="707" t="s">
        <v>212</v>
      </c>
      <c r="B65" s="848">
        <f>C42/C57</f>
        <v>0</v>
      </c>
      <c r="C65" s="806">
        <f>IF(B65&gt;0.1,1,0)</f>
        <v>0</v>
      </c>
      <c r="S65" s="803" t="s">
        <v>2081</v>
      </c>
    </row>
    <row r="66" spans="1:19">
      <c r="A66" s="707" t="s">
        <v>213</v>
      </c>
      <c r="B66" s="745"/>
      <c r="C66" s="806">
        <f>IF(C44&gt;1000,1,0)</f>
        <v>0</v>
      </c>
      <c r="S66" s="803" t="s">
        <v>2081</v>
      </c>
    </row>
    <row r="67" spans="1:19">
      <c r="A67" s="707" t="s">
        <v>214</v>
      </c>
      <c r="B67" s="745"/>
      <c r="C67" s="806">
        <f>IF(C49&gt;150,1,0)</f>
        <v>0</v>
      </c>
      <c r="S67" s="803" t="s">
        <v>2081</v>
      </c>
    </row>
    <row r="68" spans="1:19">
      <c r="A68" s="707" t="s">
        <v>215</v>
      </c>
      <c r="B68" s="745"/>
      <c r="C68" s="806">
        <f>IF(C41&lt;2,1,0)</f>
        <v>1</v>
      </c>
      <c r="D68" s="782" t="e">
        <f>IF(C63&lt;0.1,1.2,1)</f>
        <v>#DIV/0!</v>
      </c>
      <c r="S68" s="803" t="s">
        <v>2081</v>
      </c>
    </row>
    <row r="69" spans="1:19">
      <c r="A69" s="707" t="s">
        <v>216</v>
      </c>
      <c r="B69" s="745"/>
      <c r="C69" s="782">
        <f>C49/17</f>
        <v>0</v>
      </c>
      <c r="S69" s="803" t="s">
        <v>2081</v>
      </c>
    </row>
    <row r="70" spans="1:19">
      <c r="A70" s="707" t="s">
        <v>218</v>
      </c>
      <c r="B70" s="745"/>
      <c r="C70" s="782">
        <f>C43/5</f>
        <v>0</v>
      </c>
      <c r="D70" s="745" t="s">
        <v>262</v>
      </c>
      <c r="E70" s="692">
        <f>E57*0.8</f>
        <v>49</v>
      </c>
      <c r="S70" s="803" t="s">
        <v>2081</v>
      </c>
    </row>
    <row r="71" spans="1:19">
      <c r="A71" s="707" t="s">
        <v>219</v>
      </c>
      <c r="B71" s="745"/>
      <c r="C71" s="807">
        <f>AUTOQUESTIONNAIRE!H3</f>
        <v>1</v>
      </c>
      <c r="S71" s="803" t="s">
        <v>2081</v>
      </c>
    </row>
    <row r="72" spans="1:19">
      <c r="A72" s="707" t="s">
        <v>235</v>
      </c>
      <c r="B72" s="745"/>
      <c r="C72" s="806">
        <f>23*(C48/8.84)</f>
        <v>0</v>
      </c>
      <c r="D72" s="745" t="s">
        <v>263</v>
      </c>
      <c r="S72" s="803" t="s">
        <v>2081</v>
      </c>
    </row>
    <row r="73" spans="1:19">
      <c r="A73" s="707" t="s">
        <v>233</v>
      </c>
      <c r="B73" s="745"/>
      <c r="C73" s="806">
        <f xml:space="preserve"> (30+0.275*C56-0.00375*C56^2)</f>
        <v>34.271249999999995</v>
      </c>
      <c r="D73" s="748" t="s">
        <v>301</v>
      </c>
      <c r="E73" s="808">
        <f>(0.407*C57)+(0.267*C58)-9.2</f>
        <v>65.38</v>
      </c>
      <c r="F73" s="809" t="s">
        <v>2152</v>
      </c>
      <c r="S73" s="803" t="s">
        <v>2081</v>
      </c>
    </row>
    <row r="74" spans="1:19">
      <c r="A74" s="707" t="s">
        <v>234</v>
      </c>
      <c r="B74" s="745"/>
      <c r="C74" s="806">
        <f>( (42-0.5*C56+0.0025*C56^2))</f>
        <v>23.002500000000001</v>
      </c>
      <c r="D74" s="745" t="s">
        <v>217</v>
      </c>
      <c r="S74" s="803" t="s">
        <v>2081</v>
      </c>
    </row>
    <row r="75" spans="1:19">
      <c r="A75" s="707" t="s">
        <v>220</v>
      </c>
      <c r="B75" s="745"/>
      <c r="C75" s="810">
        <f>(C72/C73)*(IF('Import Question'!H3=1,1,0))</f>
        <v>0</v>
      </c>
      <c r="D75" s="748" t="s">
        <v>302</v>
      </c>
      <c r="S75" s="803" t="s">
        <v>2081</v>
      </c>
    </row>
    <row r="76" spans="1:19">
      <c r="A76" s="707" t="s">
        <v>221</v>
      </c>
      <c r="B76" s="745"/>
      <c r="C76" s="782">
        <f>(C72/C74)*(IF('Import Question'!H3=0,1,0))</f>
        <v>0</v>
      </c>
      <c r="S76" s="803" t="s">
        <v>2081</v>
      </c>
    </row>
    <row r="77" spans="1:19">
      <c r="A77" s="708" t="s">
        <v>222</v>
      </c>
      <c r="C77" s="811">
        <f>IF(C7&gt;3,1.2,1)</f>
        <v>1</v>
      </c>
      <c r="S77" s="803" t="s">
        <v>2081</v>
      </c>
    </row>
    <row r="78" spans="1:19">
      <c r="A78" s="707" t="s">
        <v>186</v>
      </c>
      <c r="B78" s="745"/>
      <c r="C78" s="806">
        <f>IF(C41&lt;1800,1,0)</f>
        <v>1</v>
      </c>
      <c r="S78" s="803" t="s">
        <v>2081</v>
      </c>
    </row>
    <row r="79" spans="1:19">
      <c r="A79" s="707" t="s">
        <v>223</v>
      </c>
      <c r="B79" s="745"/>
      <c r="C79" s="806">
        <f>IF(C12&lt;10,1,0) + IF(C16&lt;4,1,0) + IF(C18&lt;1,1,0) + IF(C19&lt;50,1,0)</f>
        <v>4</v>
      </c>
      <c r="S79" s="803" t="s">
        <v>2081</v>
      </c>
    </row>
    <row r="80" spans="1:19">
      <c r="A80" s="707" t="s">
        <v>146</v>
      </c>
      <c r="B80" s="745"/>
      <c r="C80" s="806">
        <f>IF(C12&gt;17,1,0)</f>
        <v>0</v>
      </c>
      <c r="S80" s="803" t="s">
        <v>2081</v>
      </c>
    </row>
    <row r="81" spans="1:19">
      <c r="A81" s="707" t="s">
        <v>152</v>
      </c>
      <c r="B81" s="745"/>
      <c r="C81" s="806">
        <f>IF(C16&gt;70,1,0)</f>
        <v>0</v>
      </c>
      <c r="S81" s="803" t="s">
        <v>2081</v>
      </c>
    </row>
    <row r="82" spans="1:19">
      <c r="A82" s="707" t="s">
        <v>156</v>
      </c>
      <c r="B82" s="745"/>
      <c r="C82" s="806">
        <f>IF(C18&gt;5,1,0)</f>
        <v>0</v>
      </c>
      <c r="S82" s="803" t="s">
        <v>2081</v>
      </c>
    </row>
    <row r="83" spans="1:19">
      <c r="A83" s="707" t="s">
        <v>157</v>
      </c>
      <c r="B83" s="745"/>
      <c r="C83" s="806">
        <f>IF(C19&gt;600,1,0)</f>
        <v>0</v>
      </c>
      <c r="S83" s="803" t="s">
        <v>2081</v>
      </c>
    </row>
    <row r="84" spans="1:19">
      <c r="A84" s="698" t="s">
        <v>1706</v>
      </c>
      <c r="B84" s="745" t="s">
        <v>135</v>
      </c>
      <c r="C84" s="806">
        <v>2</v>
      </c>
      <c r="S84" s="687" t="s">
        <v>1050</v>
      </c>
    </row>
    <row r="85" spans="1:19">
      <c r="A85" s="707" t="s">
        <v>184</v>
      </c>
      <c r="B85" s="745"/>
      <c r="C85" s="806">
        <f>IF(C38="positive",1.5,1)</f>
        <v>1</v>
      </c>
      <c r="S85" s="803" t="s">
        <v>2081</v>
      </c>
    </row>
    <row r="86" spans="1:19">
      <c r="A86" s="709" t="s">
        <v>224</v>
      </c>
      <c r="B86" s="745"/>
      <c r="C86" s="812">
        <f>(((C67+C68+C66+C65+C78)*2)/10)+1</f>
        <v>1.4</v>
      </c>
      <c r="S86" s="803" t="s">
        <v>2081</v>
      </c>
    </row>
    <row r="87" spans="1:19">
      <c r="A87" s="699" t="s">
        <v>226</v>
      </c>
      <c r="C87" s="745" t="e">
        <f>C3/C4</f>
        <v>#DIV/0!</v>
      </c>
      <c r="D87" s="745" t="s">
        <v>227</v>
      </c>
      <c r="E87" s="691" t="s">
        <v>228</v>
      </c>
      <c r="S87" s="803" t="s">
        <v>2081</v>
      </c>
    </row>
    <row r="88" spans="1:19">
      <c r="A88" s="699" t="s">
        <v>1341</v>
      </c>
      <c r="B88" s="745" t="s">
        <v>1397</v>
      </c>
      <c r="C88" s="745"/>
      <c r="S88" s="687" t="s">
        <v>2068</v>
      </c>
    </row>
    <row r="89" spans="1:19">
      <c r="A89" s="686" t="s">
        <v>1234</v>
      </c>
      <c r="B89" s="783" t="s">
        <v>1397</v>
      </c>
      <c r="C89" s="338">
        <v>10</v>
      </c>
      <c r="D89" s="784" t="s">
        <v>1396</v>
      </c>
      <c r="E89" s="373">
        <f>(C9*C88)/405</f>
        <v>0</v>
      </c>
      <c r="F89" s="785"/>
      <c r="G89" s="785"/>
      <c r="S89" s="691" t="s">
        <v>2068</v>
      </c>
    </row>
    <row r="90" spans="1:19">
      <c r="A90" s="686" t="s">
        <v>1402</v>
      </c>
      <c r="B90" s="783" t="s">
        <v>1401</v>
      </c>
      <c r="S90" s="687" t="s">
        <v>2082</v>
      </c>
    </row>
    <row r="91" spans="1:19">
      <c r="A91" s="710" t="s">
        <v>1262</v>
      </c>
      <c r="B91" s="786" t="s">
        <v>1399</v>
      </c>
      <c r="F91" s="785"/>
      <c r="S91" s="691" t="s">
        <v>2068</v>
      </c>
    </row>
    <row r="92" spans="1:19">
      <c r="A92" s="699" t="s">
        <v>1404</v>
      </c>
      <c r="B92" s="783" t="s">
        <v>1403</v>
      </c>
      <c r="S92" s="687" t="s">
        <v>1087</v>
      </c>
    </row>
    <row r="93" spans="1:19">
      <c r="A93" s="699" t="s">
        <v>1952</v>
      </c>
      <c r="B93" s="783" t="s">
        <v>1403</v>
      </c>
      <c r="S93" s="687" t="s">
        <v>1087</v>
      </c>
    </row>
    <row r="94" spans="1:19">
      <c r="A94" s="699" t="s">
        <v>1342</v>
      </c>
      <c r="B94" s="745" t="s">
        <v>1398</v>
      </c>
      <c r="F94" s="785"/>
      <c r="S94" s="691" t="s">
        <v>1087</v>
      </c>
    </row>
    <row r="95" spans="1:19">
      <c r="A95" s="698" t="s">
        <v>1400</v>
      </c>
      <c r="B95" s="338" t="s">
        <v>143</v>
      </c>
      <c r="F95" s="787"/>
      <c r="S95" s="691" t="s">
        <v>1059</v>
      </c>
    </row>
    <row r="96" spans="1:19">
      <c r="A96" s="711" t="s">
        <v>1577</v>
      </c>
      <c r="B96" s="338" t="s">
        <v>143</v>
      </c>
      <c r="C96" s="338">
        <v>1</v>
      </c>
      <c r="S96" s="687" t="s">
        <v>1050</v>
      </c>
    </row>
    <row r="97" spans="1:19" ht="36">
      <c r="A97" s="711" t="s">
        <v>1578</v>
      </c>
      <c r="B97" s="744" t="s">
        <v>153</v>
      </c>
      <c r="C97" s="338">
        <v>0.1</v>
      </c>
      <c r="D97" s="745" t="s">
        <v>1485</v>
      </c>
      <c r="F97" s="788" t="s">
        <v>1484</v>
      </c>
      <c r="G97" s="788" t="s">
        <v>1486</v>
      </c>
      <c r="S97" s="687" t="s">
        <v>1050</v>
      </c>
    </row>
    <row r="98" spans="1:19">
      <c r="A98" s="694" t="s">
        <v>1736</v>
      </c>
      <c r="B98" s="789" t="s">
        <v>1737</v>
      </c>
      <c r="C98" s="813">
        <f>MAX(IF(C19&gt;500,1.2,0.8),(IF(C10&gt;16.5,1.2,0.8)))</f>
        <v>0.8</v>
      </c>
      <c r="D98" s="790">
        <f>MAX(C98:C100)</f>
        <v>0.8</v>
      </c>
      <c r="F98" s="788"/>
      <c r="G98" s="788"/>
      <c r="S98" s="803" t="s">
        <v>2081</v>
      </c>
    </row>
    <row r="99" spans="1:19">
      <c r="A99" s="693"/>
      <c r="B99" s="789" t="s">
        <v>1738</v>
      </c>
      <c r="C99" s="813">
        <f>MAX(IF(C7&gt;10,1.2,0.8),(IF(C84&gt;4,1.2,0.8)))</f>
        <v>0.8</v>
      </c>
      <c r="F99" s="788"/>
      <c r="G99" s="788"/>
    </row>
    <row r="100" spans="1:19">
      <c r="A100" s="693"/>
      <c r="B100" s="789" t="s">
        <v>2153</v>
      </c>
      <c r="C100" s="813">
        <f>IF(C12&gt;18,1.2,0.8)</f>
        <v>0.8</v>
      </c>
      <c r="F100" s="788"/>
      <c r="G100" s="788"/>
    </row>
    <row r="101" spans="1:19">
      <c r="A101" s="693"/>
      <c r="B101" s="744"/>
      <c r="F101" s="788"/>
      <c r="G101" s="788"/>
    </row>
    <row r="102" spans="1:19">
      <c r="A102" s="693"/>
      <c r="B102" s="744"/>
      <c r="F102" s="788"/>
      <c r="G102" s="788"/>
    </row>
    <row r="103" spans="1:19" ht="54">
      <c r="A103" s="685" t="s">
        <v>1493</v>
      </c>
      <c r="B103" s="338" t="s">
        <v>1494</v>
      </c>
      <c r="C103" s="338">
        <v>50</v>
      </c>
      <c r="F103" s="791" t="s">
        <v>1487</v>
      </c>
      <c r="G103" s="791" t="s">
        <v>1488</v>
      </c>
      <c r="S103" s="803" t="s">
        <v>2081</v>
      </c>
    </row>
    <row r="104" spans="1:19" ht="54">
      <c r="A104" s="685" t="s">
        <v>1483</v>
      </c>
      <c r="B104" s="529" t="e">
        <f>(0.22*C56)+(0.246*C71)-(1.134*LN(C37)+(0.451*LN(C103)))</f>
        <v>#NUM!</v>
      </c>
      <c r="C104" s="338" t="s">
        <v>1739</v>
      </c>
      <c r="F104" s="791" t="s">
        <v>1489</v>
      </c>
      <c r="G104" s="791" t="s">
        <v>1490</v>
      </c>
      <c r="S104" s="803" t="s">
        <v>2081</v>
      </c>
    </row>
    <row r="105" spans="1:19" ht="72">
      <c r="A105" s="685" t="s">
        <v>1689</v>
      </c>
      <c r="B105" s="783" t="s">
        <v>1740</v>
      </c>
      <c r="F105" s="791" t="s">
        <v>1491</v>
      </c>
      <c r="G105" s="791" t="s">
        <v>1492</v>
      </c>
      <c r="S105" s="803"/>
    </row>
    <row r="106" spans="1:19">
      <c r="A106" s="685" t="s">
        <v>1690</v>
      </c>
      <c r="B106" s="783" t="s">
        <v>1683</v>
      </c>
      <c r="F106" s="791"/>
      <c r="G106" s="791"/>
      <c r="S106" s="803"/>
    </row>
    <row r="107" spans="1:19">
      <c r="A107" s="716" t="s">
        <v>1688</v>
      </c>
      <c r="B107" s="338" t="s">
        <v>143</v>
      </c>
      <c r="S107" s="814" t="s">
        <v>2085</v>
      </c>
    </row>
    <row r="108" spans="1:19">
      <c r="A108" s="695" t="s">
        <v>1648</v>
      </c>
      <c r="B108" s="792" t="s">
        <v>133</v>
      </c>
      <c r="C108" s="329"/>
      <c r="D108" s="691"/>
      <c r="E108" s="329"/>
      <c r="F108" s="329"/>
      <c r="G108" s="691"/>
      <c r="H108" s="691"/>
      <c r="S108" s="814" t="s">
        <v>1090</v>
      </c>
    </row>
    <row r="109" spans="1:19">
      <c r="A109" s="696" t="s">
        <v>1649</v>
      </c>
      <c r="B109" s="792" t="s">
        <v>143</v>
      </c>
      <c r="C109" s="329"/>
      <c r="D109" s="691"/>
      <c r="E109" s="329"/>
      <c r="F109" s="329"/>
      <c r="G109" s="691"/>
      <c r="H109" s="691"/>
      <c r="S109" s="687" t="s">
        <v>1087</v>
      </c>
    </row>
    <row r="110" spans="1:19">
      <c r="A110" s="695" t="s">
        <v>1650</v>
      </c>
      <c r="B110" s="792" t="s">
        <v>159</v>
      </c>
      <c r="C110" s="329"/>
      <c r="D110" s="691"/>
      <c r="E110" s="329"/>
      <c r="F110" s="329"/>
      <c r="G110" s="691"/>
      <c r="H110" s="691"/>
      <c r="S110" s="687" t="s">
        <v>1087</v>
      </c>
    </row>
    <row r="111" spans="1:19">
      <c r="A111" s="697" t="s">
        <v>1652</v>
      </c>
      <c r="B111" s="792" t="s">
        <v>133</v>
      </c>
      <c r="C111" s="329"/>
      <c r="D111" s="691"/>
      <c r="E111" s="329"/>
      <c r="F111" s="329"/>
      <c r="G111" s="691"/>
      <c r="H111" s="691"/>
      <c r="S111" s="687" t="s">
        <v>1087</v>
      </c>
    </row>
    <row r="112" spans="1:19">
      <c r="A112" s="695" t="s">
        <v>1656</v>
      </c>
      <c r="B112" s="792" t="s">
        <v>1651</v>
      </c>
      <c r="C112" s="329"/>
      <c r="D112" s="691"/>
      <c r="E112" s="329"/>
      <c r="F112" s="329"/>
      <c r="G112" s="691"/>
      <c r="H112" s="691"/>
      <c r="S112" s="814" t="s">
        <v>1090</v>
      </c>
    </row>
    <row r="113" spans="1:19">
      <c r="A113" s="695" t="s">
        <v>1691</v>
      </c>
      <c r="B113" s="792" t="s">
        <v>1657</v>
      </c>
      <c r="C113" s="329"/>
      <c r="D113" s="691"/>
      <c r="E113" s="329"/>
      <c r="F113" s="329"/>
      <c r="G113" s="691"/>
      <c r="H113" s="691"/>
      <c r="S113" s="814" t="s">
        <v>1090</v>
      </c>
    </row>
    <row r="114" spans="1:19">
      <c r="A114" s="695" t="s">
        <v>1660</v>
      </c>
      <c r="B114" s="792" t="s">
        <v>1659</v>
      </c>
      <c r="C114" s="329"/>
      <c r="D114" s="691"/>
      <c r="E114" s="329"/>
      <c r="F114" s="329"/>
      <c r="G114" s="691"/>
      <c r="H114" s="691"/>
      <c r="S114" s="814" t="s">
        <v>1059</v>
      </c>
    </row>
    <row r="115" spans="1:19">
      <c r="A115" s="695" t="s">
        <v>1661</v>
      </c>
      <c r="B115" s="792" t="s">
        <v>1655</v>
      </c>
      <c r="C115" s="329"/>
      <c r="D115" s="691"/>
      <c r="E115" s="329"/>
      <c r="F115" s="329">
        <f>IF(C19&lt;150,1,0)</f>
        <v>1</v>
      </c>
      <c r="G115" s="691"/>
      <c r="H115" s="691"/>
      <c r="S115" s="814" t="s">
        <v>1059</v>
      </c>
    </row>
    <row r="116" spans="1:19">
      <c r="A116" s="695" t="s">
        <v>2148</v>
      </c>
      <c r="B116" s="793" t="s">
        <v>143</v>
      </c>
      <c r="C116" s="329">
        <v>60</v>
      </c>
      <c r="E116" s="329"/>
      <c r="F116" s="329">
        <f>IF(C116&lt;70,1,0)</f>
        <v>1</v>
      </c>
      <c r="G116" s="691"/>
      <c r="H116" s="691"/>
      <c r="S116" s="814" t="s">
        <v>1050</v>
      </c>
    </row>
    <row r="117" spans="1:19">
      <c r="A117" s="695" t="s">
        <v>2149</v>
      </c>
      <c r="B117" s="793" t="s">
        <v>2150</v>
      </c>
      <c r="C117" s="329">
        <v>1</v>
      </c>
      <c r="D117" s="691"/>
      <c r="E117" s="329"/>
      <c r="F117" s="329">
        <f>IF(C117&gt;1.2,1,0)</f>
        <v>0</v>
      </c>
      <c r="G117" s="691"/>
      <c r="H117" s="691"/>
      <c r="S117" s="814" t="s">
        <v>1050</v>
      </c>
    </row>
    <row r="118" spans="1:19">
      <c r="A118" s="695" t="s">
        <v>1662</v>
      </c>
      <c r="B118" s="792" t="s">
        <v>1659</v>
      </c>
      <c r="C118" s="329"/>
      <c r="D118" s="815" t="s">
        <v>1954</v>
      </c>
      <c r="E118" s="329"/>
      <c r="F118" s="351">
        <f>MAX(F115:F117)</f>
        <v>1</v>
      </c>
      <c r="G118" s="691"/>
      <c r="H118" s="691"/>
      <c r="S118" s="814" t="s">
        <v>2083</v>
      </c>
    </row>
    <row r="119" spans="1:19">
      <c r="A119" s="695" t="s">
        <v>1664</v>
      </c>
      <c r="B119" s="793"/>
      <c r="C119" s="329"/>
      <c r="D119" s="691"/>
      <c r="E119" s="329"/>
      <c r="F119" s="329"/>
      <c r="G119" s="691"/>
      <c r="H119" s="691"/>
      <c r="S119" s="814" t="s">
        <v>1059</v>
      </c>
    </row>
    <row r="120" spans="1:19">
      <c r="A120" s="695" t="s">
        <v>1665</v>
      </c>
      <c r="B120" s="792" t="s">
        <v>1654</v>
      </c>
      <c r="C120" s="329"/>
      <c r="D120" s="691"/>
      <c r="E120" s="329"/>
      <c r="F120" s="329"/>
      <c r="G120" s="691"/>
      <c r="H120" s="691"/>
      <c r="S120" s="814" t="s">
        <v>2068</v>
      </c>
    </row>
    <row r="121" spans="1:19">
      <c r="A121" s="695" t="s">
        <v>1666</v>
      </c>
      <c r="B121" s="792" t="s">
        <v>1654</v>
      </c>
      <c r="C121" s="329"/>
      <c r="D121" s="691"/>
      <c r="E121" s="329"/>
      <c r="F121" s="329"/>
      <c r="G121" s="691"/>
      <c r="H121" s="691"/>
      <c r="S121" s="814" t="s">
        <v>2068</v>
      </c>
    </row>
    <row r="122" spans="1:19">
      <c r="A122" s="696" t="s">
        <v>1667</v>
      </c>
      <c r="B122" s="792" t="s">
        <v>1668</v>
      </c>
      <c r="C122" s="329"/>
      <c r="D122" s="691"/>
      <c r="E122" s="329"/>
      <c r="F122" s="329"/>
      <c r="G122" s="691"/>
      <c r="H122" s="691"/>
      <c r="S122" s="687" t="s">
        <v>1052</v>
      </c>
    </row>
    <row r="123" spans="1:19">
      <c r="A123" s="696" t="s">
        <v>1669</v>
      </c>
      <c r="B123" s="792" t="s">
        <v>161</v>
      </c>
      <c r="C123" s="329"/>
      <c r="D123" s="691"/>
      <c r="E123" s="329"/>
      <c r="F123" s="329"/>
      <c r="G123" s="691"/>
      <c r="H123" s="691"/>
      <c r="S123" s="687" t="s">
        <v>1052</v>
      </c>
    </row>
    <row r="124" spans="1:19">
      <c r="A124" s="696" t="s">
        <v>1670</v>
      </c>
      <c r="B124" s="792" t="s">
        <v>1657</v>
      </c>
      <c r="C124" s="329"/>
      <c r="D124" s="691"/>
      <c r="E124" s="329"/>
      <c r="F124" s="329"/>
      <c r="G124" s="691"/>
      <c r="H124" s="691"/>
      <c r="S124" s="687" t="s">
        <v>1052</v>
      </c>
    </row>
    <row r="125" spans="1:19">
      <c r="A125" s="696" t="s">
        <v>1672</v>
      </c>
      <c r="B125" s="792" t="s">
        <v>161</v>
      </c>
      <c r="C125" s="329"/>
      <c r="D125" s="691"/>
      <c r="E125" s="329"/>
      <c r="F125" s="329"/>
      <c r="G125" s="691"/>
      <c r="H125" s="691"/>
      <c r="S125" s="687" t="s">
        <v>1052</v>
      </c>
    </row>
    <row r="126" spans="1:19">
      <c r="A126" s="696" t="s">
        <v>1673</v>
      </c>
      <c r="B126" s="792" t="s">
        <v>1674</v>
      </c>
      <c r="C126" s="329"/>
      <c r="D126" s="691"/>
      <c r="E126" s="329"/>
      <c r="F126" s="329"/>
      <c r="G126" s="691"/>
      <c r="H126" s="691"/>
      <c r="S126" s="687" t="s">
        <v>1052</v>
      </c>
    </row>
    <row r="127" spans="1:19">
      <c r="A127" s="698" t="s">
        <v>1675</v>
      </c>
      <c r="B127" s="338" t="s">
        <v>180</v>
      </c>
      <c r="C127" s="329"/>
      <c r="D127" s="691"/>
      <c r="E127" s="329"/>
      <c r="F127" s="329"/>
      <c r="G127" s="691"/>
      <c r="H127" s="691"/>
      <c r="S127" s="687" t="s">
        <v>1052</v>
      </c>
    </row>
    <row r="128" spans="1:19">
      <c r="A128" s="698" t="s">
        <v>1676</v>
      </c>
      <c r="B128" s="753" t="s">
        <v>185</v>
      </c>
      <c r="C128" s="329" t="s">
        <v>2218</v>
      </c>
      <c r="D128" s="691"/>
      <c r="E128" s="329"/>
      <c r="F128" s="329"/>
      <c r="G128" s="691"/>
      <c r="H128" s="691"/>
      <c r="S128" s="814" t="s">
        <v>2084</v>
      </c>
    </row>
    <row r="129" spans="1:19">
      <c r="A129" s="699" t="s">
        <v>1677</v>
      </c>
      <c r="B129" s="753" t="s">
        <v>185</v>
      </c>
      <c r="C129" s="329" t="s">
        <v>2218</v>
      </c>
      <c r="D129" s="691"/>
      <c r="E129" s="329"/>
      <c r="F129" s="329"/>
      <c r="G129" s="691"/>
      <c r="H129" s="691"/>
      <c r="S129" s="814" t="s">
        <v>2084</v>
      </c>
    </row>
    <row r="130" spans="1:19">
      <c r="A130" s="698" t="s">
        <v>1678</v>
      </c>
      <c r="B130" s="753" t="s">
        <v>185</v>
      </c>
      <c r="C130" s="329" t="s">
        <v>2218</v>
      </c>
      <c r="D130" s="691"/>
      <c r="E130" s="329"/>
      <c r="F130" s="329"/>
      <c r="G130" s="691"/>
      <c r="H130" s="691"/>
      <c r="S130" s="814" t="s">
        <v>2084</v>
      </c>
    </row>
    <row r="131" spans="1:19">
      <c r="A131" s="698" t="s">
        <v>1679</v>
      </c>
      <c r="B131" s="753" t="s">
        <v>185</v>
      </c>
      <c r="C131" s="329" t="s">
        <v>2218</v>
      </c>
      <c r="D131" s="691"/>
      <c r="E131" s="329"/>
      <c r="F131" s="329"/>
      <c r="G131" s="691"/>
      <c r="H131" s="691"/>
      <c r="S131" s="814" t="s">
        <v>2084</v>
      </c>
    </row>
    <row r="132" spans="1:19">
      <c r="A132" s="698" t="s">
        <v>1680</v>
      </c>
      <c r="B132" s="753" t="s">
        <v>185</v>
      </c>
      <c r="C132" s="329" t="s">
        <v>2218</v>
      </c>
      <c r="D132" s="691"/>
      <c r="E132" s="329"/>
      <c r="F132" s="329"/>
      <c r="G132" s="691"/>
      <c r="H132" s="691"/>
      <c r="S132" s="814" t="s">
        <v>2085</v>
      </c>
    </row>
    <row r="133" spans="1:19">
      <c r="A133" s="698" t="s">
        <v>1682</v>
      </c>
      <c r="B133" s="338" t="s">
        <v>1683</v>
      </c>
      <c r="C133" s="329"/>
      <c r="D133" s="691"/>
      <c r="E133" s="329"/>
      <c r="F133" s="329"/>
      <c r="G133" s="691"/>
      <c r="H133" s="691"/>
      <c r="S133" s="687" t="s">
        <v>1052</v>
      </c>
    </row>
    <row r="134" spans="1:19">
      <c r="A134" s="698" t="s">
        <v>1684</v>
      </c>
      <c r="B134" s="338" t="s">
        <v>1685</v>
      </c>
      <c r="C134" s="329"/>
      <c r="D134" s="691"/>
      <c r="E134" s="329"/>
      <c r="F134" s="329"/>
      <c r="G134" s="691"/>
      <c r="H134" s="691"/>
      <c r="S134" s="687" t="s">
        <v>1052</v>
      </c>
    </row>
    <row r="135" spans="1:19">
      <c r="A135" s="686" t="s">
        <v>1948</v>
      </c>
      <c r="B135" s="753" t="s">
        <v>185</v>
      </c>
      <c r="C135" s="329" t="s">
        <v>2218</v>
      </c>
      <c r="D135" s="691"/>
      <c r="E135" s="329"/>
      <c r="F135" s="329"/>
      <c r="G135" s="691"/>
      <c r="H135" s="691"/>
      <c r="S135" s="814" t="s">
        <v>2085</v>
      </c>
    </row>
    <row r="136" spans="1:19">
      <c r="A136" s="686" t="s">
        <v>1703</v>
      </c>
      <c r="B136" s="338" t="s">
        <v>168</v>
      </c>
      <c r="C136" s="745"/>
      <c r="D136" s="691" t="s">
        <v>1980</v>
      </c>
      <c r="F136" s="329"/>
      <c r="H136" s="691"/>
      <c r="S136" s="814" t="s">
        <v>2085</v>
      </c>
    </row>
    <row r="137" spans="1:19">
      <c r="A137" s="686" t="s">
        <v>1979</v>
      </c>
      <c r="B137" s="753" t="s">
        <v>185</v>
      </c>
      <c r="C137" s="329" t="s">
        <v>2218</v>
      </c>
      <c r="S137" s="814" t="s">
        <v>2085</v>
      </c>
    </row>
    <row r="138" spans="1:19">
      <c r="A138" s="686" t="s">
        <v>1981</v>
      </c>
      <c r="B138" s="753" t="s">
        <v>185</v>
      </c>
      <c r="C138" s="329" t="s">
        <v>2218</v>
      </c>
      <c r="S138" s="814" t="s">
        <v>2085</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pageSetUpPr fitToPage="1"/>
  </sheetPr>
  <dimension ref="A1:DL210"/>
  <sheetViews>
    <sheetView zoomScale="90" zoomScaleNormal="90" workbookViewId="0">
      <pane xSplit="5" ySplit="2" topLeftCell="BC205" activePane="bottomRight" state="frozen"/>
      <selection pane="topRight" activeCell="F1" sqref="F1"/>
      <selection pane="bottomLeft" activeCell="A3" sqref="A3"/>
      <selection pane="bottomRight" activeCell="BS211" sqref="BS211"/>
    </sheetView>
  </sheetViews>
  <sheetFormatPr defaultColWidth="26.21875" defaultRowHeight="14.4"/>
  <cols>
    <col min="1" max="1" width="6.33203125" style="358" customWidth="1"/>
    <col min="2" max="2" width="48.77734375" style="655" customWidth="1"/>
    <col min="3" max="3" width="4.88671875" style="404" bestFit="1" customWidth="1"/>
    <col min="4" max="4" width="4.33203125" style="400" customWidth="1"/>
    <col min="5" max="5" width="4" style="400" bestFit="1" customWidth="1"/>
    <col min="6" max="36" width="3.5546875" style="443" customWidth="1"/>
    <col min="37" max="37" width="5" style="443" customWidth="1"/>
    <col min="38" max="38" width="3.5546875" style="443" customWidth="1"/>
    <col min="39" max="41" width="3.5546875" style="445" customWidth="1"/>
    <col min="42" max="42" width="5.77734375" style="445" customWidth="1"/>
    <col min="43" max="49" width="3.5546875" style="445" customWidth="1"/>
    <col min="50" max="52" width="5.5546875" style="445" customWidth="1"/>
    <col min="53" max="71" width="5.5546875" style="443" customWidth="1"/>
    <col min="72" max="72" width="7.5546875" style="735" customWidth="1"/>
    <col min="73" max="90" width="5.5546875" style="411" customWidth="1"/>
    <col min="91" max="93" width="5.5546875" style="400" customWidth="1"/>
    <col min="94" max="16384" width="26.21875" style="400"/>
  </cols>
  <sheetData>
    <row r="1" spans="1:101">
      <c r="A1" s="357" t="s">
        <v>1159</v>
      </c>
      <c r="B1" s="646" t="s">
        <v>1160</v>
      </c>
      <c r="BT1" s="140" t="s">
        <v>55</v>
      </c>
    </row>
    <row r="2" spans="1:101" ht="336">
      <c r="A2" s="413"/>
      <c r="B2" s="318" t="str">
        <f>AUTOQUESTIONNAIRE!D2</f>
        <v>REFERENCE</v>
      </c>
      <c r="F2" s="444" t="s">
        <v>1178</v>
      </c>
      <c r="G2" s="444" t="s">
        <v>1286</v>
      </c>
      <c r="H2" s="444" t="s">
        <v>1287</v>
      </c>
      <c r="I2" s="444" t="s">
        <v>1180</v>
      </c>
      <c r="J2" s="444" t="s">
        <v>1181</v>
      </c>
      <c r="K2" s="444" t="s">
        <v>1328</v>
      </c>
      <c r="L2" s="444" t="s">
        <v>1327</v>
      </c>
      <c r="M2" s="444" t="s">
        <v>1322</v>
      </c>
      <c r="N2" s="444" t="s">
        <v>1182</v>
      </c>
      <c r="O2" s="444" t="s">
        <v>1183</v>
      </c>
      <c r="P2" s="444" t="s">
        <v>1184</v>
      </c>
      <c r="Q2" s="444" t="s">
        <v>1185</v>
      </c>
      <c r="R2" s="444" t="s">
        <v>1186</v>
      </c>
      <c r="S2" s="444" t="s">
        <v>1187</v>
      </c>
      <c r="T2" s="444" t="s">
        <v>1321</v>
      </c>
      <c r="U2" s="444" t="s">
        <v>1291</v>
      </c>
      <c r="V2" s="444" t="s">
        <v>1290</v>
      </c>
      <c r="W2" s="444" t="s">
        <v>1293</v>
      </c>
      <c r="X2" s="444" t="s">
        <v>1198</v>
      </c>
      <c r="Y2" s="444" t="s">
        <v>1292</v>
      </c>
      <c r="Z2" s="444" t="s">
        <v>1188</v>
      </c>
      <c r="AA2" s="444" t="s">
        <v>1289</v>
      </c>
      <c r="AB2" s="444" t="s">
        <v>1288</v>
      </c>
      <c r="AC2" s="444" t="s">
        <v>1340</v>
      </c>
      <c r="AD2" s="444" t="s">
        <v>1477</v>
      </c>
      <c r="AE2" s="444" t="s">
        <v>1376</v>
      </c>
      <c r="AF2" s="444" t="s">
        <v>1324</v>
      </c>
      <c r="AG2" s="444" t="s">
        <v>1323</v>
      </c>
      <c r="AH2" s="444" t="s">
        <v>1329</v>
      </c>
      <c r="AI2" s="671" t="s">
        <v>1383</v>
      </c>
      <c r="AJ2" s="671" t="s">
        <v>1368</v>
      </c>
      <c r="AK2" s="671" t="s">
        <v>1336</v>
      </c>
      <c r="AL2" s="671" t="s">
        <v>1366</v>
      </c>
      <c r="AM2" s="672" t="s">
        <v>1330</v>
      </c>
      <c r="AN2" s="672" t="s">
        <v>1331</v>
      </c>
      <c r="AO2" s="672" t="s">
        <v>1332</v>
      </c>
      <c r="AP2" s="672" t="s">
        <v>1333</v>
      </c>
      <c r="AQ2" s="672" t="s">
        <v>1334</v>
      </c>
      <c r="AR2" s="672" t="s">
        <v>1335</v>
      </c>
      <c r="AS2" s="672" t="s">
        <v>1381</v>
      </c>
      <c r="AT2" s="672" t="s">
        <v>2374</v>
      </c>
      <c r="AU2" s="672" t="s">
        <v>1380</v>
      </c>
      <c r="AV2" s="672" t="s">
        <v>1478</v>
      </c>
      <c r="AW2" s="672" t="s">
        <v>1479</v>
      </c>
      <c r="AX2" s="673" t="s">
        <v>1337</v>
      </c>
      <c r="AY2" s="673" t="s">
        <v>1338</v>
      </c>
      <c r="AZ2" s="673" t="s">
        <v>1339</v>
      </c>
      <c r="BA2" s="673" t="s">
        <v>1344</v>
      </c>
      <c r="BB2" s="674" t="s">
        <v>1414</v>
      </c>
      <c r="BC2" s="674" t="s">
        <v>1415</v>
      </c>
      <c r="BD2" s="674" t="s">
        <v>1416</v>
      </c>
      <c r="BE2" s="674" t="s">
        <v>2208</v>
      </c>
      <c r="BF2" s="674" t="s">
        <v>2212</v>
      </c>
      <c r="BG2" s="674" t="s">
        <v>1417</v>
      </c>
      <c r="BH2" s="674" t="s">
        <v>2213</v>
      </c>
      <c r="BI2" s="825" t="s">
        <v>2209</v>
      </c>
      <c r="BJ2" s="825" t="s">
        <v>2210</v>
      </c>
      <c r="BK2" s="825" t="s">
        <v>2734</v>
      </c>
      <c r="BL2" s="825" t="s">
        <v>2735</v>
      </c>
      <c r="BM2" s="825" t="s">
        <v>2211</v>
      </c>
      <c r="BN2" s="444" t="s">
        <v>1418</v>
      </c>
      <c r="BO2" s="444" t="s">
        <v>1419</v>
      </c>
      <c r="BP2" s="444" t="s">
        <v>1420</v>
      </c>
      <c r="BQ2" s="444" t="s">
        <v>1421</v>
      </c>
      <c r="BR2" s="444" t="s">
        <v>1422</v>
      </c>
      <c r="BS2" s="444" t="s">
        <v>1741</v>
      </c>
      <c r="BT2" s="895" t="s">
        <v>2040</v>
      </c>
      <c r="BU2" s="831" t="s">
        <v>2231</v>
      </c>
      <c r="BV2" s="832" t="s">
        <v>2236</v>
      </c>
      <c r="BW2" s="832" t="s">
        <v>1730</v>
      </c>
      <c r="BX2" s="831" t="s">
        <v>1724</v>
      </c>
      <c r="BY2" s="831" t="s">
        <v>1725</v>
      </c>
      <c r="BZ2" s="831" t="s">
        <v>1726</v>
      </c>
      <c r="CA2" s="831" t="s">
        <v>1728</v>
      </c>
      <c r="CB2" s="832" t="s">
        <v>2219</v>
      </c>
      <c r="CC2" s="833" t="s">
        <v>2224</v>
      </c>
      <c r="CD2" s="833" t="s">
        <v>2225</v>
      </c>
      <c r="CE2" s="833" t="s">
        <v>2233</v>
      </c>
      <c r="CF2" s="833" t="s">
        <v>2226</v>
      </c>
      <c r="CG2" s="833" t="s">
        <v>2227</v>
      </c>
      <c r="CH2" s="833" t="s">
        <v>2228</v>
      </c>
      <c r="CI2" s="833" t="s">
        <v>2229</v>
      </c>
      <c r="CJ2" s="833" t="s">
        <v>2230</v>
      </c>
      <c r="CK2" s="834" t="s">
        <v>2232</v>
      </c>
      <c r="CL2" s="834" t="s">
        <v>2234</v>
      </c>
      <c r="CM2" s="442"/>
      <c r="CN2" s="442"/>
      <c r="CO2" s="442"/>
      <c r="CP2" s="442"/>
      <c r="CQ2" s="442"/>
      <c r="CR2" s="442"/>
      <c r="CS2" s="442"/>
      <c r="CT2" s="442"/>
      <c r="CU2" s="442"/>
      <c r="CV2" s="442"/>
      <c r="CW2" s="442"/>
    </row>
    <row r="3" spans="1:101">
      <c r="A3" s="414" t="s">
        <v>1041</v>
      </c>
      <c r="B3" s="647" t="str">
        <f>AUTOQUESTIONNAIRE!D3</f>
        <v>Quel est votre sexe assigné à la naissance ? (Données utilisées pour les courbes de référence médicale)  "H"=1;"F"=0</v>
      </c>
      <c r="C3" s="401"/>
      <c r="F3" s="445"/>
      <c r="G3" s="445"/>
      <c r="H3" s="445"/>
      <c r="I3" s="445"/>
      <c r="J3" s="445"/>
      <c r="K3" s="445">
        <f>AUTOQUESTIONNAIRE!H3</f>
        <v>1</v>
      </c>
      <c r="L3" s="445">
        <f>AUTOQUESTIONNAIRE!I3</f>
        <v>0</v>
      </c>
      <c r="M3" s="445"/>
      <c r="N3" s="445">
        <f>AUTOQUESTIONNAIRE!H3</f>
        <v>1</v>
      </c>
      <c r="O3" s="445"/>
      <c r="P3" s="445"/>
      <c r="Q3" s="445"/>
      <c r="R3" s="445"/>
      <c r="S3" s="445"/>
      <c r="T3" s="445"/>
      <c r="U3" s="445"/>
      <c r="V3" s="445"/>
      <c r="W3" s="445"/>
      <c r="X3" s="445"/>
      <c r="Y3" s="445"/>
      <c r="Z3" s="445"/>
      <c r="AA3" s="445"/>
      <c r="AI3" s="675"/>
      <c r="AM3" s="445">
        <f>E4</f>
        <v>1</v>
      </c>
      <c r="AP3" s="445">
        <f>AUTOQUESTIONNAIRE!I3</f>
        <v>0</v>
      </c>
      <c r="BS3" s="443">
        <f>AUTOQUESTIONNAIRE!I3</f>
        <v>0</v>
      </c>
      <c r="BT3" s="723" t="s">
        <v>1975</v>
      </c>
      <c r="CH3" s="411">
        <f>IF(RRImmédiat!$G3&gt;1.2,1,0)</f>
        <v>0</v>
      </c>
    </row>
    <row r="4" spans="1:101">
      <c r="A4" s="414" t="s">
        <v>1041</v>
      </c>
      <c r="B4" s="647" t="str">
        <f>AUTOQUESTIONNAIRE!D4</f>
        <v>Quel est votre âge ? // Quelle est votre date de naissance ? (Données utilisées pour les courbes de référence médicale)</v>
      </c>
      <c r="C4" s="401">
        <f>AUTOQUESTIONNAIRE!F4</f>
        <v>51</v>
      </c>
      <c r="D4" s="402" t="s">
        <v>203</v>
      </c>
      <c r="E4" s="402">
        <f>IF(C4&gt;50,1,0)</f>
        <v>1</v>
      </c>
      <c r="F4" s="445">
        <f>$E4</f>
        <v>1</v>
      </c>
      <c r="G4" s="445">
        <f t="shared" ref="G4:AB4" si="0">$E4</f>
        <v>1</v>
      </c>
      <c r="H4" s="445">
        <f t="shared" si="0"/>
        <v>1</v>
      </c>
      <c r="I4" s="445">
        <f t="shared" si="0"/>
        <v>1</v>
      </c>
      <c r="J4" s="445">
        <f t="shared" si="0"/>
        <v>1</v>
      </c>
      <c r="K4" s="445">
        <f t="shared" si="0"/>
        <v>1</v>
      </c>
      <c r="L4" s="445">
        <f t="shared" si="0"/>
        <v>1</v>
      </c>
      <c r="M4" s="445">
        <f t="shared" si="0"/>
        <v>1</v>
      </c>
      <c r="N4" s="445">
        <f t="shared" si="0"/>
        <v>1</v>
      </c>
      <c r="O4" s="445">
        <f t="shared" si="0"/>
        <v>1</v>
      </c>
      <c r="P4" s="445">
        <f t="shared" si="0"/>
        <v>1</v>
      </c>
      <c r="Q4" s="445">
        <f t="shared" si="0"/>
        <v>1</v>
      </c>
      <c r="R4" s="445">
        <f t="shared" si="0"/>
        <v>1</v>
      </c>
      <c r="S4" s="445">
        <f t="shared" si="0"/>
        <v>1</v>
      </c>
      <c r="T4" s="445"/>
      <c r="U4" s="445">
        <f t="shared" si="0"/>
        <v>1</v>
      </c>
      <c r="V4" s="445">
        <f t="shared" si="0"/>
        <v>1</v>
      </c>
      <c r="W4" s="445">
        <f t="shared" si="0"/>
        <v>1</v>
      </c>
      <c r="X4" s="445">
        <f t="shared" si="0"/>
        <v>1</v>
      </c>
      <c r="Y4" s="445">
        <f t="shared" si="0"/>
        <v>1</v>
      </c>
      <c r="Z4" s="445">
        <f t="shared" si="0"/>
        <v>1</v>
      </c>
      <c r="AA4" s="445">
        <f t="shared" si="0"/>
        <v>1</v>
      </c>
      <c r="AB4" s="445">
        <f t="shared" si="0"/>
        <v>1</v>
      </c>
      <c r="AC4" s="445"/>
      <c r="AD4" s="445"/>
      <c r="AE4" s="445"/>
      <c r="AI4" s="675"/>
      <c r="BB4" s="445">
        <f>IF(C4&gt;65,1,0)</f>
        <v>0</v>
      </c>
      <c r="BN4" s="443">
        <f>IF($C$4&gt;50,1,0)</f>
        <v>1</v>
      </c>
      <c r="BO4" s="443">
        <f t="shared" ref="BO4:BP4" si="1">IF($C$4&gt;50,1,0)</f>
        <v>1</v>
      </c>
      <c r="BP4" s="443">
        <f t="shared" si="1"/>
        <v>1</v>
      </c>
      <c r="BS4" s="443">
        <f t="shared" ref="BS4" si="2">IF($C$4&gt;50,1,0)</f>
        <v>1</v>
      </c>
      <c r="BT4" s="723" t="s">
        <v>2041</v>
      </c>
      <c r="CH4" s="411">
        <f>IF(RRImmédiat!$G4&gt;1.2,1,0)</f>
        <v>0</v>
      </c>
    </row>
    <row r="5" spans="1:101">
      <c r="A5" s="414" t="s">
        <v>1041</v>
      </c>
      <c r="B5" s="647" t="str">
        <f>AUTOQUESTIONNAIRE!D5</f>
        <v>Quelle est votre origine ethnique principale ? (Européen(ne) ou Hispanique "0" , Asiatique ou Indien(ne) "1", Africain(e) ou AfroCarribéen(ne) "2", Ne souhaite pas répondre (défaut "0"))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445"/>
      <c r="Z5" s="445"/>
      <c r="AA5" s="445"/>
      <c r="AI5" s="675"/>
      <c r="BT5" s="723" t="s">
        <v>48</v>
      </c>
      <c r="CG5" s="411">
        <f>IF(RRImmédiat!$G5&gt;1.2,1,0)</f>
        <v>0</v>
      </c>
    </row>
    <row r="6" spans="1:101">
      <c r="A6" s="414" t="s">
        <v>1041</v>
      </c>
      <c r="B6" s="647"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445"/>
      <c r="Z6" s="445"/>
      <c r="AA6" s="445"/>
      <c r="AI6" s="675"/>
      <c r="BT6" s="580" t="s">
        <v>915</v>
      </c>
      <c r="CH6" s="411">
        <f>IF(RRImmédiat!$G6&gt;1.2,1,0)</f>
        <v>0</v>
      </c>
    </row>
    <row r="7" spans="1:101">
      <c r="A7" s="414" t="s">
        <v>1041</v>
      </c>
      <c r="B7" s="647" t="str">
        <f>AUTOQUESTIONNAIRE!D7</f>
        <v>Quel est votre poids (en kg) ?</v>
      </c>
      <c r="C7" s="401">
        <f>AUTOQUESTIONNAIRE!H6</f>
        <v>0.27548209366391185</v>
      </c>
      <c r="D7" s="402" t="s">
        <v>0</v>
      </c>
      <c r="E7" s="402">
        <f>IF(C7&gt;0.28,1,0)</f>
        <v>0</v>
      </c>
      <c r="F7" s="445">
        <f>$E7</f>
        <v>0</v>
      </c>
      <c r="G7" s="445">
        <f t="shared" ref="G7:AB7" si="3">$E7</f>
        <v>0</v>
      </c>
      <c r="H7" s="445">
        <f t="shared" si="3"/>
        <v>0</v>
      </c>
      <c r="I7" s="445">
        <f t="shared" si="3"/>
        <v>0</v>
      </c>
      <c r="J7" s="445">
        <f t="shared" si="3"/>
        <v>0</v>
      </c>
      <c r="K7" s="445">
        <f t="shared" si="3"/>
        <v>0</v>
      </c>
      <c r="L7" s="445">
        <f t="shared" si="3"/>
        <v>0</v>
      </c>
      <c r="M7" s="445"/>
      <c r="N7" s="445"/>
      <c r="O7" s="445"/>
      <c r="P7" s="445"/>
      <c r="Q7" s="445">
        <f t="shared" si="3"/>
        <v>0</v>
      </c>
      <c r="R7" s="445">
        <f t="shared" si="3"/>
        <v>0</v>
      </c>
      <c r="S7" s="445">
        <f t="shared" si="3"/>
        <v>0</v>
      </c>
      <c r="T7" s="445"/>
      <c r="U7" s="445"/>
      <c r="V7" s="445">
        <f t="shared" si="3"/>
        <v>0</v>
      </c>
      <c r="W7" s="445"/>
      <c r="X7" s="445"/>
      <c r="Y7" s="445"/>
      <c r="Z7" s="445"/>
      <c r="AA7" s="445">
        <f t="shared" si="3"/>
        <v>0</v>
      </c>
      <c r="AB7" s="445">
        <f t="shared" si="3"/>
        <v>0</v>
      </c>
      <c r="AC7" s="445"/>
      <c r="AD7" s="445"/>
      <c r="AE7" s="445">
        <f>$E7</f>
        <v>0</v>
      </c>
      <c r="AI7" s="676"/>
      <c r="AQ7" s="445">
        <f>$E7</f>
        <v>0</v>
      </c>
      <c r="BT7" s="580" t="s">
        <v>916</v>
      </c>
    </row>
    <row r="8" spans="1:101">
      <c r="A8" s="415" t="s">
        <v>1125</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445"/>
      <c r="Z8" s="445"/>
      <c r="AA8" s="445"/>
      <c r="AI8" s="675"/>
      <c r="BT8" s="633" t="s">
        <v>2044</v>
      </c>
    </row>
    <row r="9" spans="1:101">
      <c r="A9" s="415" t="s">
        <v>1125</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445"/>
      <c r="Z9" s="445"/>
      <c r="AA9" s="445"/>
      <c r="AI9" s="675"/>
      <c r="BT9" s="633" t="s">
        <v>904</v>
      </c>
    </row>
    <row r="10" spans="1:101">
      <c r="A10" s="415" t="s">
        <v>1125</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445"/>
      <c r="Z10" s="445"/>
      <c r="AA10" s="445"/>
      <c r="AI10" s="675"/>
      <c r="BT10" s="633" t="s">
        <v>905</v>
      </c>
      <c r="CE10" s="411">
        <f>IF(RRImmédiat!$G10&gt;1.2,1,0)</f>
        <v>0</v>
      </c>
    </row>
    <row r="11" spans="1:101">
      <c r="A11" s="415" t="s">
        <v>1125</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445"/>
      <c r="Z11" s="445"/>
      <c r="AA11" s="445"/>
      <c r="AI11" s="675"/>
      <c r="BT11" s="633" t="s">
        <v>1717</v>
      </c>
      <c r="CF11" s="411">
        <f>IF(RRImmédiat!$G11&gt;1.2,1,0)</f>
        <v>0</v>
      </c>
    </row>
    <row r="12" spans="1:101">
      <c r="A12" s="415" t="s">
        <v>1125</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445"/>
      <c r="Z12" s="445"/>
      <c r="AA12" s="445"/>
      <c r="AI12" s="675"/>
      <c r="BT12" s="632" t="s">
        <v>2045</v>
      </c>
      <c r="CE12" s="411">
        <f>IF(RRImmédiat!$G12&gt;1.2,1,0)</f>
        <v>0</v>
      </c>
    </row>
    <row r="13" spans="1:101">
      <c r="A13" s="415" t="s">
        <v>1125</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445"/>
      <c r="Z13" s="445"/>
      <c r="AA13" s="445"/>
      <c r="AI13" s="675"/>
      <c r="BT13" s="632" t="s">
        <v>910</v>
      </c>
      <c r="CE13" s="411">
        <f>IF(RRImmédiat!$G13&gt;1.2,1,0)</f>
        <v>0</v>
      </c>
    </row>
    <row r="14" spans="1:101">
      <c r="A14" s="415" t="s">
        <v>1125</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445"/>
      <c r="Z14" s="445"/>
      <c r="AA14" s="445"/>
      <c r="AI14" s="675"/>
      <c r="BT14" s="632" t="s">
        <v>911</v>
      </c>
      <c r="CE14" s="411">
        <f>IF(RRImmédiat!$G14&gt;1.2,1,0)</f>
        <v>0</v>
      </c>
    </row>
    <row r="15" spans="1:101">
      <c r="A15" s="415" t="s">
        <v>1125</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445"/>
      <c r="Z15" s="445"/>
      <c r="AA15" s="445"/>
      <c r="AI15" s="675"/>
      <c r="BT15" s="632" t="s">
        <v>2046</v>
      </c>
    </row>
    <row r="16" spans="1:101">
      <c r="A16" s="415" t="s">
        <v>1125</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445"/>
      <c r="Z16" s="445"/>
      <c r="AA16" s="445"/>
      <c r="AI16" s="675"/>
      <c r="BT16" s="632" t="s">
        <v>2047</v>
      </c>
    </row>
    <row r="17" spans="1:90">
      <c r="A17" s="415" t="s">
        <v>1125</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445"/>
      <c r="Z17" s="445"/>
      <c r="AA17" s="445"/>
      <c r="AI17" s="675"/>
      <c r="BT17" s="632" t="s">
        <v>914</v>
      </c>
    </row>
    <row r="18" spans="1:90">
      <c r="A18" s="415" t="s">
        <v>1125</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445"/>
      <c r="Z18" s="445"/>
      <c r="AA18" s="445"/>
      <c r="AI18" s="675"/>
      <c r="BT18" s="633" t="s">
        <v>2048</v>
      </c>
    </row>
    <row r="19" spans="1:90">
      <c r="A19" s="415" t="s">
        <v>1125</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f t="shared" ref="F19:AB36" si="4">$C19</f>
        <v>0</v>
      </c>
      <c r="L19" s="445">
        <f t="shared" si="4"/>
        <v>0</v>
      </c>
      <c r="M19" s="445">
        <f t="shared" si="4"/>
        <v>0</v>
      </c>
      <c r="N19" s="445"/>
      <c r="O19" s="445"/>
      <c r="P19" s="445"/>
      <c r="Q19" s="445"/>
      <c r="R19" s="445"/>
      <c r="S19" s="445"/>
      <c r="T19" s="445"/>
      <c r="U19" s="445"/>
      <c r="V19" s="445"/>
      <c r="W19" s="445"/>
      <c r="X19" s="445"/>
      <c r="Y19" s="445"/>
      <c r="Z19" s="445"/>
      <c r="AA19" s="445"/>
      <c r="AI19" s="675"/>
      <c r="BT19" s="727" t="s">
        <v>42</v>
      </c>
      <c r="CE19" s="411">
        <f>IF(RRImmédiat!$G19&gt;1.2,1,0)</f>
        <v>1</v>
      </c>
      <c r="CH19" s="411">
        <f>IF(RRImmédiat!$G19&gt;1.2,1,0)</f>
        <v>1</v>
      </c>
    </row>
    <row r="20" spans="1:90">
      <c r="A20" s="416"/>
      <c r="B20" s="648"/>
      <c r="C20" s="401"/>
      <c r="F20" s="445"/>
      <c r="G20" s="445"/>
      <c r="H20" s="445"/>
      <c r="I20" s="445"/>
      <c r="J20" s="445"/>
      <c r="K20" s="445"/>
      <c r="L20" s="445"/>
      <c r="M20" s="445"/>
      <c r="N20" s="445"/>
      <c r="O20" s="445"/>
      <c r="P20" s="445"/>
      <c r="Q20" s="445"/>
      <c r="R20" s="445"/>
      <c r="S20" s="445"/>
      <c r="T20" s="445"/>
      <c r="U20" s="445"/>
      <c r="V20" s="445"/>
      <c r="W20" s="445"/>
      <c r="X20" s="445"/>
      <c r="Y20" s="445"/>
      <c r="Z20" s="445"/>
      <c r="AA20" s="445"/>
      <c r="AI20" s="675"/>
      <c r="BT20" s="727" t="s">
        <v>2049</v>
      </c>
      <c r="CH20" s="411">
        <f>IF(RRImmédiat!$G20&gt;1.2,1,0)</f>
        <v>0</v>
      </c>
    </row>
    <row r="21" spans="1:90">
      <c r="A21" s="417" t="s">
        <v>1042</v>
      </c>
      <c r="B21" s="649" t="str">
        <f>AUTOQUESTIONNAIRE!D21</f>
        <v>Etes vous ménopausée? (non=0, oui=1)</v>
      </c>
      <c r="C21" s="401">
        <f>AUTOQUESTIONNAIRE!G21</f>
        <v>0</v>
      </c>
      <c r="F21" s="445">
        <f t="shared" si="4"/>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f t="shared" si="4"/>
        <v>0</v>
      </c>
      <c r="S21" s="445">
        <f t="shared" si="4"/>
        <v>0</v>
      </c>
      <c r="T21" s="445"/>
      <c r="U21" s="445"/>
      <c r="V21" s="445">
        <f t="shared" si="4"/>
        <v>0</v>
      </c>
      <c r="W21" s="445"/>
      <c r="X21" s="445"/>
      <c r="Y21" s="445"/>
      <c r="Z21" s="445"/>
      <c r="AA21" s="445">
        <f t="shared" ref="AA21:AB79" si="5">$C21</f>
        <v>0</v>
      </c>
      <c r="AB21" s="445">
        <f t="shared" si="4"/>
        <v>0</v>
      </c>
      <c r="AC21" s="445"/>
      <c r="AD21" s="445"/>
      <c r="AE21" s="445"/>
      <c r="AI21" s="675"/>
      <c r="BT21" s="727" t="s">
        <v>44</v>
      </c>
      <c r="CH21" s="411">
        <f>IF(RRImmédiat!$G21&gt;1.2,1,0)</f>
        <v>0</v>
      </c>
    </row>
    <row r="22" spans="1:90">
      <c r="A22" s="417" t="s">
        <v>1042</v>
      </c>
      <c r="B22" s="649" t="str">
        <f>AUTOQUESTIONNAIRE!D22</f>
        <v>Avez-vous déjà eu un cancer ? (non=0, oui=1)</v>
      </c>
      <c r="C22" s="401">
        <f>AUTOQUESTIONNAIRE!G22</f>
        <v>1</v>
      </c>
      <c r="F22" s="445">
        <f t="shared" si="4"/>
        <v>1</v>
      </c>
      <c r="G22" s="445"/>
      <c r="H22" s="445">
        <f t="shared" si="4"/>
        <v>1</v>
      </c>
      <c r="I22" s="445">
        <f t="shared" si="4"/>
        <v>1</v>
      </c>
      <c r="J22" s="445">
        <f t="shared" si="4"/>
        <v>1</v>
      </c>
      <c r="K22" s="445">
        <f t="shared" si="4"/>
        <v>1</v>
      </c>
      <c r="L22" s="445">
        <f t="shared" si="4"/>
        <v>1</v>
      </c>
      <c r="M22" s="445">
        <f t="shared" si="4"/>
        <v>1</v>
      </c>
      <c r="N22" s="445"/>
      <c r="O22" s="445">
        <f t="shared" si="4"/>
        <v>1</v>
      </c>
      <c r="P22" s="445">
        <f t="shared" si="4"/>
        <v>1</v>
      </c>
      <c r="Q22" s="445">
        <f t="shared" si="4"/>
        <v>1</v>
      </c>
      <c r="R22" s="445">
        <f t="shared" si="4"/>
        <v>1</v>
      </c>
      <c r="S22" s="445">
        <f t="shared" si="4"/>
        <v>1</v>
      </c>
      <c r="T22" s="445"/>
      <c r="U22" s="445"/>
      <c r="V22" s="445"/>
      <c r="W22" s="445"/>
      <c r="X22" s="445"/>
      <c r="Y22" s="445">
        <f t="shared" si="4"/>
        <v>1</v>
      </c>
      <c r="Z22" s="445"/>
      <c r="AA22" s="445">
        <f t="shared" si="5"/>
        <v>1</v>
      </c>
      <c r="AB22" s="445">
        <f t="shared" si="5"/>
        <v>1</v>
      </c>
      <c r="AC22" s="445"/>
      <c r="AD22" s="445"/>
      <c r="AE22" s="445"/>
      <c r="AI22" s="675"/>
      <c r="BT22" s="634" t="s">
        <v>2050</v>
      </c>
      <c r="CL22" s="411">
        <f>IF(RRImmédiat!$G22&gt;1.2,1,0)</f>
        <v>0</v>
      </c>
    </row>
    <row r="23" spans="1:90">
      <c r="A23" s="417" t="s">
        <v>1042</v>
      </c>
      <c r="B23" s="649" t="str">
        <f>AUTOQUESTIONNAIRE!D23</f>
        <v>Avez-vous déjà eu un cancer de la prostate ? (non=0, oui=1)</v>
      </c>
      <c r="C23" s="401">
        <f>AUTOQUESTIONNAIRE!G23</f>
        <v>0</v>
      </c>
      <c r="F23" s="445"/>
      <c r="G23" s="445"/>
      <c r="H23" s="445"/>
      <c r="I23" s="445"/>
      <c r="J23" s="445"/>
      <c r="K23" s="445">
        <f t="shared" si="4"/>
        <v>0</v>
      </c>
      <c r="L23" s="445">
        <f t="shared" si="4"/>
        <v>0</v>
      </c>
      <c r="M23" s="445">
        <f t="shared" si="4"/>
        <v>0</v>
      </c>
      <c r="N23" s="445">
        <f t="shared" si="4"/>
        <v>0</v>
      </c>
      <c r="O23" s="445"/>
      <c r="P23" s="445"/>
      <c r="Q23" s="445"/>
      <c r="R23" s="445"/>
      <c r="S23" s="445"/>
      <c r="T23" s="445"/>
      <c r="U23" s="445"/>
      <c r="V23" s="445"/>
      <c r="W23" s="445"/>
      <c r="X23" s="445"/>
      <c r="Y23" s="445"/>
      <c r="Z23" s="445"/>
      <c r="AA23" s="445"/>
      <c r="AI23" s="675"/>
      <c r="BT23" s="634" t="s">
        <v>1976</v>
      </c>
      <c r="CD23" s="411">
        <f>IF(RRImmédiat!$G23&gt;1.2,1,0)</f>
        <v>0</v>
      </c>
    </row>
    <row r="24" spans="1:90">
      <c r="A24" s="417" t="s">
        <v>1042</v>
      </c>
      <c r="B24" s="649" t="str">
        <f>AUTOQUESTIONNAIRE!D24</f>
        <v>Avez-vous déjà eu un cancer du côlon ou des polypes du côlon ? (non=0, oui=1)</v>
      </c>
      <c r="C24" s="401">
        <f>AUTOQUESTIONNAIRE!G24</f>
        <v>0</v>
      </c>
      <c r="F24" s="445"/>
      <c r="G24" s="445"/>
      <c r="H24" s="445"/>
      <c r="I24" s="445"/>
      <c r="J24" s="445"/>
      <c r="K24" s="445"/>
      <c r="L24" s="445"/>
      <c r="M24" s="445"/>
      <c r="N24" s="445"/>
      <c r="O24" s="445"/>
      <c r="P24" s="445"/>
      <c r="Q24" s="445"/>
      <c r="R24" s="445"/>
      <c r="S24" s="445"/>
      <c r="T24" s="445"/>
      <c r="U24" s="445"/>
      <c r="V24" s="445"/>
      <c r="W24" s="445"/>
      <c r="X24" s="445"/>
      <c r="Y24" s="445"/>
      <c r="Z24" s="445"/>
      <c r="AA24" s="445"/>
      <c r="AI24" s="675"/>
      <c r="BT24" s="631" t="s">
        <v>929</v>
      </c>
      <c r="CE24" s="411">
        <f>IF(RRImmédiat!$G24&gt;1.2,1,0)</f>
        <v>0</v>
      </c>
    </row>
    <row r="25" spans="1:90">
      <c r="A25" s="417" t="s">
        <v>1042</v>
      </c>
      <c r="B25" s="649" t="str">
        <f>AUTOQUESTIONNAIRE!D25</f>
        <v>Avez-vous déjà eu un mélanome ou un autre type de cancer de la peau ? (non=0, oui=1)</v>
      </c>
      <c r="C25" s="401">
        <f>AUTOQUESTIONNAIRE!G25</f>
        <v>0</v>
      </c>
      <c r="F25" s="445"/>
      <c r="G25" s="445"/>
      <c r="H25" s="445"/>
      <c r="I25" s="445"/>
      <c r="J25" s="445"/>
      <c r="K25" s="445"/>
      <c r="L25" s="445"/>
      <c r="M25" s="445"/>
      <c r="N25" s="445"/>
      <c r="O25" s="445"/>
      <c r="P25" s="445"/>
      <c r="Q25" s="445"/>
      <c r="R25" s="445"/>
      <c r="S25" s="445"/>
      <c r="T25" s="445"/>
      <c r="U25" s="445"/>
      <c r="V25" s="445"/>
      <c r="W25" s="445"/>
      <c r="X25" s="445"/>
      <c r="Y25" s="445"/>
      <c r="Z25" s="445"/>
      <c r="AA25" s="445"/>
      <c r="AI25" s="675"/>
      <c r="BT25" s="631" t="s">
        <v>930</v>
      </c>
    </row>
    <row r="26" spans="1:90">
      <c r="A26" s="417" t="s">
        <v>1042</v>
      </c>
      <c r="B26" s="649" t="str">
        <f>AUTOQUESTIONNAIRE!D26</f>
        <v>Avez-vous déjà eu un cancer du poumon ? (non=0, oui=1)</v>
      </c>
      <c r="C26" s="401">
        <f>AUTOQUESTIONNAIRE!G26</f>
        <v>0</v>
      </c>
      <c r="F26" s="445"/>
      <c r="G26" s="445"/>
      <c r="H26" s="445"/>
      <c r="I26" s="445"/>
      <c r="J26" s="445"/>
      <c r="K26" s="445"/>
      <c r="L26" s="445"/>
      <c r="M26" s="445"/>
      <c r="N26" s="445"/>
      <c r="O26" s="445"/>
      <c r="P26" s="445"/>
      <c r="Q26" s="445"/>
      <c r="R26" s="445"/>
      <c r="S26" s="445"/>
      <c r="T26" s="445"/>
      <c r="U26" s="445"/>
      <c r="V26" s="445"/>
      <c r="W26" s="445"/>
      <c r="X26" s="445"/>
      <c r="Y26" s="445"/>
      <c r="Z26" s="445"/>
      <c r="AA26" s="445"/>
      <c r="AI26" s="675"/>
      <c r="BT26" s="631" t="s">
        <v>931</v>
      </c>
      <c r="CE26" s="411">
        <f>IF(RRImmédiat!$G26&gt;1.2,1,0)</f>
        <v>0</v>
      </c>
    </row>
    <row r="27" spans="1:90">
      <c r="A27" s="417" t="s">
        <v>1042</v>
      </c>
      <c r="B27" s="649" t="str">
        <f>AUTOQUESTIONNAIRE!D27</f>
        <v>Avez-vous déjà eu un cancer du sein ? (non=0, oui=1)</v>
      </c>
      <c r="C27" s="401">
        <f>AUTOQUESTIONNAIRE!G27</f>
        <v>0</v>
      </c>
      <c r="F27" s="445"/>
      <c r="G27" s="445"/>
      <c r="H27" s="445"/>
      <c r="I27" s="445"/>
      <c r="J27" s="445"/>
      <c r="K27" s="445"/>
      <c r="L27" s="445"/>
      <c r="M27" s="445"/>
      <c r="N27" s="445"/>
      <c r="O27" s="445"/>
      <c r="P27" s="445"/>
      <c r="Q27" s="445"/>
      <c r="R27" s="445"/>
      <c r="S27" s="445"/>
      <c r="T27" s="445"/>
      <c r="U27" s="445"/>
      <c r="V27" s="445"/>
      <c r="W27" s="445"/>
      <c r="X27" s="445"/>
      <c r="Y27" s="445"/>
      <c r="Z27" s="445"/>
      <c r="AA27" s="445"/>
      <c r="AI27" s="675"/>
      <c r="BT27" s="631" t="s">
        <v>932</v>
      </c>
    </row>
    <row r="28" spans="1:90">
      <c r="A28" s="417" t="s">
        <v>1042</v>
      </c>
      <c r="B28" s="649" t="str">
        <f>AUTOQUESTIONNAIRE!D28</f>
        <v>Avez-vous déjà eu un cancer gynécologique (utérus ou ovaires) ? (non=0, oui=1)</v>
      </c>
      <c r="C28" s="401">
        <f>AUTOQUESTIONNAIRE!G28</f>
        <v>0</v>
      </c>
      <c r="F28" s="445"/>
      <c r="G28" s="445"/>
      <c r="H28" s="445"/>
      <c r="I28" s="445"/>
      <c r="J28" s="445"/>
      <c r="K28" s="445"/>
      <c r="L28" s="445"/>
      <c r="M28" s="445"/>
      <c r="N28" s="445"/>
      <c r="O28" s="445"/>
      <c r="P28" s="445"/>
      <c r="Q28" s="445"/>
      <c r="R28" s="445"/>
      <c r="S28" s="445"/>
      <c r="T28" s="445"/>
      <c r="U28" s="445"/>
      <c r="V28" s="445"/>
      <c r="W28" s="445"/>
      <c r="X28" s="445"/>
      <c r="Y28" s="445"/>
      <c r="Z28" s="445"/>
      <c r="AA28" s="445"/>
      <c r="AI28" s="675"/>
      <c r="BT28" s="631" t="s">
        <v>1719</v>
      </c>
    </row>
    <row r="29" spans="1:90">
      <c r="A29" s="417" t="s">
        <v>1042</v>
      </c>
      <c r="B29" s="649" t="str">
        <f>AUTOQUESTIONNAIRE!D29</f>
        <v>Avez-vous déjà eu un cancer du rein ? (non=0, oui=1)</v>
      </c>
      <c r="C29" s="401">
        <f>AUTOQUESTIONNAIRE!G29</f>
        <v>0</v>
      </c>
      <c r="F29" s="445"/>
      <c r="G29" s="445"/>
      <c r="H29" s="445"/>
      <c r="I29" s="445"/>
      <c r="J29" s="445"/>
      <c r="K29" s="445"/>
      <c r="L29" s="445"/>
      <c r="M29" s="445"/>
      <c r="N29" s="445"/>
      <c r="O29" s="445"/>
      <c r="P29" s="445"/>
      <c r="Q29" s="445"/>
      <c r="R29" s="445"/>
      <c r="S29" s="445"/>
      <c r="T29" s="445"/>
      <c r="U29" s="445"/>
      <c r="V29" s="445"/>
      <c r="W29" s="445"/>
      <c r="X29" s="445"/>
      <c r="Y29" s="445"/>
      <c r="Z29" s="445"/>
      <c r="AA29" s="445"/>
      <c r="AI29" s="675"/>
      <c r="BT29" s="631" t="s">
        <v>934</v>
      </c>
    </row>
    <row r="30" spans="1:90">
      <c r="A30" s="417" t="s">
        <v>1042</v>
      </c>
      <c r="B30" s="649" t="str">
        <f>AUTOQUESTIONNAIRE!D30</f>
        <v>Avez-vous déjà eu un cancer de l’estomac ? (non=0, oui=1)</v>
      </c>
      <c r="C30" s="401">
        <f>AUTOQUESTIONNAIRE!G30</f>
        <v>0</v>
      </c>
      <c r="F30" s="445"/>
      <c r="G30" s="445"/>
      <c r="H30" s="445"/>
      <c r="I30" s="445"/>
      <c r="J30" s="445"/>
      <c r="K30" s="445"/>
      <c r="L30" s="445"/>
      <c r="M30" s="445"/>
      <c r="N30" s="445"/>
      <c r="O30" s="445"/>
      <c r="P30" s="445"/>
      <c r="Q30" s="445"/>
      <c r="R30" s="445"/>
      <c r="S30" s="445"/>
      <c r="T30" s="445"/>
      <c r="U30" s="445"/>
      <c r="V30" s="445"/>
      <c r="W30" s="445"/>
      <c r="X30" s="445"/>
      <c r="Y30" s="445"/>
      <c r="Z30" s="445"/>
      <c r="AA30" s="445"/>
      <c r="AI30" s="675"/>
      <c r="BT30" s="631" t="s">
        <v>1201</v>
      </c>
    </row>
    <row r="31" spans="1:90">
      <c r="A31" s="417" t="s">
        <v>1042</v>
      </c>
      <c r="B31" s="649" t="str">
        <f>AUTOQUESTIONNAIRE!D31</f>
        <v>Avez-vous déjà eu un cancer ORL (langue, gorge, larynx, sinus) ? (non=0, oui=1)</v>
      </c>
      <c r="C31" s="401">
        <f>AUTOQUESTIONNAIRE!G31</f>
        <v>0</v>
      </c>
      <c r="F31" s="445"/>
      <c r="G31" s="445"/>
      <c r="H31" s="445"/>
      <c r="I31" s="445"/>
      <c r="J31" s="445"/>
      <c r="K31" s="445"/>
      <c r="L31" s="445"/>
      <c r="M31" s="445"/>
      <c r="N31" s="445"/>
      <c r="O31" s="445"/>
      <c r="P31" s="445"/>
      <c r="Q31" s="445"/>
      <c r="R31" s="445"/>
      <c r="S31" s="445"/>
      <c r="T31" s="445"/>
      <c r="U31" s="445"/>
      <c r="V31" s="445"/>
      <c r="W31" s="445"/>
      <c r="X31" s="445"/>
      <c r="Y31" s="445"/>
      <c r="Z31" s="445"/>
      <c r="AA31" s="445"/>
      <c r="AI31" s="675"/>
      <c r="BT31" s="631" t="s">
        <v>2106</v>
      </c>
    </row>
    <row r="32" spans="1:90">
      <c r="A32" s="417" t="s">
        <v>1042</v>
      </c>
      <c r="B32" s="649" t="str">
        <f>AUTOQUESTIONNAIRE!D32</f>
        <v>Avez-vous déjà eu une tumeur de la vessie ou de l’uretère (appareil urinaire) ? (non=0, oui=1)</v>
      </c>
      <c r="C32" s="401">
        <f>AUTOQUESTIONNAIRE!G32</f>
        <v>0</v>
      </c>
      <c r="F32" s="445"/>
      <c r="G32" s="445"/>
      <c r="H32" s="445"/>
      <c r="I32" s="445"/>
      <c r="J32" s="445"/>
      <c r="K32" s="445"/>
      <c r="L32" s="445"/>
      <c r="M32" s="445"/>
      <c r="N32" s="445"/>
      <c r="O32" s="445"/>
      <c r="P32" s="445"/>
      <c r="Q32" s="445"/>
      <c r="R32" s="445"/>
      <c r="S32" s="445"/>
      <c r="T32" s="445"/>
      <c r="U32" s="445"/>
      <c r="V32" s="445"/>
      <c r="W32" s="445"/>
      <c r="X32" s="445"/>
      <c r="Y32" s="445"/>
      <c r="Z32" s="445"/>
      <c r="AA32" s="445"/>
      <c r="AI32" s="675"/>
      <c r="BT32" s="631" t="s">
        <v>1721</v>
      </c>
    </row>
    <row r="33" spans="1:86">
      <c r="A33" s="417" t="s">
        <v>1042</v>
      </c>
      <c r="B33" s="649" t="str">
        <f>AUTOQUESTIONNAIRE!D33</f>
        <v>Avez-vous déjà eu un anévrisme ou une artériopathie des membres inférieurs ? (non=0, oui=1)</v>
      </c>
      <c r="C33" s="401">
        <f>AUTOQUESTIONNAIRE!G33</f>
        <v>0</v>
      </c>
      <c r="F33" s="445">
        <f t="shared" si="4"/>
        <v>0</v>
      </c>
      <c r="G33" s="445"/>
      <c r="H33" s="445"/>
      <c r="I33" s="445">
        <f t="shared" si="4"/>
        <v>0</v>
      </c>
      <c r="J33" s="445"/>
      <c r="K33" s="445"/>
      <c r="L33" s="445"/>
      <c r="M33" s="445"/>
      <c r="N33" s="445"/>
      <c r="O33" s="445"/>
      <c r="P33" s="445"/>
      <c r="Q33" s="445"/>
      <c r="R33" s="445"/>
      <c r="S33" s="445"/>
      <c r="T33" s="445"/>
      <c r="U33" s="445"/>
      <c r="V33" s="445"/>
      <c r="W33" s="445"/>
      <c r="X33" s="445"/>
      <c r="Y33" s="445"/>
      <c r="Z33" s="445"/>
      <c r="AA33" s="445"/>
      <c r="AI33" s="675"/>
      <c r="BT33" s="631" t="s">
        <v>1864</v>
      </c>
    </row>
    <row r="34" spans="1:86">
      <c r="A34" s="417" t="s">
        <v>1042</v>
      </c>
      <c r="B34" s="649" t="str">
        <f>AUTOQUESTIONNAIRE!D34</f>
        <v>Avez-vous eu des calculs biliaires ou une ablation de la vésicule biliaire ? (non=0, oui=1)</v>
      </c>
      <c r="C34" s="401">
        <f>AUTOQUESTIONNAIRE!G34</f>
        <v>0</v>
      </c>
      <c r="F34" s="445">
        <f t="shared" si="4"/>
        <v>0</v>
      </c>
      <c r="G34" s="445"/>
      <c r="H34" s="445"/>
      <c r="I34" s="445">
        <f t="shared" si="4"/>
        <v>0</v>
      </c>
      <c r="J34" s="445">
        <f t="shared" si="4"/>
        <v>0</v>
      </c>
      <c r="K34" s="445"/>
      <c r="L34" s="445"/>
      <c r="M34" s="445">
        <f t="shared" si="4"/>
        <v>0</v>
      </c>
      <c r="N34" s="445"/>
      <c r="O34" s="445"/>
      <c r="P34" s="445"/>
      <c r="Q34" s="445"/>
      <c r="R34" s="445"/>
      <c r="S34" s="445"/>
      <c r="T34" s="445"/>
      <c r="U34" s="445"/>
      <c r="V34" s="445"/>
      <c r="W34" s="445"/>
      <c r="X34" s="445"/>
      <c r="Y34" s="445"/>
      <c r="Z34" s="445"/>
      <c r="AA34" s="445"/>
      <c r="AI34" s="675"/>
      <c r="BT34" s="643" t="s">
        <v>903</v>
      </c>
    </row>
    <row r="35" spans="1:86">
      <c r="A35" s="417" t="s">
        <v>1042</v>
      </c>
      <c r="B35" s="649" t="str">
        <f>AUTOQUESTIONNAIRE!D35</f>
        <v>Avez-vous déjà eu un ulcère de l’estomac ou du duodénum ? (non=0, oui=1)</v>
      </c>
      <c r="C35" s="401">
        <f>AUTOQUESTIONNAIRE!G35</f>
        <v>0</v>
      </c>
      <c r="F35" s="445">
        <f t="shared" si="4"/>
        <v>0</v>
      </c>
      <c r="G35" s="445"/>
      <c r="H35" s="445"/>
      <c r="I35" s="445">
        <f t="shared" si="4"/>
        <v>0</v>
      </c>
      <c r="J35" s="445"/>
      <c r="K35" s="445"/>
      <c r="L35" s="445"/>
      <c r="M35" s="445"/>
      <c r="N35" s="445"/>
      <c r="O35" s="445"/>
      <c r="P35" s="445"/>
      <c r="Q35" s="445"/>
      <c r="R35" s="445"/>
      <c r="S35" s="445"/>
      <c r="T35" s="445"/>
      <c r="U35" s="445"/>
      <c r="V35" s="445"/>
      <c r="W35" s="445"/>
      <c r="X35" s="445"/>
      <c r="Y35" s="445"/>
      <c r="Z35" s="445"/>
      <c r="AA35" s="445"/>
      <c r="AI35" s="675"/>
      <c r="BR35" s="445">
        <f t="shared" ref="BR35" si="6">$C35</f>
        <v>0</v>
      </c>
      <c r="BT35" s="731" t="s">
        <v>38</v>
      </c>
      <c r="BX35" s="411">
        <f>IF(RRImmédiat!$G35&gt;1.2,1,0)</f>
        <v>0</v>
      </c>
      <c r="BY35" s="411">
        <f>IF(RRImmédiat!$G35&gt;1.2,1,0)</f>
        <v>0</v>
      </c>
      <c r="BZ35" s="411">
        <f>IF(RRImmédiat!$G35&gt;1.2,1,0)</f>
        <v>0</v>
      </c>
      <c r="CA35" s="411">
        <f>IF(RRImmédiat!$G35&gt;1.2,1,0)</f>
        <v>0</v>
      </c>
      <c r="CB35" s="411">
        <f>IF(RRImmédiat!$G35&gt;1.2,1,0)</f>
        <v>0</v>
      </c>
    </row>
    <row r="36" spans="1:86">
      <c r="A36" s="417" t="s">
        <v>1042</v>
      </c>
      <c r="B36" s="649" t="str">
        <f>AUTOQUESTIONNAIRE!D36</f>
        <v>Avez-vous déjà eu une crise cardiaque ou un AVC (accident cardiovasculaire célébral) ? (non=0, oui=1)</v>
      </c>
      <c r="C36" s="401">
        <f>AUTOQUESTIONNAIRE!G36</f>
        <v>0</v>
      </c>
      <c r="F36" s="445">
        <f t="shared" si="4"/>
        <v>0</v>
      </c>
      <c r="G36" s="445"/>
      <c r="H36" s="445"/>
      <c r="I36" s="445">
        <f t="shared" si="4"/>
        <v>0</v>
      </c>
      <c r="J36" s="445"/>
      <c r="K36" s="445"/>
      <c r="L36" s="445"/>
      <c r="M36" s="445"/>
      <c r="N36" s="445"/>
      <c r="O36" s="445"/>
      <c r="P36" s="445"/>
      <c r="Q36" s="445"/>
      <c r="R36" s="445"/>
      <c r="S36" s="445"/>
      <c r="T36" s="445"/>
      <c r="U36" s="445"/>
      <c r="V36" s="445"/>
      <c r="W36" s="445"/>
      <c r="X36" s="445"/>
      <c r="Y36" s="445"/>
      <c r="Z36" s="445"/>
      <c r="AA36" s="445"/>
      <c r="AI36" s="675"/>
      <c r="BT36" s="635" t="s">
        <v>923</v>
      </c>
      <c r="BX36" s="411">
        <f>IF(RRImmédiat!$G36&gt;1.2,1,0)</f>
        <v>0</v>
      </c>
      <c r="BY36" s="411">
        <f>IF(RRImmédiat!$G36&gt;1.2,1,0)</f>
        <v>0</v>
      </c>
      <c r="BZ36" s="411">
        <f>IF(RRImmédiat!$G36&gt;1.2,1,0)</f>
        <v>0</v>
      </c>
      <c r="CA36" s="411">
        <f>IF(RRImmédiat!$G36&gt;1.2,1,0)</f>
        <v>0</v>
      </c>
      <c r="CB36" s="411">
        <f>IF(RRImmédiat!$G36&gt;1.2,1,0)</f>
        <v>0</v>
      </c>
    </row>
    <row r="37" spans="1:86">
      <c r="A37" s="417" t="s">
        <v>1042</v>
      </c>
      <c r="B37" s="649" t="str">
        <f>AUTOQUESTIONNAIRE!D37</f>
        <v>Avez-vous des problèmes de fertilité ? (non=0, oui=1)</v>
      </c>
      <c r="C37" s="401">
        <f>AUTOQUESTIONNAIRE!G37</f>
        <v>0</v>
      </c>
      <c r="F37" s="445"/>
      <c r="G37" s="445"/>
      <c r="H37" s="445"/>
      <c r="I37" s="445">
        <f t="shared" ref="I37:L48" si="7">$C37</f>
        <v>0</v>
      </c>
      <c r="J37" s="445"/>
      <c r="K37" s="445">
        <f t="shared" si="7"/>
        <v>0</v>
      </c>
      <c r="L37" s="445">
        <f t="shared" si="7"/>
        <v>0</v>
      </c>
      <c r="M37" s="445"/>
      <c r="N37" s="445"/>
      <c r="O37" s="445"/>
      <c r="P37" s="445"/>
      <c r="Q37" s="445">
        <f t="shared" ref="Q37" si="8">$C37</f>
        <v>0</v>
      </c>
      <c r="R37" s="445"/>
      <c r="S37" s="445"/>
      <c r="T37" s="445"/>
      <c r="U37" s="445"/>
      <c r="V37" s="445"/>
      <c r="W37" s="445"/>
      <c r="X37" s="445">
        <f t="shared" ref="X37" si="9">$C37</f>
        <v>0</v>
      </c>
      <c r="Y37" s="445"/>
      <c r="Z37" s="445"/>
      <c r="AA37" s="445"/>
      <c r="AI37" s="675"/>
      <c r="BT37" s="635" t="s">
        <v>924</v>
      </c>
    </row>
    <row r="38" spans="1:86">
      <c r="A38" s="417" t="s">
        <v>1042</v>
      </c>
      <c r="B38" s="649" t="str">
        <f>AUTOQUESTIONNAIRE!D38</f>
        <v>Avez-vous eu des calculs rénaux ou des coliques néphrétiques ? (non=0, oui=1)</v>
      </c>
      <c r="C38" s="401">
        <f>AUTOQUESTIONNAIRE!G38</f>
        <v>0</v>
      </c>
      <c r="F38" s="445">
        <f t="shared" ref="F38:F48" si="10">$C38</f>
        <v>0</v>
      </c>
      <c r="G38" s="445"/>
      <c r="H38" s="445"/>
      <c r="I38" s="445">
        <f t="shared" si="7"/>
        <v>0</v>
      </c>
      <c r="J38" s="445"/>
      <c r="K38" s="445"/>
      <c r="L38" s="445"/>
      <c r="M38" s="445"/>
      <c r="N38" s="445"/>
      <c r="O38" s="445"/>
      <c r="P38" s="445"/>
      <c r="Q38" s="445"/>
      <c r="R38" s="445"/>
      <c r="S38" s="445"/>
      <c r="T38" s="445"/>
      <c r="U38" s="445"/>
      <c r="V38" s="445"/>
      <c r="W38" s="445"/>
      <c r="X38" s="445"/>
      <c r="Y38" s="445"/>
      <c r="Z38" s="445"/>
      <c r="AA38" s="445"/>
      <c r="AI38" s="675"/>
      <c r="BT38" s="635" t="s">
        <v>925</v>
      </c>
    </row>
    <row r="39" spans="1:86">
      <c r="A39" s="417" t="s">
        <v>1042</v>
      </c>
      <c r="B39" s="649" t="str">
        <f>AUTOQUESTIONNAIRE!D39</f>
        <v>Avez-vous déjà eu des caillots sanguins (phlébite/thrombose ou embolie pulmonaire) ou une déficience en protéine S ? (non=0, oui=1)</v>
      </c>
      <c r="C39" s="401">
        <f>AUTOQUESTIONNAIRE!G39</f>
        <v>0</v>
      </c>
      <c r="F39" s="445">
        <f t="shared" si="10"/>
        <v>0</v>
      </c>
      <c r="G39" s="445"/>
      <c r="H39" s="445"/>
      <c r="I39" s="445">
        <f t="shared" si="7"/>
        <v>0</v>
      </c>
      <c r="J39" s="445"/>
      <c r="K39" s="445"/>
      <c r="L39" s="445"/>
      <c r="M39" s="445"/>
      <c r="N39" s="445"/>
      <c r="O39" s="445"/>
      <c r="P39" s="445"/>
      <c r="Q39" s="445"/>
      <c r="R39" s="445"/>
      <c r="S39" s="445"/>
      <c r="T39" s="445"/>
      <c r="U39" s="445"/>
      <c r="V39" s="445"/>
      <c r="W39" s="445"/>
      <c r="X39" s="445"/>
      <c r="Y39" s="445"/>
      <c r="Z39" s="445"/>
      <c r="AA39" s="445"/>
      <c r="AI39" s="675"/>
      <c r="BT39" s="732" t="s">
        <v>2052</v>
      </c>
      <c r="CH39" s="411">
        <f>IF(RRImmédiat!$G39&gt;1.2,1,0)</f>
        <v>0</v>
      </c>
    </row>
    <row r="40" spans="1:86">
      <c r="A40" s="417" t="s">
        <v>1042</v>
      </c>
      <c r="B40" s="649" t="str">
        <f>AUTOQUESTIONNAIRE!D40</f>
        <v>Avez-vous une maladie inflammatoire chronique de l’intestin (maladie de Crohn, rectocolite hémorragique) ? (non=0, oui=1)</v>
      </c>
      <c r="C40" s="401">
        <f>AUTOQUESTIONNAIRE!G40</f>
        <v>0</v>
      </c>
      <c r="F40" s="445">
        <f t="shared" si="10"/>
        <v>0</v>
      </c>
      <c r="G40" s="445"/>
      <c r="H40" s="445">
        <f t="shared" ref="H40" si="11">$C40</f>
        <v>0</v>
      </c>
      <c r="I40" s="445">
        <f t="shared" si="7"/>
        <v>0</v>
      </c>
      <c r="J40" s="445"/>
      <c r="K40" s="445"/>
      <c r="L40" s="445"/>
      <c r="M40" s="445">
        <f t="shared" ref="M40" si="12">$C40</f>
        <v>0</v>
      </c>
      <c r="N40" s="445"/>
      <c r="O40" s="445">
        <f t="shared" ref="O40" si="13">$C40</f>
        <v>0</v>
      </c>
      <c r="P40" s="445"/>
      <c r="Q40" s="445"/>
      <c r="R40" s="445"/>
      <c r="S40" s="445"/>
      <c r="T40" s="445"/>
      <c r="U40" s="445"/>
      <c r="V40" s="445">
        <f t="shared" ref="V40" si="14">$C40</f>
        <v>0</v>
      </c>
      <c r="W40" s="445"/>
      <c r="X40" s="445"/>
      <c r="Y40" s="445"/>
      <c r="Z40" s="445"/>
      <c r="AA40" s="445"/>
      <c r="AI40" s="675"/>
      <c r="BT40" s="640" t="s">
        <v>917</v>
      </c>
    </row>
    <row r="41" spans="1:86">
      <c r="A41" s="417" t="s">
        <v>1042</v>
      </c>
      <c r="B41" s="649"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445"/>
      <c r="Z41" s="445"/>
      <c r="AA41" s="445"/>
      <c r="AI41" s="675"/>
      <c r="BT41" s="640" t="s">
        <v>918</v>
      </c>
    </row>
    <row r="42" spans="1:86">
      <c r="A42" s="417" t="s">
        <v>1042</v>
      </c>
      <c r="B42" s="649" t="str">
        <f>AUTOQUESTIONNAIRE!D42</f>
        <v>Avez-vous eu une fracture ostéoporotique de la colonne vertébrale ou de la hanche ? (non=0, oui=1)</v>
      </c>
      <c r="C42" s="401">
        <f>AUTOQUESTIONNAIRE!G42</f>
        <v>0</v>
      </c>
      <c r="F42" s="445">
        <f t="shared" si="10"/>
        <v>0</v>
      </c>
      <c r="G42" s="445"/>
      <c r="H42" s="445"/>
      <c r="I42" s="445">
        <f t="shared" si="7"/>
        <v>0</v>
      </c>
      <c r="J42" s="445"/>
      <c r="K42" s="445">
        <f t="shared" ref="K42:L42" si="15">$C42</f>
        <v>0</v>
      </c>
      <c r="L42" s="445">
        <f t="shared" si="15"/>
        <v>0</v>
      </c>
      <c r="M42" s="445">
        <f t="shared" ref="M42" si="16">$C42</f>
        <v>0</v>
      </c>
      <c r="N42" s="445"/>
      <c r="O42" s="445"/>
      <c r="P42" s="445"/>
      <c r="Q42" s="445"/>
      <c r="R42" s="445"/>
      <c r="S42" s="445"/>
      <c r="T42" s="445"/>
      <c r="U42" s="445"/>
      <c r="V42" s="445">
        <f t="shared" ref="V42" si="17">$C42</f>
        <v>0</v>
      </c>
      <c r="W42" s="445"/>
      <c r="X42" s="445"/>
      <c r="Y42" s="445"/>
      <c r="Z42" s="445"/>
      <c r="AA42" s="445"/>
      <c r="AI42" s="675"/>
      <c r="BT42" s="640" t="s">
        <v>2053</v>
      </c>
    </row>
    <row r="43" spans="1:86" ht="72">
      <c r="A43" s="417" t="s">
        <v>1042</v>
      </c>
      <c r="B43" s="649"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445"/>
      <c r="Z43" s="445">
        <f t="shared" ref="Z43:Z45" si="18">$C43</f>
        <v>1</v>
      </c>
      <c r="AA43" s="445"/>
      <c r="AI43" s="675"/>
      <c r="AN43" s="445">
        <f t="shared" ref="AN43:AN45" si="19">$C43</f>
        <v>1</v>
      </c>
      <c r="BT43" s="721" t="s">
        <v>2127</v>
      </c>
    </row>
    <row r="44" spans="1:86">
      <c r="A44" s="417" t="s">
        <v>1042</v>
      </c>
      <c r="B44" s="649"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445"/>
      <c r="Z44" s="445"/>
      <c r="AA44" s="445"/>
      <c r="AI44" s="675"/>
      <c r="BT44" s="637" t="s">
        <v>897</v>
      </c>
      <c r="CC44" s="411">
        <f>IF(RRImmédiat!$G44&gt;1.2,1,0)</f>
        <v>0</v>
      </c>
    </row>
    <row r="45" spans="1:86">
      <c r="A45" s="417" t="s">
        <v>1042</v>
      </c>
      <c r="B45" s="649"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445"/>
      <c r="Z45" s="445">
        <f t="shared" si="18"/>
        <v>0</v>
      </c>
      <c r="AA45" s="445"/>
      <c r="AI45" s="675"/>
      <c r="AN45" s="445">
        <f t="shared" si="19"/>
        <v>0</v>
      </c>
      <c r="BT45" s="637" t="s">
        <v>898</v>
      </c>
    </row>
    <row r="46" spans="1:86">
      <c r="A46" s="417" t="s">
        <v>1042</v>
      </c>
      <c r="B46" s="649"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445"/>
      <c r="Z46" s="445"/>
      <c r="AA46" s="445"/>
      <c r="AI46" s="675"/>
      <c r="AU46" s="445">
        <f t="shared" ref="AU46" si="20">$C46</f>
        <v>0</v>
      </c>
      <c r="BT46" s="733" t="s">
        <v>1716</v>
      </c>
    </row>
    <row r="47" spans="1:86">
      <c r="A47" s="417" t="s">
        <v>1042</v>
      </c>
      <c r="B47" s="649" t="str">
        <f>AUTOQUESTIONNAIRE!D47</f>
        <v>Avez-vous des varices aux jambes ? (non=0, oui=1)</v>
      </c>
      <c r="C47" s="401">
        <f>AUTOQUESTIONNAIRE!G47</f>
        <v>0</v>
      </c>
      <c r="F47" s="445">
        <f t="shared" si="10"/>
        <v>0</v>
      </c>
      <c r="G47" s="445"/>
      <c r="H47" s="445"/>
      <c r="I47" s="445">
        <f t="shared" si="7"/>
        <v>0</v>
      </c>
      <c r="J47" s="445"/>
      <c r="K47" s="445"/>
      <c r="L47" s="445"/>
      <c r="M47" s="445"/>
      <c r="N47" s="445"/>
      <c r="O47" s="445"/>
      <c r="P47" s="445"/>
      <c r="Q47" s="445"/>
      <c r="R47" s="445"/>
      <c r="S47" s="445"/>
      <c r="T47" s="445"/>
      <c r="U47" s="445"/>
      <c r="V47" s="445"/>
      <c r="W47" s="445"/>
      <c r="X47" s="445"/>
      <c r="Y47" s="445"/>
      <c r="Z47" s="445"/>
      <c r="AA47" s="445"/>
      <c r="AI47" s="675"/>
      <c r="BT47" s="733" t="s">
        <v>2054</v>
      </c>
      <c r="CC47" s="411">
        <f>IF(RRImmédiat!$G47&gt;1.2,1,0)</f>
        <v>0</v>
      </c>
    </row>
    <row r="48" spans="1:86">
      <c r="A48" s="417" t="s">
        <v>1042</v>
      </c>
      <c r="B48" s="649"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1">$C48</f>
        <v>0</v>
      </c>
      <c r="Y48" s="445"/>
      <c r="Z48" s="445"/>
      <c r="AA48" s="445"/>
      <c r="AI48" s="675"/>
      <c r="BT48" s="636" t="s">
        <v>2055</v>
      </c>
    </row>
    <row r="49" spans="1:89">
      <c r="A49" s="417" t="s">
        <v>1042</v>
      </c>
      <c r="B49" s="649"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445"/>
      <c r="Z49" s="445"/>
      <c r="AA49" s="445"/>
      <c r="AI49" s="675"/>
      <c r="BT49" s="637" t="s">
        <v>928</v>
      </c>
    </row>
    <row r="50" spans="1:89">
      <c r="A50" s="418"/>
      <c r="B50" s="650"/>
      <c r="C50" s="401"/>
      <c r="F50" s="445"/>
      <c r="G50" s="445"/>
      <c r="H50" s="445"/>
      <c r="I50" s="445"/>
      <c r="J50" s="445"/>
      <c r="K50" s="445"/>
      <c r="L50" s="445"/>
      <c r="M50" s="445"/>
      <c r="N50" s="445"/>
      <c r="O50" s="445"/>
      <c r="P50" s="445"/>
      <c r="Q50" s="445"/>
      <c r="R50" s="445"/>
      <c r="S50" s="445"/>
      <c r="T50" s="445"/>
      <c r="U50" s="445"/>
      <c r="V50" s="445"/>
      <c r="W50" s="445"/>
      <c r="X50" s="445"/>
      <c r="Y50" s="445"/>
      <c r="Z50" s="445"/>
      <c r="AA50" s="445"/>
      <c r="AI50" s="675"/>
      <c r="BT50" s="734" t="s">
        <v>2056</v>
      </c>
      <c r="CJ50" s="411">
        <f>IF(RRImmédiat!$G50&gt;1.2,1,0)</f>
        <v>0</v>
      </c>
    </row>
    <row r="51" spans="1:89">
      <c r="A51" s="413"/>
      <c r="B51" s="318"/>
      <c r="F51" s="444"/>
      <c r="G51" s="444"/>
      <c r="H51" s="444"/>
      <c r="I51" s="444"/>
      <c r="J51" s="444"/>
      <c r="K51" s="444"/>
      <c r="L51" s="444"/>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671"/>
      <c r="AJ51" s="671"/>
      <c r="AK51" s="671"/>
      <c r="AL51" s="671"/>
      <c r="AM51" s="672"/>
      <c r="AN51" s="672"/>
      <c r="AO51" s="672"/>
      <c r="AP51" s="672"/>
      <c r="AQ51" s="672"/>
      <c r="AR51" s="672"/>
      <c r="AS51" s="672"/>
      <c r="AT51" s="672"/>
      <c r="AU51" s="672"/>
      <c r="AV51" s="672"/>
      <c r="AW51" s="672"/>
      <c r="AX51" s="673"/>
      <c r="AY51" s="673"/>
      <c r="AZ51" s="673"/>
      <c r="BA51" s="673"/>
      <c r="BB51" s="674"/>
      <c r="BC51" s="674"/>
      <c r="BD51" s="674"/>
      <c r="BE51" s="674"/>
      <c r="BF51" s="674"/>
      <c r="BG51" s="674"/>
      <c r="BH51" s="674"/>
      <c r="BI51" s="674"/>
      <c r="BJ51" s="674"/>
      <c r="BK51" s="674"/>
      <c r="BL51" s="674"/>
      <c r="BM51" s="674"/>
      <c r="BN51" s="444"/>
      <c r="BO51" s="444"/>
      <c r="BP51" s="444"/>
      <c r="BQ51" s="444"/>
      <c r="BR51" s="444"/>
      <c r="BS51" s="444"/>
      <c r="BT51" s="642" t="s">
        <v>900</v>
      </c>
      <c r="BU51" s="834"/>
      <c r="BV51" s="834"/>
      <c r="BW51" s="834"/>
      <c r="BX51" s="834"/>
      <c r="BY51" s="834"/>
      <c r="BZ51" s="834"/>
      <c r="CA51" s="834"/>
      <c r="CB51" s="834"/>
      <c r="CC51" s="834"/>
      <c r="CD51" s="834"/>
      <c r="CE51" s="834"/>
      <c r="CK51" s="411">
        <f>IF(RRImmédiat!$G51&gt;1.2,1,0)</f>
        <v>0</v>
      </c>
    </row>
    <row r="52" spans="1:89">
      <c r="A52" s="419" t="s">
        <v>1156</v>
      </c>
      <c r="B52" s="651" t="str">
        <f>AUTOQUESTIONNAIRE!D52</f>
        <v>Au cours des deux dernières années, avez-vous passé un scanner thoracique ou une radiographie des poumons ? (non=0, oui=1)</v>
      </c>
      <c r="C52" s="401">
        <f>AUTOQUESTIONNAIRE!G52</f>
        <v>0</v>
      </c>
      <c r="F52" s="669"/>
      <c r="G52" s="669"/>
      <c r="H52" s="669"/>
      <c r="I52" s="669"/>
      <c r="J52" s="669"/>
      <c r="K52" s="669"/>
      <c r="L52" s="669"/>
      <c r="M52" s="669"/>
      <c r="N52" s="669"/>
      <c r="O52" s="669"/>
      <c r="P52" s="669"/>
      <c r="Q52" s="669"/>
      <c r="R52" s="669"/>
      <c r="S52" s="669"/>
      <c r="T52" s="669"/>
      <c r="U52" s="669"/>
      <c r="V52" s="669"/>
      <c r="W52" s="669"/>
      <c r="X52" s="669"/>
      <c r="Y52" s="669"/>
      <c r="Z52" s="669"/>
      <c r="AA52" s="669"/>
      <c r="AB52" s="670"/>
      <c r="AC52" s="670"/>
      <c r="AD52" s="670"/>
      <c r="AE52" s="670"/>
      <c r="AF52" s="670"/>
      <c r="AG52" s="670"/>
      <c r="AH52" s="670"/>
      <c r="AI52" s="670"/>
      <c r="AJ52" s="670"/>
      <c r="AK52" s="670"/>
      <c r="AL52" s="670"/>
      <c r="AM52" s="669"/>
      <c r="AN52" s="669"/>
      <c r="AO52" s="669"/>
      <c r="AP52" s="669"/>
      <c r="AQ52" s="669"/>
      <c r="AR52" s="669"/>
      <c r="AS52" s="669"/>
      <c r="AT52" s="669"/>
      <c r="AU52" s="669"/>
      <c r="AV52" s="669"/>
      <c r="AW52" s="669"/>
      <c r="AX52" s="669"/>
      <c r="AY52" s="669"/>
      <c r="AZ52" s="669"/>
      <c r="BA52" s="670"/>
      <c r="BB52" s="670"/>
      <c r="BC52" s="670"/>
      <c r="BD52" s="670"/>
      <c r="BE52" s="670"/>
      <c r="BF52" s="670"/>
      <c r="BG52" s="670"/>
      <c r="BH52" s="670"/>
      <c r="BI52" s="670"/>
      <c r="BJ52" s="670"/>
      <c r="BK52" s="670"/>
      <c r="BL52" s="670"/>
      <c r="BM52" s="670"/>
      <c r="BN52" s="670"/>
      <c r="BO52" s="670"/>
      <c r="BP52" s="670"/>
      <c r="BQ52" s="670"/>
      <c r="BR52" s="670"/>
      <c r="BS52" s="670"/>
      <c r="BT52" s="642" t="s">
        <v>901</v>
      </c>
    </row>
    <row r="53" spans="1:89">
      <c r="A53" s="419" t="s">
        <v>1156</v>
      </c>
      <c r="B53" s="651" t="str">
        <f>AUTOQUESTIONNAIRE!D53</f>
        <v>Au cours des deux dernières années, avez-vous passé une IRM de la prostate ? (non=0, oui=1)</v>
      </c>
      <c r="C53" s="401">
        <f>AUTOQUESTIONNAIRE!G53</f>
        <v>0</v>
      </c>
      <c r="F53" s="669"/>
      <c r="G53" s="669"/>
      <c r="H53" s="669"/>
      <c r="I53" s="669"/>
      <c r="J53" s="669"/>
      <c r="K53" s="669"/>
      <c r="L53" s="669"/>
      <c r="M53" s="669"/>
      <c r="N53" s="669"/>
      <c r="O53" s="669"/>
      <c r="P53" s="669"/>
      <c r="Q53" s="669"/>
      <c r="R53" s="669"/>
      <c r="S53" s="669"/>
      <c r="T53" s="669"/>
      <c r="U53" s="669"/>
      <c r="V53" s="669"/>
      <c r="W53" s="669"/>
      <c r="X53" s="669"/>
      <c r="Y53" s="669"/>
      <c r="Z53" s="669"/>
      <c r="AA53" s="669"/>
      <c r="AB53" s="670"/>
      <c r="AC53" s="670"/>
      <c r="AD53" s="670"/>
      <c r="AE53" s="670"/>
      <c r="AF53" s="670"/>
      <c r="AG53" s="670"/>
      <c r="AH53" s="670"/>
      <c r="AI53" s="670"/>
      <c r="AJ53" s="670"/>
      <c r="AK53" s="670"/>
      <c r="AL53" s="670"/>
      <c r="AM53" s="669"/>
      <c r="AN53" s="669"/>
      <c r="AO53" s="669"/>
      <c r="AP53" s="669"/>
      <c r="AQ53" s="669"/>
      <c r="AR53" s="669"/>
      <c r="AS53" s="669"/>
      <c r="AT53" s="669"/>
      <c r="AU53" s="669"/>
      <c r="AV53" s="669"/>
      <c r="AW53" s="669"/>
      <c r="AX53" s="669"/>
      <c r="AY53" s="669"/>
      <c r="AZ53" s="669"/>
      <c r="BA53" s="670"/>
      <c r="BB53" s="670"/>
      <c r="BC53" s="670"/>
      <c r="BD53" s="670"/>
      <c r="BE53" s="670"/>
      <c r="BF53" s="670"/>
      <c r="BG53" s="670"/>
      <c r="BH53" s="670"/>
      <c r="BI53" s="670"/>
      <c r="BJ53" s="670"/>
      <c r="BK53" s="670"/>
      <c r="BL53" s="670"/>
      <c r="BM53" s="670"/>
      <c r="BN53" s="670"/>
      <c r="BO53" s="670"/>
      <c r="BP53" s="670"/>
      <c r="BQ53" s="670"/>
      <c r="BR53" s="670"/>
      <c r="BS53" s="670"/>
      <c r="BT53" s="642" t="s">
        <v>902</v>
      </c>
    </row>
    <row r="54" spans="1:89">
      <c r="A54" s="419" t="s">
        <v>1156</v>
      </c>
      <c r="B54" s="651" t="str">
        <f>AUTOQUESTIONNAIRE!D54</f>
        <v>Au cours des deux dernières années, avez-vous effectué un dépistage du cancer du sein par mammographie ? (non=0, oui=1)</v>
      </c>
      <c r="C54" s="401">
        <f>AUTOQUESTIONNAIRE!G54</f>
        <v>0</v>
      </c>
      <c r="F54" s="669"/>
      <c r="G54" s="669"/>
      <c r="H54" s="669"/>
      <c r="I54" s="669"/>
      <c r="J54" s="669"/>
      <c r="K54" s="669"/>
      <c r="L54" s="669"/>
      <c r="M54" s="669"/>
      <c r="N54" s="669"/>
      <c r="O54" s="669"/>
      <c r="P54" s="669"/>
      <c r="Q54" s="669"/>
      <c r="R54" s="669"/>
      <c r="S54" s="669"/>
      <c r="T54" s="669"/>
      <c r="U54" s="669"/>
      <c r="V54" s="669"/>
      <c r="W54" s="669"/>
      <c r="X54" s="669"/>
      <c r="Y54" s="669"/>
      <c r="Z54" s="669"/>
      <c r="AA54" s="669"/>
      <c r="AB54" s="670"/>
      <c r="AC54" s="670"/>
      <c r="AD54" s="670"/>
      <c r="AE54" s="670"/>
      <c r="AF54" s="670"/>
      <c r="AG54" s="670"/>
      <c r="AH54" s="670"/>
      <c r="AI54" s="670"/>
      <c r="AJ54" s="670"/>
      <c r="AK54" s="670"/>
      <c r="AL54" s="670"/>
      <c r="AM54" s="669"/>
      <c r="AN54" s="669"/>
      <c r="AO54" s="669"/>
      <c r="AP54" s="669"/>
      <c r="AQ54" s="669"/>
      <c r="AR54" s="669"/>
      <c r="AS54" s="669"/>
      <c r="AT54" s="669"/>
      <c r="AU54" s="669"/>
      <c r="AV54" s="669"/>
      <c r="AW54" s="669"/>
      <c r="AX54" s="669"/>
      <c r="AY54" s="669"/>
      <c r="AZ54" s="669"/>
      <c r="BA54" s="670"/>
      <c r="BB54" s="670"/>
      <c r="BC54" s="670"/>
      <c r="BD54" s="670"/>
      <c r="BE54" s="670"/>
      <c r="BF54" s="670"/>
      <c r="BG54" s="670"/>
      <c r="BH54" s="670"/>
      <c r="BI54" s="670"/>
      <c r="BJ54" s="670"/>
      <c r="BK54" s="670"/>
      <c r="BL54" s="670"/>
      <c r="BM54" s="670"/>
      <c r="BN54" s="669"/>
      <c r="BO54" s="670"/>
      <c r="BP54" s="670"/>
      <c r="BQ54" s="670"/>
      <c r="BR54" s="670"/>
      <c r="BS54" s="670"/>
      <c r="BT54" s="639" t="s">
        <v>899</v>
      </c>
      <c r="CD54" s="411">
        <f>IF(RRImmédiat!$G54&gt;1.2,1,0)</f>
        <v>0</v>
      </c>
    </row>
    <row r="55" spans="1:89">
      <c r="A55" s="419" t="s">
        <v>1156</v>
      </c>
      <c r="B55" s="651" t="str">
        <f>AUTOQUESTIONNAIRE!D55</f>
        <v>Au cours des cinq dernières années, avez-vous effectué un dépistage du cancer du col de l’utérus ou été vacciné(e) contre le HPV ? (non=0, oui=1)</v>
      </c>
      <c r="C55" s="401">
        <f>AUTOQUESTIONNAIRE!G55</f>
        <v>0</v>
      </c>
      <c r="F55" s="669"/>
      <c r="G55" s="669"/>
      <c r="H55" s="669"/>
      <c r="I55" s="669"/>
      <c r="J55" s="669"/>
      <c r="K55" s="669"/>
      <c r="L55" s="669"/>
      <c r="M55" s="669"/>
      <c r="N55" s="669"/>
      <c r="O55" s="669"/>
      <c r="P55" s="669"/>
      <c r="Q55" s="669"/>
      <c r="R55" s="669"/>
      <c r="S55" s="669"/>
      <c r="T55" s="669"/>
      <c r="U55" s="669"/>
      <c r="V55" s="669"/>
      <c r="W55" s="669"/>
      <c r="X55" s="669"/>
      <c r="Y55" s="669"/>
      <c r="Z55" s="669"/>
      <c r="AA55" s="669"/>
      <c r="AB55" s="670"/>
      <c r="AC55" s="670"/>
      <c r="AD55" s="670"/>
      <c r="AE55" s="670"/>
      <c r="AF55" s="670"/>
      <c r="AG55" s="670"/>
      <c r="AH55" s="670"/>
      <c r="AI55" s="670"/>
      <c r="AJ55" s="670"/>
      <c r="AK55" s="670"/>
      <c r="AL55" s="670"/>
      <c r="AM55" s="669"/>
      <c r="AN55" s="669"/>
      <c r="AO55" s="669"/>
      <c r="AP55" s="669"/>
      <c r="AQ55" s="669"/>
      <c r="AR55" s="669"/>
      <c r="AS55" s="669"/>
      <c r="AT55" s="669"/>
      <c r="AU55" s="669"/>
      <c r="AV55" s="669"/>
      <c r="AW55" s="669"/>
      <c r="AX55" s="669"/>
      <c r="AY55" s="669"/>
      <c r="AZ55" s="669"/>
      <c r="BA55" s="670"/>
      <c r="BB55" s="670"/>
      <c r="BC55" s="670"/>
      <c r="BD55" s="670"/>
      <c r="BE55" s="670"/>
      <c r="BF55" s="670"/>
      <c r="BG55" s="669">
        <f t="shared" ref="BG55" si="22">$C55</f>
        <v>0</v>
      </c>
      <c r="BH55" s="669"/>
      <c r="BI55" s="669"/>
      <c r="BJ55" s="669"/>
      <c r="BK55" s="669"/>
      <c r="BL55" s="669"/>
      <c r="BM55" s="669"/>
      <c r="BN55" s="670"/>
      <c r="BO55" s="670"/>
      <c r="BP55" s="670"/>
      <c r="BQ55" s="670"/>
      <c r="BR55" s="670"/>
      <c r="BS55" s="670"/>
      <c r="BT55" s="734" t="s">
        <v>2057</v>
      </c>
      <c r="CF55" s="411">
        <f>IF(RRImmédiat!$G55&gt;1.2,1,0)</f>
        <v>1</v>
      </c>
    </row>
    <row r="56" spans="1:89">
      <c r="A56" s="419" t="s">
        <v>1156</v>
      </c>
      <c r="B56" s="651" t="str">
        <f>AUTOQUESTIONNAIRE!D56</f>
        <v>Au cours des deux dernières années, avez-vous réalisé une épreuve d’effort ou un scanner coronaire ? (non=0, oui=1)</v>
      </c>
      <c r="C56" s="401">
        <f>AUTOQUESTIONNAIRE!G56</f>
        <v>1</v>
      </c>
      <c r="F56" s="669"/>
      <c r="G56" s="669"/>
      <c r="H56" s="669"/>
      <c r="I56" s="669"/>
      <c r="J56" s="669"/>
      <c r="K56" s="669"/>
      <c r="L56" s="669"/>
      <c r="M56" s="669"/>
      <c r="N56" s="669"/>
      <c r="O56" s="669"/>
      <c r="P56" s="669"/>
      <c r="Q56" s="669"/>
      <c r="R56" s="669"/>
      <c r="S56" s="669"/>
      <c r="T56" s="669"/>
      <c r="U56" s="669"/>
      <c r="V56" s="669"/>
      <c r="W56" s="669"/>
      <c r="X56" s="669"/>
      <c r="Y56" s="669"/>
      <c r="Z56" s="669"/>
      <c r="AA56" s="669"/>
      <c r="AB56" s="670"/>
      <c r="AC56" s="670"/>
      <c r="AD56" s="670"/>
      <c r="AE56" s="670"/>
      <c r="AF56" s="670"/>
      <c r="AG56" s="670"/>
      <c r="AH56" s="670"/>
      <c r="AI56" s="670"/>
      <c r="AJ56" s="670"/>
      <c r="AK56" s="670"/>
      <c r="AL56" s="670"/>
      <c r="AM56" s="669"/>
      <c r="AN56" s="669"/>
      <c r="AO56" s="669"/>
      <c r="AP56" s="669"/>
      <c r="AQ56" s="669"/>
      <c r="AR56" s="669"/>
      <c r="AS56" s="669"/>
      <c r="AT56" s="669"/>
      <c r="AU56" s="669"/>
      <c r="AV56" s="669"/>
      <c r="AW56" s="669"/>
      <c r="AX56" s="669"/>
      <c r="AY56" s="669"/>
      <c r="AZ56" s="669"/>
      <c r="BA56" s="670"/>
      <c r="BB56" s="670"/>
      <c r="BC56" s="670"/>
      <c r="BD56" s="670"/>
      <c r="BE56" s="670"/>
      <c r="BF56" s="670"/>
      <c r="BG56" s="670"/>
      <c r="BH56" s="670"/>
      <c r="BI56" s="670"/>
      <c r="BJ56" s="670"/>
      <c r="BK56" s="670"/>
      <c r="BL56" s="670"/>
      <c r="BM56" s="670"/>
      <c r="BN56" s="670"/>
      <c r="BO56" s="670"/>
      <c r="BP56" s="670"/>
      <c r="BQ56" s="670"/>
      <c r="BR56" s="670"/>
      <c r="BS56" s="670"/>
      <c r="BT56" s="638" t="s">
        <v>54</v>
      </c>
      <c r="CI56" s="411">
        <f>IF(RRImmédiat!$G56&gt;1.2,1,0)</f>
        <v>0</v>
      </c>
    </row>
    <row r="57" spans="1:89">
      <c r="A57" s="419" t="s">
        <v>1156</v>
      </c>
      <c r="B57" s="651" t="str">
        <f>AUTOQUESTIONNAIRE!D57</f>
        <v>Au cours des deux dernières années, avez-vous passé un scanner abdominal ou une échographie abdominale ?  (non=0, oui=1)</v>
      </c>
      <c r="C57" s="401">
        <f>AUTOQUESTIONNAIRE!G57</f>
        <v>1</v>
      </c>
      <c r="F57" s="669"/>
      <c r="G57" s="669"/>
      <c r="H57" s="669"/>
      <c r="I57" s="669"/>
      <c r="J57" s="669"/>
      <c r="K57" s="669"/>
      <c r="L57" s="669"/>
      <c r="M57" s="669"/>
      <c r="N57" s="669"/>
      <c r="O57" s="669"/>
      <c r="P57" s="669"/>
      <c r="Q57" s="669"/>
      <c r="R57" s="669"/>
      <c r="S57" s="669"/>
      <c r="T57" s="669"/>
      <c r="U57" s="669"/>
      <c r="V57" s="669"/>
      <c r="W57" s="669"/>
      <c r="X57" s="669"/>
      <c r="Y57" s="669"/>
      <c r="Z57" s="669"/>
      <c r="AA57" s="669"/>
      <c r="AB57" s="670"/>
      <c r="AC57" s="670"/>
      <c r="AD57" s="670"/>
      <c r="AE57" s="670"/>
      <c r="AF57" s="670"/>
      <c r="AG57" s="670"/>
      <c r="AH57" s="670"/>
      <c r="AI57" s="670"/>
      <c r="AJ57" s="670"/>
      <c r="AK57" s="670"/>
      <c r="AL57" s="670"/>
      <c r="AM57" s="669"/>
      <c r="AN57" s="669"/>
      <c r="AO57" s="669"/>
      <c r="AP57" s="669"/>
      <c r="AQ57" s="669"/>
      <c r="AR57" s="669"/>
      <c r="AS57" s="669"/>
      <c r="AT57" s="669"/>
      <c r="AU57" s="669"/>
      <c r="AV57" s="669"/>
      <c r="AW57" s="669"/>
      <c r="AX57" s="669"/>
      <c r="AY57" s="669"/>
      <c r="AZ57" s="669"/>
      <c r="BA57" s="670"/>
      <c r="BB57" s="670"/>
      <c r="BC57" s="670"/>
      <c r="BD57" s="670"/>
      <c r="BE57" s="670"/>
      <c r="BF57" s="670"/>
      <c r="BG57" s="670"/>
      <c r="BH57" s="670"/>
      <c r="BI57" s="670"/>
      <c r="BJ57" s="670"/>
      <c r="BK57" s="670"/>
      <c r="BL57" s="670"/>
      <c r="BM57" s="670"/>
      <c r="BN57" s="670"/>
      <c r="BO57" s="669">
        <f t="shared" ref="BO57" si="23">$C57</f>
        <v>1</v>
      </c>
      <c r="BP57" s="670"/>
      <c r="BQ57" s="670"/>
      <c r="BR57" s="670"/>
      <c r="BS57" s="670"/>
      <c r="BT57" s="639" t="s">
        <v>906</v>
      </c>
      <c r="BU57" s="411">
        <f>IF(RRImmédiat!$G57&gt;1.2,1,0)</f>
        <v>0</v>
      </c>
      <c r="BV57" s="411">
        <f>IF(RRImmédiat!$G57&gt;1.2,1,0)</f>
        <v>0</v>
      </c>
      <c r="BW57" s="411">
        <f>IF(RRImmédiat!$G57&gt;1.2,1,0)</f>
        <v>0</v>
      </c>
    </row>
    <row r="58" spans="1:89">
      <c r="A58" s="419" t="s">
        <v>1156</v>
      </c>
      <c r="B58" s="651" t="str">
        <f>AUTOQUESTIONNAIRE!D58</f>
        <v>Au cours des deux dernières années, avez-vous effectué un dépistage du cancer colorectal (coloscopie ou test de sang dans les selles) ? (non=0, oui=1)</v>
      </c>
      <c r="C58" s="401">
        <f>AUTOQUESTIONNAIRE!G58</f>
        <v>1</v>
      </c>
      <c r="F58" s="669"/>
      <c r="G58" s="669"/>
      <c r="H58" s="669"/>
      <c r="I58" s="669"/>
      <c r="J58" s="669"/>
      <c r="K58" s="669"/>
      <c r="L58" s="669"/>
      <c r="M58" s="669"/>
      <c r="N58" s="669"/>
      <c r="O58" s="669"/>
      <c r="P58" s="669"/>
      <c r="Q58" s="669"/>
      <c r="R58" s="669"/>
      <c r="S58" s="669"/>
      <c r="T58" s="669"/>
      <c r="U58" s="669"/>
      <c r="V58" s="669"/>
      <c r="W58" s="669"/>
      <c r="X58" s="669"/>
      <c r="Y58" s="669"/>
      <c r="Z58" s="669"/>
      <c r="AA58" s="669"/>
      <c r="AB58" s="670"/>
      <c r="AC58" s="670"/>
      <c r="AD58" s="670"/>
      <c r="AE58" s="670"/>
      <c r="AF58" s="670"/>
      <c r="AG58" s="670"/>
      <c r="AH58" s="670"/>
      <c r="AI58" s="670"/>
      <c r="AJ58" s="670"/>
      <c r="AK58" s="669"/>
      <c r="AL58" s="670"/>
      <c r="AM58" s="669"/>
      <c r="AN58" s="669"/>
      <c r="AO58" s="669"/>
      <c r="AP58" s="669"/>
      <c r="AQ58" s="669"/>
      <c r="AR58" s="669"/>
      <c r="AS58" s="669"/>
      <c r="AT58" s="669"/>
      <c r="AU58" s="669"/>
      <c r="AV58" s="669"/>
      <c r="AW58" s="669"/>
      <c r="AX58" s="669"/>
      <c r="AY58" s="669"/>
      <c r="AZ58" s="669"/>
      <c r="BA58" s="670"/>
      <c r="BB58" s="670"/>
      <c r="BC58" s="670"/>
      <c r="BD58" s="670"/>
      <c r="BE58" s="670"/>
      <c r="BF58" s="670"/>
      <c r="BG58" s="670"/>
      <c r="BH58" s="670"/>
      <c r="BI58" s="670"/>
      <c r="BJ58" s="670"/>
      <c r="BK58" s="670"/>
      <c r="BL58" s="670"/>
      <c r="BM58" s="670"/>
      <c r="BN58" s="670"/>
      <c r="BO58" s="670"/>
      <c r="BP58" s="670"/>
      <c r="BQ58" s="670"/>
      <c r="BR58" s="670"/>
      <c r="BS58" s="670"/>
      <c r="BT58" s="734" t="s">
        <v>907</v>
      </c>
      <c r="CD58" s="411">
        <f>IF(RRImmédiat!$G58&gt;1.2,1,0)</f>
        <v>0</v>
      </c>
    </row>
    <row r="59" spans="1:89">
      <c r="A59" s="419" t="s">
        <v>1156</v>
      </c>
      <c r="B59" s="651" t="str">
        <f>AUTOQUESTIONNAIRE!D59</f>
        <v>Avez-vous consulté un dentiste au cours des 12 derniers mois ? (non=0, oui=1)</v>
      </c>
      <c r="C59" s="401">
        <f>AUTOQUESTIONNAIRE!G59</f>
        <v>0</v>
      </c>
      <c r="F59" s="669"/>
      <c r="G59" s="669"/>
      <c r="H59" s="669"/>
      <c r="I59" s="669"/>
      <c r="J59" s="669"/>
      <c r="K59" s="669"/>
      <c r="L59" s="669"/>
      <c r="M59" s="669"/>
      <c r="N59" s="669"/>
      <c r="O59" s="669"/>
      <c r="P59" s="669"/>
      <c r="Q59" s="669"/>
      <c r="R59" s="669"/>
      <c r="S59" s="669"/>
      <c r="T59" s="669"/>
      <c r="U59" s="669"/>
      <c r="V59" s="669"/>
      <c r="W59" s="669"/>
      <c r="X59" s="669"/>
      <c r="Y59" s="669"/>
      <c r="Z59" s="669"/>
      <c r="AA59" s="669"/>
      <c r="AB59" s="670"/>
      <c r="AC59" s="670"/>
      <c r="AD59" s="670"/>
      <c r="AE59" s="670"/>
      <c r="AF59" s="670"/>
      <c r="AG59" s="670"/>
      <c r="AH59" s="670"/>
      <c r="AI59" s="670"/>
      <c r="AJ59" s="670"/>
      <c r="AK59" s="670">
        <f>C59</f>
        <v>0</v>
      </c>
      <c r="AL59" s="670"/>
      <c r="AM59" s="669"/>
      <c r="AN59" s="669"/>
      <c r="AO59" s="669"/>
      <c r="AP59" s="669"/>
      <c r="AQ59" s="669"/>
      <c r="AR59" s="669"/>
      <c r="AS59" s="669"/>
      <c r="AT59" s="669"/>
      <c r="AU59" s="669"/>
      <c r="AV59" s="669"/>
      <c r="AW59" s="669"/>
      <c r="AX59" s="669"/>
      <c r="AY59" s="669"/>
      <c r="AZ59" s="669"/>
      <c r="BA59" s="670"/>
      <c r="BB59" s="670"/>
      <c r="BC59" s="670"/>
      <c r="BD59" s="670"/>
      <c r="BE59" s="670"/>
      <c r="BF59" s="670"/>
      <c r="BG59" s="670"/>
      <c r="BH59" s="670"/>
      <c r="BI59" s="670"/>
      <c r="BJ59" s="670"/>
      <c r="BK59" s="670"/>
      <c r="BL59" s="670"/>
      <c r="BM59" s="670"/>
      <c r="BN59" s="670"/>
      <c r="BO59" s="670"/>
      <c r="BP59" s="670"/>
      <c r="BQ59" s="670"/>
      <c r="BR59" s="670"/>
      <c r="BS59" s="670"/>
      <c r="BT59" s="734" t="s">
        <v>2058</v>
      </c>
      <c r="CD59" s="411">
        <f>IF(RRImmédiat!$G59&gt;1.2,1,0)</f>
        <v>0</v>
      </c>
    </row>
    <row r="60" spans="1:89">
      <c r="A60" s="419" t="s">
        <v>1156</v>
      </c>
      <c r="B60" s="651" t="str">
        <f>AUTOQUESTIONNAIRE!D60</f>
        <v>Avez-vous réalisé une analyse de sang ou d’urine au cours des 12 derniers mois ? (non=0, oui=1)</v>
      </c>
      <c r="C60" s="401">
        <f>AUTOQUESTIONNAIRE!G60</f>
        <v>0</v>
      </c>
      <c r="F60" s="669"/>
      <c r="G60" s="669"/>
      <c r="H60" s="669"/>
      <c r="I60" s="669"/>
      <c r="J60" s="669"/>
      <c r="K60" s="669"/>
      <c r="L60" s="669"/>
      <c r="M60" s="669"/>
      <c r="N60" s="669"/>
      <c r="O60" s="669"/>
      <c r="P60" s="669"/>
      <c r="Q60" s="669"/>
      <c r="R60" s="669"/>
      <c r="S60" s="669"/>
      <c r="T60" s="669"/>
      <c r="U60" s="669"/>
      <c r="V60" s="669"/>
      <c r="W60" s="669"/>
      <c r="X60" s="669"/>
      <c r="Y60" s="669"/>
      <c r="Z60" s="669"/>
      <c r="AA60" s="669"/>
      <c r="AB60" s="670"/>
      <c r="AC60" s="670"/>
      <c r="AD60" s="670"/>
      <c r="AE60" s="670"/>
      <c r="AF60" s="670"/>
      <c r="AG60" s="670"/>
      <c r="AH60" s="670"/>
      <c r="AI60" s="670"/>
      <c r="AJ60" s="670"/>
      <c r="AK60" s="670"/>
      <c r="AL60" s="670"/>
      <c r="AM60" s="669"/>
      <c r="AN60" s="669"/>
      <c r="AO60" s="669"/>
      <c r="AP60" s="669"/>
      <c r="AQ60" s="669"/>
      <c r="AR60" s="669"/>
      <c r="AS60" s="669"/>
      <c r="AT60" s="669"/>
      <c r="AU60" s="669"/>
      <c r="AV60" s="669"/>
      <c r="AW60" s="669"/>
      <c r="AX60" s="669"/>
      <c r="AY60" s="669"/>
      <c r="AZ60" s="669"/>
      <c r="BA60" s="670"/>
      <c r="BB60" s="670"/>
      <c r="BC60" s="670"/>
      <c r="BD60" s="670"/>
      <c r="BE60" s="670"/>
      <c r="BF60" s="670"/>
      <c r="BG60" s="670"/>
      <c r="BH60" s="670"/>
      <c r="BI60" s="670"/>
      <c r="BJ60" s="670"/>
      <c r="BK60" s="670"/>
      <c r="BL60" s="670"/>
      <c r="BM60" s="670"/>
      <c r="BN60" s="670"/>
      <c r="BO60" s="670"/>
      <c r="BP60" s="670"/>
      <c r="BQ60" s="670"/>
      <c r="BR60" s="670"/>
      <c r="BS60" s="670"/>
      <c r="BT60" s="639" t="s">
        <v>1695</v>
      </c>
      <c r="CD60" s="411">
        <f>IF(RRImmédiat!$G60&gt;1.2,1,0)</f>
        <v>0</v>
      </c>
    </row>
    <row r="61" spans="1:89">
      <c r="A61" s="419" t="s">
        <v>1156</v>
      </c>
      <c r="B61" s="651" t="str">
        <f>AUTOQUESTIONNAIRE!D61</f>
        <v>Avez-vous déjà réalisé un test de dépistage d’infections sexuellement transmissibles ? (non=0, oui=1)</v>
      </c>
      <c r="C61" s="401">
        <f>AUTOQUESTIONNAIRE!G52</f>
        <v>0</v>
      </c>
      <c r="F61" s="669"/>
      <c r="G61" s="669"/>
      <c r="H61" s="669"/>
      <c r="I61" s="669"/>
      <c r="J61" s="669"/>
      <c r="K61" s="669"/>
      <c r="L61" s="669"/>
      <c r="M61" s="669"/>
      <c r="N61" s="669"/>
      <c r="O61" s="669"/>
      <c r="P61" s="669"/>
      <c r="Q61" s="669"/>
      <c r="R61" s="669"/>
      <c r="S61" s="669"/>
      <c r="T61" s="669"/>
      <c r="U61" s="669"/>
      <c r="V61" s="669"/>
      <c r="W61" s="669"/>
      <c r="X61" s="669"/>
      <c r="Y61" s="669"/>
      <c r="Z61" s="669"/>
      <c r="AA61" s="669"/>
      <c r="AB61" s="670"/>
      <c r="AC61" s="670"/>
      <c r="AD61" s="670"/>
      <c r="AE61" s="670"/>
      <c r="AF61" s="670"/>
      <c r="AG61" s="670"/>
      <c r="AH61" s="670"/>
      <c r="AI61" s="670"/>
      <c r="AJ61" s="670"/>
      <c r="AK61" s="670"/>
      <c r="AL61" s="670"/>
      <c r="AM61" s="669"/>
      <c r="AN61" s="669"/>
      <c r="AO61" s="669"/>
      <c r="AP61" s="669"/>
      <c r="AQ61" s="669"/>
      <c r="AR61" s="669"/>
      <c r="AS61" s="669"/>
      <c r="AT61" s="669"/>
      <c r="AU61" s="669"/>
      <c r="AV61" s="669"/>
      <c r="AW61" s="669"/>
      <c r="AX61" s="669"/>
      <c r="AY61" s="669"/>
      <c r="AZ61" s="669"/>
      <c r="BA61" s="670"/>
      <c r="BB61" s="670"/>
      <c r="BC61" s="670"/>
      <c r="BD61" s="670"/>
      <c r="BE61" s="670"/>
      <c r="BF61" s="670"/>
      <c r="BG61" s="670"/>
      <c r="BH61" s="670"/>
      <c r="BI61" s="670"/>
      <c r="BJ61" s="670"/>
      <c r="BK61" s="670"/>
      <c r="BL61" s="670"/>
      <c r="BM61" s="670"/>
      <c r="BN61" s="670"/>
      <c r="BO61" s="670"/>
      <c r="BP61" s="670"/>
      <c r="BQ61" s="670"/>
      <c r="BR61" s="670"/>
      <c r="BS61" s="670"/>
      <c r="BT61" s="639" t="s">
        <v>2059</v>
      </c>
      <c r="CH61" s="411">
        <f>IF(RRImmédiat!$G61&gt;1.2,1,0)</f>
        <v>0</v>
      </c>
    </row>
    <row r="62" spans="1:89">
      <c r="A62" s="419" t="s">
        <v>1156</v>
      </c>
      <c r="B62" s="651" t="str">
        <f>AUTOQUESTIONNAIRE!D62</f>
        <v>Avez-vous été vacciné(e) contre la grippe cette année ou l’année dernière ? (non=0, oui=1)</v>
      </c>
      <c r="C62" s="401">
        <f>AUTOQUESTIONNAIRE!G62</f>
        <v>1</v>
      </c>
      <c r="F62" s="669"/>
      <c r="G62" s="669"/>
      <c r="H62" s="669"/>
      <c r="I62" s="669"/>
      <c r="J62" s="669"/>
      <c r="K62" s="669"/>
      <c r="L62" s="669"/>
      <c r="M62" s="669"/>
      <c r="N62" s="669"/>
      <c r="O62" s="669"/>
      <c r="P62" s="669"/>
      <c r="Q62" s="669"/>
      <c r="R62" s="669"/>
      <c r="S62" s="669"/>
      <c r="T62" s="669"/>
      <c r="U62" s="669"/>
      <c r="V62" s="669"/>
      <c r="W62" s="669"/>
      <c r="X62" s="669"/>
      <c r="Y62" s="669"/>
      <c r="Z62" s="669"/>
      <c r="AA62" s="669"/>
      <c r="AB62" s="670"/>
      <c r="AC62" s="670"/>
      <c r="AD62" s="670"/>
      <c r="AE62" s="670"/>
      <c r="AF62" s="670"/>
      <c r="AG62" s="670"/>
      <c r="AH62" s="670"/>
      <c r="AI62" s="670"/>
      <c r="AJ62" s="670"/>
      <c r="AK62" s="670"/>
      <c r="AL62" s="670"/>
      <c r="AM62" s="669"/>
      <c r="AN62" s="669"/>
      <c r="AO62" s="669"/>
      <c r="AP62" s="669"/>
      <c r="AQ62" s="669"/>
      <c r="AR62" s="669"/>
      <c r="AS62" s="669"/>
      <c r="AT62" s="669"/>
      <c r="AU62" s="669"/>
      <c r="AV62" s="669"/>
      <c r="AW62" s="669"/>
      <c r="AX62" s="669"/>
      <c r="AY62" s="669"/>
      <c r="AZ62" s="669"/>
      <c r="BA62" s="670"/>
      <c r="BB62" s="670"/>
      <c r="BC62" s="670"/>
      <c r="BD62" s="669">
        <f>$C62</f>
        <v>1</v>
      </c>
      <c r="BE62" s="669"/>
      <c r="BF62" s="669"/>
      <c r="BG62" s="670"/>
      <c r="BH62" s="670"/>
      <c r="BI62" s="670"/>
      <c r="BJ62" s="670"/>
      <c r="BK62" s="670"/>
      <c r="BL62" s="670"/>
      <c r="BM62" s="670"/>
      <c r="BN62" s="670"/>
      <c r="BO62" s="670"/>
      <c r="BP62" s="670"/>
      <c r="BQ62" s="670"/>
      <c r="BR62" s="670"/>
      <c r="BS62" s="670"/>
      <c r="BT62" s="639" t="s">
        <v>800</v>
      </c>
      <c r="CK62" s="411">
        <f>IF(RRImmédiat!$G62&gt;1.2,1,0)</f>
        <v>0</v>
      </c>
    </row>
    <row r="63" spans="1:89">
      <c r="A63" s="419" t="s">
        <v>1156</v>
      </c>
      <c r="B63" s="651" t="str">
        <f>AUTOQUESTIONNAIRE!D63</f>
        <v>Avez-vous reçu le vaccin contre le zona ?  (oui=1, non=0, ne sais pas=2)</v>
      </c>
      <c r="C63" s="401">
        <f>AUTOQUESTIONNAIRE!G63</f>
        <v>1</v>
      </c>
      <c r="F63" s="669"/>
      <c r="G63" s="669"/>
      <c r="H63" s="669"/>
      <c r="I63" s="669"/>
      <c r="J63" s="669"/>
      <c r="K63" s="669"/>
      <c r="L63" s="669"/>
      <c r="M63" s="669"/>
      <c r="N63" s="669"/>
      <c r="O63" s="669"/>
      <c r="P63" s="669"/>
      <c r="Q63" s="669"/>
      <c r="R63" s="669"/>
      <c r="S63" s="669"/>
      <c r="T63" s="669"/>
      <c r="U63" s="669"/>
      <c r="V63" s="669"/>
      <c r="W63" s="669"/>
      <c r="X63" s="669"/>
      <c r="Y63" s="669"/>
      <c r="Z63" s="669"/>
      <c r="AA63" s="669"/>
      <c r="AB63" s="670"/>
      <c r="AC63" s="670"/>
      <c r="AD63" s="670"/>
      <c r="AE63" s="670"/>
      <c r="AF63" s="670"/>
      <c r="AG63" s="670"/>
      <c r="AH63" s="670"/>
      <c r="AI63" s="670"/>
      <c r="AJ63" s="670"/>
      <c r="AK63" s="670"/>
      <c r="AL63" s="670"/>
      <c r="AM63" s="669"/>
      <c r="AN63" s="669"/>
      <c r="AO63" s="669"/>
      <c r="AP63" s="669"/>
      <c r="AQ63" s="669"/>
      <c r="AR63" s="669"/>
      <c r="AS63" s="669"/>
      <c r="AT63" s="669"/>
      <c r="AU63" s="669"/>
      <c r="AV63" s="669"/>
      <c r="AW63" s="669"/>
      <c r="AX63" s="669"/>
      <c r="AY63" s="669"/>
      <c r="AZ63" s="669"/>
      <c r="BA63" s="670"/>
      <c r="BB63" s="669">
        <f>$C63</f>
        <v>1</v>
      </c>
      <c r="BC63" s="670"/>
      <c r="BD63" s="670"/>
      <c r="BE63" s="670"/>
      <c r="BF63" s="670"/>
      <c r="BG63" s="670"/>
      <c r="BH63" s="670"/>
      <c r="BI63" s="670"/>
      <c r="BJ63" s="670"/>
      <c r="BK63" s="670"/>
      <c r="BL63" s="670"/>
      <c r="BM63" s="670"/>
      <c r="BN63" s="670"/>
      <c r="BO63" s="670"/>
      <c r="BP63" s="670"/>
      <c r="BQ63" s="670"/>
      <c r="BR63" s="670"/>
      <c r="BS63" s="670"/>
      <c r="BT63" s="639" t="s">
        <v>2060</v>
      </c>
      <c r="CK63" s="411">
        <f>IF(RRImmédiat!$G61&gt;1.2,1,0)</f>
        <v>0</v>
      </c>
    </row>
    <row r="64" spans="1:89">
      <c r="A64" s="419" t="s">
        <v>1156</v>
      </c>
      <c r="B64" s="651" t="str">
        <f>AUTOQUESTIONNAIRE!D64</f>
        <v>Êtes-vous à jour dans vos vaccinations et rappels contre le tétanos (un rappel est recommandé tous les 10 ans) ?  (oui=1, non=0, ne sais pas=2)</v>
      </c>
      <c r="C64" s="401">
        <f>AUTOQUESTIONNAIRE!G64</f>
        <v>0</v>
      </c>
      <c r="F64" s="669"/>
      <c r="G64" s="669"/>
      <c r="H64" s="669"/>
      <c r="I64" s="669"/>
      <c r="J64" s="669"/>
      <c r="K64" s="669"/>
      <c r="L64" s="669"/>
      <c r="M64" s="669"/>
      <c r="N64" s="669"/>
      <c r="O64" s="669"/>
      <c r="P64" s="669"/>
      <c r="Q64" s="669"/>
      <c r="R64" s="669"/>
      <c r="S64" s="669"/>
      <c r="T64" s="669"/>
      <c r="U64" s="669"/>
      <c r="V64" s="669"/>
      <c r="W64" s="669"/>
      <c r="X64" s="669"/>
      <c r="Y64" s="669"/>
      <c r="Z64" s="669"/>
      <c r="AA64" s="669"/>
      <c r="AB64" s="670"/>
      <c r="AC64" s="670"/>
      <c r="AD64" s="670"/>
      <c r="AE64" s="670"/>
      <c r="AF64" s="670"/>
      <c r="AG64" s="670"/>
      <c r="AH64" s="670"/>
      <c r="AI64" s="670"/>
      <c r="AJ64" s="670"/>
      <c r="AK64" s="670"/>
      <c r="AL64" s="670"/>
      <c r="AM64" s="669"/>
      <c r="AN64" s="669"/>
      <c r="AO64" s="669"/>
      <c r="AP64" s="669"/>
      <c r="AQ64" s="669"/>
      <c r="AR64" s="669"/>
      <c r="AS64" s="669"/>
      <c r="AT64" s="669"/>
      <c r="AU64" s="669"/>
      <c r="AV64" s="669"/>
      <c r="AW64" s="669"/>
      <c r="AX64" s="669"/>
      <c r="AY64" s="669"/>
      <c r="AZ64" s="669"/>
      <c r="BA64" s="670"/>
      <c r="BB64" s="670"/>
      <c r="BC64" s="669">
        <f>$C64</f>
        <v>0</v>
      </c>
      <c r="BD64" s="670"/>
      <c r="BE64" s="670"/>
      <c r="BF64" s="670"/>
      <c r="BG64" s="670"/>
      <c r="BH64" s="670"/>
      <c r="BI64" s="670"/>
      <c r="BJ64" s="670"/>
      <c r="BK64" s="670"/>
      <c r="BL64" s="670"/>
      <c r="BM64" s="670"/>
      <c r="BN64" s="670"/>
      <c r="BO64" s="670"/>
      <c r="BP64" s="670"/>
      <c r="BQ64" s="670"/>
      <c r="BR64" s="670"/>
      <c r="BS64" s="670"/>
      <c r="BT64" s="639" t="s">
        <v>2064</v>
      </c>
    </row>
    <row r="65" spans="1:83">
      <c r="A65" s="419" t="s">
        <v>1156</v>
      </c>
      <c r="B65" s="651" t="str">
        <f>AUTOQUESTIONNAIRE!D65</f>
        <v>Avez-vous consulté un gynécologue ou un urologue au cours des 12 derniers mois ? (non=0, oui=1)</v>
      </c>
      <c r="C65" s="401">
        <f>AUTOQUESTIONNAIRE!G65</f>
        <v>0</v>
      </c>
      <c r="F65" s="669"/>
      <c r="G65" s="669"/>
      <c r="H65" s="669"/>
      <c r="I65" s="669"/>
      <c r="J65" s="669"/>
      <c r="K65" s="669"/>
      <c r="L65" s="669"/>
      <c r="M65" s="669"/>
      <c r="N65" s="669"/>
      <c r="O65" s="669"/>
      <c r="P65" s="669"/>
      <c r="Q65" s="669"/>
      <c r="R65" s="669"/>
      <c r="S65" s="669"/>
      <c r="T65" s="669"/>
      <c r="U65" s="669"/>
      <c r="V65" s="669"/>
      <c r="W65" s="669"/>
      <c r="X65" s="669"/>
      <c r="Y65" s="669"/>
      <c r="Z65" s="669"/>
      <c r="AA65" s="669"/>
      <c r="AB65" s="670"/>
      <c r="AC65" s="670"/>
      <c r="AD65" s="670"/>
      <c r="AE65" s="670"/>
      <c r="AF65" s="670"/>
      <c r="AG65" s="670"/>
      <c r="AH65" s="670"/>
      <c r="AI65" s="670"/>
      <c r="AJ65" s="670"/>
      <c r="AK65" s="670"/>
      <c r="AL65" s="670"/>
      <c r="AM65" s="669"/>
      <c r="AN65" s="669"/>
      <c r="AO65" s="669"/>
      <c r="AP65" s="669">
        <f>C65</f>
        <v>0</v>
      </c>
      <c r="AQ65" s="669"/>
      <c r="AR65" s="669"/>
      <c r="AS65" s="669"/>
      <c r="AT65" s="669"/>
      <c r="AU65" s="669"/>
      <c r="AV65" s="669"/>
      <c r="AW65" s="669"/>
      <c r="AX65" s="669"/>
      <c r="AY65" s="669"/>
      <c r="AZ65" s="669"/>
      <c r="BA65" s="670"/>
      <c r="BB65" s="670"/>
      <c r="BC65" s="670"/>
      <c r="BD65" s="670"/>
      <c r="BE65" s="670"/>
      <c r="BF65" s="670"/>
      <c r="BG65" s="670"/>
      <c r="BH65" s="670"/>
      <c r="BI65" s="670"/>
      <c r="BJ65" s="670"/>
      <c r="BK65" s="670"/>
      <c r="BL65" s="670"/>
      <c r="BM65" s="670"/>
      <c r="BN65" s="670"/>
      <c r="BO65" s="670"/>
      <c r="BP65" s="670"/>
      <c r="BQ65" s="670"/>
      <c r="BR65" s="670"/>
      <c r="BS65" s="670"/>
      <c r="BT65" s="639" t="s">
        <v>2063</v>
      </c>
    </row>
    <row r="66" spans="1:83">
      <c r="A66" s="419" t="s">
        <v>1156</v>
      </c>
      <c r="B66" s="651" t="str">
        <f>AUTOQUESTIONNAIRE!D66</f>
        <v>Avez-vous été vacciné(e) contre l’hépatite B ?  (oui=1, non=0, ne sais pas=2)</v>
      </c>
      <c r="C66" s="401">
        <f>AUTOQUESTIONNAIRE!G66</f>
        <v>0</v>
      </c>
      <c r="F66" s="445"/>
      <c r="G66" s="445"/>
      <c r="H66" s="445"/>
      <c r="I66" s="445"/>
      <c r="J66" s="445"/>
      <c r="K66" s="445"/>
      <c r="L66" s="445"/>
      <c r="M66" s="445"/>
      <c r="N66" s="445"/>
      <c r="O66" s="445"/>
      <c r="P66" s="445"/>
      <c r="Q66" s="445"/>
      <c r="R66" s="445"/>
      <c r="S66" s="445"/>
      <c r="T66" s="445"/>
      <c r="U66" s="445"/>
      <c r="V66" s="445"/>
      <c r="W66" s="445"/>
      <c r="X66" s="445"/>
      <c r="Y66" s="445"/>
      <c r="Z66" s="445"/>
      <c r="AA66" s="445"/>
      <c r="BH66" s="669">
        <f t="shared" ref="BF66:BH67" si="24">$C66</f>
        <v>0</v>
      </c>
    </row>
    <row r="67" spans="1:83">
      <c r="A67" s="419" t="s">
        <v>1156</v>
      </c>
      <c r="B67" s="651" t="str">
        <f>AUTOQUESTIONNAIRE!D67</f>
        <v>Etes vous vacciné contre la COVID 19 l'an dernier ?  (oui=1, non=0)</v>
      </c>
      <c r="C67" s="401">
        <f>AUTOQUESTIONNAIRE!G67</f>
        <v>0</v>
      </c>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671"/>
      <c r="AJ67" s="671"/>
      <c r="AK67" s="671"/>
      <c r="AL67" s="671"/>
      <c r="AM67" s="672"/>
      <c r="AN67" s="672"/>
      <c r="AO67" s="672"/>
      <c r="AP67" s="672"/>
      <c r="AQ67" s="672"/>
      <c r="AR67" s="672"/>
      <c r="AS67" s="672"/>
      <c r="AT67" s="672"/>
      <c r="AU67" s="672"/>
      <c r="AV67" s="672"/>
      <c r="AW67" s="672"/>
      <c r="AX67" s="673"/>
      <c r="AY67" s="673"/>
      <c r="AZ67" s="673"/>
      <c r="BA67" s="673"/>
      <c r="BB67" s="674"/>
      <c r="BC67" s="674"/>
      <c r="BD67" s="674"/>
      <c r="BE67" s="674"/>
      <c r="BF67" s="669">
        <f t="shared" si="24"/>
        <v>0</v>
      </c>
      <c r="BG67" s="674"/>
      <c r="BH67" s="674"/>
      <c r="BI67" s="674"/>
      <c r="BJ67" s="674"/>
      <c r="BK67" s="674"/>
      <c r="BL67" s="674"/>
      <c r="BM67" s="674"/>
      <c r="BN67" s="444"/>
      <c r="BO67" s="444"/>
      <c r="BP67" s="444"/>
      <c r="BQ67" s="444"/>
      <c r="BR67" s="444"/>
      <c r="BS67" s="444"/>
      <c r="BU67" s="834"/>
      <c r="BV67" s="834"/>
      <c r="BW67" s="834"/>
      <c r="BX67" s="834"/>
      <c r="BY67" s="834"/>
      <c r="BZ67" s="834"/>
      <c r="CA67" s="834"/>
      <c r="CB67" s="834"/>
      <c r="CC67" s="834"/>
      <c r="CD67" s="834"/>
      <c r="CE67" s="834"/>
    </row>
    <row r="68" spans="1:83">
      <c r="A68" s="403" t="s">
        <v>1047</v>
      </c>
      <c r="B68" s="652" t="str">
        <f>AUTOQUESTIONNAIRE!D68</f>
        <v>Fumez-vous des cigarettes, des cigares ou la pipe ?
(Non-fumeur·se "0" // Fumeur·se actuel·le ou ancien·ne  fumeur·se depuis moins de 5 ans "1" // Ancien·ne fumeur·se depuis plus de 5 ans "0")</v>
      </c>
      <c r="C68" s="401">
        <f>AUTOQUESTIONNAIRE!H68</f>
        <v>0</v>
      </c>
      <c r="F68" s="445">
        <f t="shared" ref="F68:AB79" si="25">$C68</f>
        <v>0</v>
      </c>
      <c r="G68" s="445"/>
      <c r="H68" s="445">
        <f t="shared" si="25"/>
        <v>0</v>
      </c>
      <c r="I68" s="445">
        <f t="shared" si="25"/>
        <v>0</v>
      </c>
      <c r="J68" s="445">
        <f t="shared" si="25"/>
        <v>0</v>
      </c>
      <c r="K68" s="445">
        <f t="shared" si="25"/>
        <v>0</v>
      </c>
      <c r="L68" s="445">
        <f t="shared" si="25"/>
        <v>0</v>
      </c>
      <c r="M68" s="445">
        <f t="shared" si="25"/>
        <v>0</v>
      </c>
      <c r="N68" s="445">
        <f t="shared" si="25"/>
        <v>0</v>
      </c>
      <c r="O68" s="445">
        <f t="shared" si="25"/>
        <v>0</v>
      </c>
      <c r="P68" s="445">
        <f t="shared" si="25"/>
        <v>0</v>
      </c>
      <c r="Q68" s="445">
        <f t="shared" si="25"/>
        <v>0</v>
      </c>
      <c r="R68" s="445">
        <f t="shared" si="25"/>
        <v>0</v>
      </c>
      <c r="S68" s="445">
        <f t="shared" si="25"/>
        <v>0</v>
      </c>
      <c r="T68" s="445"/>
      <c r="U68" s="445">
        <f t="shared" si="25"/>
        <v>0</v>
      </c>
      <c r="V68" s="445">
        <f t="shared" si="25"/>
        <v>0</v>
      </c>
      <c r="W68" s="445">
        <f t="shared" si="25"/>
        <v>0</v>
      </c>
      <c r="X68" s="445">
        <f t="shared" si="25"/>
        <v>0</v>
      </c>
      <c r="Y68" s="445"/>
      <c r="Z68" s="445">
        <f t="shared" si="25"/>
        <v>0</v>
      </c>
      <c r="AA68" s="445">
        <f t="shared" si="5"/>
        <v>0</v>
      </c>
      <c r="AB68" s="445">
        <f t="shared" si="25"/>
        <v>0</v>
      </c>
      <c r="AC68" s="445"/>
      <c r="AD68" s="445"/>
      <c r="AE68" s="445"/>
      <c r="AI68" s="675"/>
      <c r="AJ68" s="445">
        <f t="shared" ref="AJ68" si="26">$C68</f>
        <v>0</v>
      </c>
      <c r="BQ68" s="445">
        <f t="shared" ref="BQ68" si="27">$C68</f>
        <v>0</v>
      </c>
    </row>
    <row r="69" spans="1:83">
      <c r="A69" s="403" t="s">
        <v>1047</v>
      </c>
      <c r="B69" s="652"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0</v>
      </c>
      <c r="F69" s="445">
        <f t="shared" si="25"/>
        <v>0</v>
      </c>
      <c r="G69" s="445"/>
      <c r="H69" s="445"/>
      <c r="I69" s="445">
        <f t="shared" si="25"/>
        <v>0</v>
      </c>
      <c r="J69" s="445">
        <f t="shared" si="25"/>
        <v>0</v>
      </c>
      <c r="K69" s="445">
        <f t="shared" si="25"/>
        <v>0</v>
      </c>
      <c r="L69" s="445">
        <f t="shared" si="25"/>
        <v>0</v>
      </c>
      <c r="M69" s="445">
        <f t="shared" si="25"/>
        <v>0</v>
      </c>
      <c r="N69" s="445">
        <f t="shared" si="25"/>
        <v>0</v>
      </c>
      <c r="O69" s="445">
        <f t="shared" si="25"/>
        <v>0</v>
      </c>
      <c r="P69" s="445">
        <f t="shared" si="25"/>
        <v>0</v>
      </c>
      <c r="Q69" s="445">
        <f t="shared" si="25"/>
        <v>0</v>
      </c>
      <c r="R69" s="445">
        <f t="shared" si="25"/>
        <v>0</v>
      </c>
      <c r="S69" s="445">
        <f t="shared" si="25"/>
        <v>0</v>
      </c>
      <c r="T69" s="445"/>
      <c r="U69" s="445"/>
      <c r="V69" s="445">
        <f t="shared" si="25"/>
        <v>0</v>
      </c>
      <c r="W69" s="445"/>
      <c r="X69" s="445">
        <f t="shared" si="25"/>
        <v>0</v>
      </c>
      <c r="Y69" s="445"/>
      <c r="Z69" s="445">
        <f t="shared" si="25"/>
        <v>0</v>
      </c>
      <c r="AA69" s="445">
        <f t="shared" si="5"/>
        <v>0</v>
      </c>
      <c r="AB69" s="445">
        <f t="shared" si="25"/>
        <v>0</v>
      </c>
      <c r="AC69" s="445"/>
      <c r="AD69" s="445"/>
      <c r="AE69" s="445"/>
      <c r="AI69" s="675"/>
    </row>
    <row r="70" spans="1:83">
      <c r="A70" s="403" t="s">
        <v>1047</v>
      </c>
      <c r="B70" s="652" t="str">
        <f>AUTOQUESTIONNAIRE!D70</f>
        <v>Votre logement est-il humide ou affecté par des moisissures ? (non=0, oui=1)</v>
      </c>
      <c r="C70" s="401">
        <f>AUTOQUESTIONNAIRE!H70</f>
        <v>0</v>
      </c>
      <c r="F70" s="445">
        <f t="shared" si="25"/>
        <v>0</v>
      </c>
      <c r="G70" s="445"/>
      <c r="H70" s="445"/>
      <c r="I70" s="445">
        <f t="shared" si="25"/>
        <v>0</v>
      </c>
      <c r="J70" s="445"/>
      <c r="K70" s="445"/>
      <c r="L70" s="445"/>
      <c r="M70" s="445"/>
      <c r="N70" s="445"/>
      <c r="O70" s="445"/>
      <c r="P70" s="445"/>
      <c r="Q70" s="445"/>
      <c r="R70" s="445"/>
      <c r="S70" s="445"/>
      <c r="T70" s="445"/>
      <c r="U70" s="445"/>
      <c r="V70" s="445"/>
      <c r="W70" s="445"/>
      <c r="X70" s="445"/>
      <c r="Y70" s="445"/>
      <c r="Z70" s="445">
        <f t="shared" si="25"/>
        <v>0</v>
      </c>
      <c r="AA70" s="445"/>
      <c r="AB70" s="445"/>
      <c r="AC70" s="445"/>
      <c r="AD70" s="445"/>
      <c r="AE70" s="445"/>
      <c r="AI70" s="675"/>
    </row>
    <row r="71" spans="1:83">
      <c r="A71" s="403" t="s">
        <v>1047</v>
      </c>
      <c r="B71" s="652" t="str">
        <f>AUTOQUESTIONNAIRE!D71</f>
        <v>Consommez-vous régulièrement plus d’un demi verre de vin ou plus de deux bières par jour ? (non=0, oui=1)</v>
      </c>
      <c r="C71" s="401">
        <f>AUTOQUESTIONNAIRE!H71</f>
        <v>0</v>
      </c>
      <c r="F71" s="445">
        <f t="shared" si="25"/>
        <v>0</v>
      </c>
      <c r="G71" s="445"/>
      <c r="H71" s="445">
        <f t="shared" si="25"/>
        <v>0</v>
      </c>
      <c r="I71" s="445">
        <f t="shared" si="25"/>
        <v>0</v>
      </c>
      <c r="J71" s="445">
        <f t="shared" si="25"/>
        <v>0</v>
      </c>
      <c r="K71" s="445">
        <f t="shared" si="25"/>
        <v>0</v>
      </c>
      <c r="L71" s="445">
        <f t="shared" si="25"/>
        <v>0</v>
      </c>
      <c r="M71" s="445">
        <f t="shared" si="25"/>
        <v>0</v>
      </c>
      <c r="N71" s="445">
        <f t="shared" si="25"/>
        <v>0</v>
      </c>
      <c r="O71" s="445">
        <f t="shared" si="25"/>
        <v>0</v>
      </c>
      <c r="P71" s="445">
        <f t="shared" si="25"/>
        <v>0</v>
      </c>
      <c r="Q71" s="445">
        <f t="shared" si="25"/>
        <v>0</v>
      </c>
      <c r="R71" s="445">
        <f t="shared" si="25"/>
        <v>0</v>
      </c>
      <c r="S71" s="445">
        <f t="shared" si="25"/>
        <v>0</v>
      </c>
      <c r="T71" s="445"/>
      <c r="U71" s="445"/>
      <c r="V71" s="445">
        <f t="shared" si="25"/>
        <v>0</v>
      </c>
      <c r="W71" s="445"/>
      <c r="X71" s="445"/>
      <c r="Y71" s="445"/>
      <c r="Z71" s="445"/>
      <c r="AA71" s="445">
        <f t="shared" si="5"/>
        <v>0</v>
      </c>
      <c r="AB71" s="445">
        <f t="shared" si="25"/>
        <v>0</v>
      </c>
      <c r="AC71" s="445"/>
      <c r="AD71" s="445"/>
      <c r="AE71" s="445"/>
      <c r="AF71" s="445">
        <f t="shared" ref="AF71" si="28">$C71</f>
        <v>0</v>
      </c>
      <c r="AI71" s="675"/>
    </row>
    <row r="72" spans="1:83">
      <c r="A72" s="403" t="s">
        <v>1047</v>
      </c>
      <c r="B72" s="652" t="str">
        <f>AUTOQUESTIONNAIRE!D72</f>
        <v>Pratiquez-vous une activité physique (par ex. : sport, marche rapide) pendant plus de 30 minutes, plus de deux fois par semaine, ou bien marchez-vous en moyenne plus de 8 000 pas par jour ? (non=0, oui=1)</v>
      </c>
      <c r="C72" s="401">
        <f>AUTOQUESTIONNAIRE!H72</f>
        <v>0</v>
      </c>
      <c r="F72" s="445"/>
      <c r="G72" s="445"/>
      <c r="H72" s="445"/>
      <c r="I72" s="445"/>
      <c r="J72" s="445"/>
      <c r="K72" s="445"/>
      <c r="L72" s="445"/>
      <c r="M72" s="445"/>
      <c r="N72" s="445"/>
      <c r="O72" s="445"/>
      <c r="P72" s="445"/>
      <c r="Q72" s="445"/>
      <c r="R72" s="445"/>
      <c r="S72" s="445"/>
      <c r="T72" s="445"/>
      <c r="U72" s="445"/>
      <c r="V72" s="445"/>
      <c r="W72" s="445"/>
      <c r="X72" s="445"/>
      <c r="Y72" s="445"/>
      <c r="Z72" s="445"/>
      <c r="AA72" s="445"/>
      <c r="AB72" s="445"/>
      <c r="AC72" s="445"/>
      <c r="AD72" s="445"/>
      <c r="AE72" s="445"/>
      <c r="AI72" s="675"/>
    </row>
    <row r="73" spans="1:83">
      <c r="A73" s="403" t="s">
        <v>1047</v>
      </c>
      <c r="B73" s="652"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445"/>
      <c r="Z73" s="445"/>
      <c r="AA73" s="445"/>
      <c r="AB73" s="445"/>
      <c r="AC73" s="445"/>
      <c r="AD73" s="445"/>
      <c r="AE73" s="445"/>
      <c r="AI73" s="675"/>
    </row>
    <row r="74" spans="1:83">
      <c r="A74" s="403" t="s">
        <v>1047</v>
      </c>
      <c r="B74" s="652" t="str">
        <f>AUTOQUESTIONNAIRE!D74</f>
        <v>Au cours des 12 derniers mois, avez-vous consommé des substances récréatives telles que du cannabis (haschisch, marijuana, weed, joints) ou d’autres drogues (par ex. : ecstasy, cocaïne, héroïne) ? (non=0, oui=1)</v>
      </c>
      <c r="C74" s="401">
        <f>AUTOQUESTIONNAIRE!H74</f>
        <v>0</v>
      </c>
      <c r="F74" s="445">
        <f t="shared" ref="F74:Z79" si="29">$C74</f>
        <v>0</v>
      </c>
      <c r="G74" s="445"/>
      <c r="H74" s="445"/>
      <c r="I74" s="445">
        <f t="shared" si="29"/>
        <v>0</v>
      </c>
      <c r="J74" s="445"/>
      <c r="K74" s="445"/>
      <c r="L74" s="445"/>
      <c r="M74" s="445"/>
      <c r="N74" s="445"/>
      <c r="O74" s="445"/>
      <c r="P74" s="445"/>
      <c r="Q74" s="445"/>
      <c r="R74" s="445"/>
      <c r="S74" s="445"/>
      <c r="T74" s="445"/>
      <c r="U74" s="445"/>
      <c r="V74" s="445"/>
      <c r="W74" s="445"/>
      <c r="X74" s="445">
        <f t="shared" si="25"/>
        <v>0</v>
      </c>
      <c r="Y74" s="445"/>
      <c r="Z74" s="445"/>
      <c r="AA74" s="445">
        <f t="shared" si="5"/>
        <v>0</v>
      </c>
      <c r="AB74" s="445">
        <f t="shared" si="25"/>
        <v>0</v>
      </c>
      <c r="AC74" s="445"/>
      <c r="AD74" s="445"/>
      <c r="AE74" s="445"/>
      <c r="AG74" s="445">
        <f t="shared" ref="AG74" si="30">$C74</f>
        <v>0</v>
      </c>
      <c r="AI74" s="675"/>
      <c r="AJ74" s="445">
        <f t="shared" ref="AJ74:AJ75" si="31">$C74</f>
        <v>0</v>
      </c>
    </row>
    <row r="75" spans="1:83">
      <c r="A75" s="403" t="s">
        <v>1047</v>
      </c>
      <c r="B75" s="652" t="str">
        <f>AUTOQUESTIONNAIRE!D75</f>
        <v>Au cours des 12 derniers mois, avez-vous misé de l’argent dans des jeux d’argent (par ex. : loto, poker, paris sportifs, courses hippiques) ? (non=0, oui=1)</v>
      </c>
      <c r="C75" s="401">
        <f>AUTOQUESTIONNAIRE!H75</f>
        <v>0</v>
      </c>
      <c r="F75" s="445"/>
      <c r="G75" s="445"/>
      <c r="H75" s="445"/>
      <c r="I75" s="445"/>
      <c r="J75" s="445"/>
      <c r="K75" s="445"/>
      <c r="L75" s="445"/>
      <c r="M75" s="445"/>
      <c r="N75" s="445"/>
      <c r="O75" s="445"/>
      <c r="P75" s="445"/>
      <c r="Q75" s="445"/>
      <c r="R75" s="445"/>
      <c r="S75" s="445"/>
      <c r="T75" s="445"/>
      <c r="U75" s="445"/>
      <c r="V75" s="445"/>
      <c r="W75" s="445"/>
      <c r="X75" s="445"/>
      <c r="Y75" s="445"/>
      <c r="Z75" s="445"/>
      <c r="AA75" s="445"/>
      <c r="AB75" s="445"/>
      <c r="AC75" s="445"/>
      <c r="AD75" s="445"/>
      <c r="AE75" s="445"/>
      <c r="AI75" s="675"/>
      <c r="AJ75" s="445">
        <f t="shared" si="31"/>
        <v>0</v>
      </c>
    </row>
    <row r="76" spans="1:83">
      <c r="A76" s="403" t="s">
        <v>1047</v>
      </c>
      <c r="B76" s="652" t="str">
        <f>AUTOQUESTIONNAIRE!D76</f>
        <v>Souhaitez-vous aborder votre sexualité ? (non=0, oui=1)</v>
      </c>
      <c r="C76" s="401">
        <f>AUTOQUESTIONNAIRE!H76</f>
        <v>0</v>
      </c>
      <c r="F76" s="445"/>
      <c r="G76" s="445"/>
      <c r="H76" s="445"/>
      <c r="I76" s="445"/>
      <c r="J76" s="445"/>
      <c r="K76" s="445"/>
      <c r="L76" s="445"/>
      <c r="M76" s="445"/>
      <c r="N76" s="445"/>
      <c r="O76" s="445"/>
      <c r="P76" s="445"/>
      <c r="Q76" s="445"/>
      <c r="R76" s="445"/>
      <c r="S76" s="445"/>
      <c r="T76" s="445"/>
      <c r="U76" s="445"/>
      <c r="V76" s="445"/>
      <c r="W76" s="445"/>
      <c r="X76" s="445"/>
      <c r="Y76" s="445"/>
      <c r="Z76" s="445"/>
      <c r="AA76" s="445"/>
      <c r="AB76" s="445"/>
      <c r="AC76" s="445"/>
      <c r="AD76" s="445"/>
      <c r="AE76" s="445"/>
      <c r="AI76" s="675"/>
    </row>
    <row r="77" spans="1:83">
      <c r="A77" s="403" t="s">
        <v>1047</v>
      </c>
      <c r="B77" s="652" t="str">
        <f>AUTOQUESTIONNAIRE!D77</f>
        <v>Avez-vous eu plus d’un·e partenaire sexuel·le au cours des 12 derniers mois ? (non=0, oui=1)</v>
      </c>
      <c r="C77" s="401">
        <f>AUTOQUESTIONNAIRE!H77</f>
        <v>1</v>
      </c>
      <c r="F77" s="445">
        <f t="shared" si="29"/>
        <v>1</v>
      </c>
      <c r="G77" s="445"/>
      <c r="H77" s="445"/>
      <c r="I77" s="445">
        <f t="shared" si="29"/>
        <v>1</v>
      </c>
      <c r="J77" s="445"/>
      <c r="K77" s="445"/>
      <c r="L77" s="445"/>
      <c r="M77" s="445"/>
      <c r="N77" s="445"/>
      <c r="O77" s="445"/>
      <c r="P77" s="445"/>
      <c r="Q77" s="445"/>
      <c r="R77" s="445"/>
      <c r="S77" s="445"/>
      <c r="T77" s="445"/>
      <c r="U77" s="445">
        <f t="shared" si="25"/>
        <v>1</v>
      </c>
      <c r="V77" s="445"/>
      <c r="W77" s="445"/>
      <c r="X77" s="445">
        <f t="shared" si="25"/>
        <v>1</v>
      </c>
      <c r="Y77" s="445"/>
      <c r="Z77" s="445"/>
      <c r="AA77" s="445">
        <f t="shared" si="5"/>
        <v>1</v>
      </c>
      <c r="AB77" s="445">
        <f t="shared" si="25"/>
        <v>1</v>
      </c>
      <c r="AC77" s="445"/>
      <c r="AD77" s="445"/>
      <c r="AE77" s="445"/>
      <c r="AI77" s="675"/>
    </row>
    <row r="78" spans="1:83">
      <c r="A78" s="403" t="s">
        <v>1047</v>
      </c>
      <c r="B78" s="652" t="str">
        <f>AUTOQUESTIONNAIRE!D78</f>
        <v>Votre partenaire sexuel·le a-t-il/elle été diagnostiqué·e avec une infection sexuellement transmissible (par exemple : VIH, chlamydia, gonorrhée, syphilis) au cours des 12 derniers mois ? (non=0, oui=1)</v>
      </c>
      <c r="C78" s="401">
        <f>AUTOQUESTIONNAIRE!H78</f>
        <v>1</v>
      </c>
      <c r="F78" s="445">
        <f t="shared" ref="F78:I78" si="32">$C78</f>
        <v>1</v>
      </c>
      <c r="G78" s="445"/>
      <c r="H78" s="445"/>
      <c r="I78" s="445">
        <f t="shared" si="32"/>
        <v>1</v>
      </c>
      <c r="J78" s="445"/>
      <c r="K78" s="445"/>
      <c r="L78" s="445"/>
      <c r="M78" s="445"/>
      <c r="N78" s="445"/>
      <c r="O78" s="445"/>
      <c r="P78" s="445"/>
      <c r="Q78" s="445"/>
      <c r="R78" s="445"/>
      <c r="S78" s="445"/>
      <c r="T78" s="445"/>
      <c r="U78" s="445">
        <f t="shared" si="25"/>
        <v>1</v>
      </c>
      <c r="V78" s="445"/>
      <c r="W78" s="445"/>
      <c r="X78" s="445">
        <f t="shared" si="25"/>
        <v>1</v>
      </c>
      <c r="Y78" s="445"/>
      <c r="Z78" s="445"/>
      <c r="AA78" s="445">
        <f t="shared" si="5"/>
        <v>1</v>
      </c>
      <c r="AB78" s="445">
        <f t="shared" si="25"/>
        <v>1</v>
      </c>
      <c r="AC78" s="445"/>
      <c r="AD78" s="445"/>
      <c r="AE78" s="445"/>
      <c r="AI78" s="675"/>
    </row>
    <row r="79" spans="1:83">
      <c r="A79" s="403" t="s">
        <v>1047</v>
      </c>
      <c r="B79" s="652" t="str">
        <f>AUTOQUESTIONNAIRE!D79</f>
        <v>Avez-vous vécu plus d’un an dans un pays fortement ensoleillé ? (ex. : Afrique, Moyen-Orient, DOM-TOM, sud des États-Unis, Australie, etc.) (non=0, oui=1)</v>
      </c>
      <c r="C79" s="401">
        <f>AUTOQUESTIONNAIRE!H79</f>
        <v>0</v>
      </c>
      <c r="F79" s="445"/>
      <c r="G79" s="445"/>
      <c r="H79" s="445"/>
      <c r="I79" s="445">
        <f t="shared" si="29"/>
        <v>0</v>
      </c>
      <c r="J79" s="445">
        <f t="shared" si="29"/>
        <v>0</v>
      </c>
      <c r="K79" s="445">
        <f t="shared" si="29"/>
        <v>0</v>
      </c>
      <c r="L79" s="445">
        <f t="shared" si="29"/>
        <v>0</v>
      </c>
      <c r="M79" s="445">
        <f t="shared" si="29"/>
        <v>0</v>
      </c>
      <c r="N79" s="445">
        <f t="shared" si="29"/>
        <v>0</v>
      </c>
      <c r="O79" s="445">
        <f t="shared" si="29"/>
        <v>0</v>
      </c>
      <c r="P79" s="445">
        <f t="shared" si="29"/>
        <v>0</v>
      </c>
      <c r="Q79" s="445">
        <f t="shared" si="29"/>
        <v>0</v>
      </c>
      <c r="R79" s="445">
        <f t="shared" si="29"/>
        <v>0</v>
      </c>
      <c r="S79" s="445">
        <f t="shared" si="29"/>
        <v>0</v>
      </c>
      <c r="T79" s="445"/>
      <c r="U79" s="445"/>
      <c r="V79" s="445">
        <f t="shared" si="29"/>
        <v>0</v>
      </c>
      <c r="W79" s="445"/>
      <c r="X79" s="445">
        <f t="shared" si="25"/>
        <v>0</v>
      </c>
      <c r="Y79" s="445"/>
      <c r="Z79" s="445">
        <f t="shared" si="29"/>
        <v>0</v>
      </c>
      <c r="AA79" s="445">
        <f t="shared" si="5"/>
        <v>0</v>
      </c>
      <c r="AB79" s="445">
        <f t="shared" si="25"/>
        <v>0</v>
      </c>
      <c r="AC79" s="445"/>
      <c r="AD79" s="445"/>
      <c r="AE79" s="445"/>
      <c r="AI79" s="675"/>
    </row>
    <row r="80" spans="1:83">
      <c r="A80" s="403" t="s">
        <v>1047</v>
      </c>
      <c r="B80" s="652" t="str">
        <f>AUTOQUESTIONNAIRE!D80</f>
        <v>Avez-vous plus de 20 grains de beauté au total sur les bras ? (non=0, oui=1)</v>
      </c>
      <c r="C80" s="401">
        <f>AUTOQUESTIONNAIRE!H80</f>
        <v>0</v>
      </c>
      <c r="F80" s="445"/>
      <c r="G80" s="445"/>
      <c r="H80" s="445"/>
      <c r="I80" s="445"/>
      <c r="J80" s="445"/>
      <c r="K80" s="445"/>
      <c r="L80" s="445"/>
      <c r="M80" s="445"/>
      <c r="N80" s="445"/>
      <c r="O80" s="445"/>
      <c r="P80" s="445"/>
      <c r="Q80" s="445"/>
      <c r="R80" s="445"/>
      <c r="S80" s="445"/>
      <c r="T80" s="445"/>
      <c r="U80" s="445"/>
      <c r="V80" s="445"/>
      <c r="W80" s="445"/>
      <c r="X80" s="445"/>
      <c r="Y80" s="445"/>
      <c r="Z80" s="445"/>
      <c r="AA80" s="445"/>
      <c r="AB80" s="445"/>
      <c r="AC80" s="445"/>
      <c r="AD80" s="445"/>
      <c r="AE80" s="445"/>
      <c r="AI80" s="675"/>
      <c r="AT80" s="445">
        <f>AUTOQUESTIONNAIRE!M79</f>
        <v>0</v>
      </c>
    </row>
    <row r="81" spans="1:53">
      <c r="A81" s="403" t="s">
        <v>1047</v>
      </c>
      <c r="B81" s="652" t="str">
        <f>AUTOQUESTIONNAIRE!D81</f>
        <v>Avez-vous déjà eu des coups de soleil sévères avec cloques douloureuses ? (non=0, oui=1)</v>
      </c>
      <c r="C81" s="401">
        <f>AUTOQUESTIONNAIRE!H81</f>
        <v>0</v>
      </c>
      <c r="F81" s="445"/>
      <c r="G81" s="445"/>
      <c r="H81" s="445"/>
      <c r="I81" s="445"/>
      <c r="J81" s="445"/>
      <c r="K81" s="445"/>
      <c r="L81" s="445"/>
      <c r="M81" s="445"/>
      <c r="N81" s="445"/>
      <c r="O81" s="445"/>
      <c r="P81" s="445"/>
      <c r="Q81" s="445"/>
      <c r="R81" s="445"/>
      <c r="S81" s="445"/>
      <c r="T81" s="445"/>
      <c r="U81" s="445"/>
      <c r="V81" s="445"/>
      <c r="W81" s="445"/>
      <c r="X81" s="445"/>
      <c r="Y81" s="445"/>
      <c r="Z81" s="445"/>
      <c r="AA81" s="445"/>
      <c r="AB81" s="445"/>
      <c r="AC81" s="445"/>
      <c r="AD81" s="445"/>
      <c r="AE81" s="445"/>
      <c r="AI81" s="675"/>
    </row>
    <row r="82" spans="1:53">
      <c r="A82" s="403" t="s">
        <v>1047</v>
      </c>
      <c r="B82" s="652" t="str">
        <f>AUTOQUESTIONNAIRE!D82</f>
        <v>Avez-vous la peau très claire qui bronze difficilement ou qui présente facilement des taches de rousseur ? (non=0, oui=1)</v>
      </c>
      <c r="C82" s="401">
        <f>AUTOQUESTIONNAIRE!H82</f>
        <v>0</v>
      </c>
      <c r="F82" s="445"/>
      <c r="G82" s="445"/>
      <c r="H82" s="445"/>
      <c r="I82" s="445"/>
      <c r="J82" s="445"/>
      <c r="K82" s="445"/>
      <c r="L82" s="445"/>
      <c r="M82" s="445"/>
      <c r="N82" s="445"/>
      <c r="O82" s="445"/>
      <c r="P82" s="445"/>
      <c r="Q82" s="445"/>
      <c r="R82" s="445"/>
      <c r="S82" s="445"/>
      <c r="T82" s="445"/>
      <c r="U82" s="445"/>
      <c r="V82" s="445"/>
      <c r="W82" s="445"/>
      <c r="X82" s="445"/>
      <c r="Y82" s="445"/>
      <c r="Z82" s="445"/>
      <c r="AA82" s="445"/>
      <c r="AB82" s="445"/>
      <c r="AC82" s="445"/>
      <c r="AD82" s="445"/>
      <c r="AE82" s="445"/>
      <c r="AI82" s="675"/>
    </row>
    <row r="83" spans="1:53">
      <c r="A83" s="403" t="s">
        <v>1047</v>
      </c>
      <c r="B83" s="652" t="str">
        <f>AUTOQUESTIONNAIRE!D83</f>
        <v>Suivez-vous un régime végan ? (Exclut tous les produits d’origine animale : pas de viande, poisson, produits laitiers, œufs, ni miel) (non=0, oui=1)</v>
      </c>
      <c r="C83" s="401">
        <f>AUTOQUESTIONNAIRE!H83</f>
        <v>0</v>
      </c>
      <c r="F83" s="445">
        <f t="shared" ref="F83" si="33">$C83</f>
        <v>0</v>
      </c>
      <c r="G83" s="445"/>
      <c r="H83" s="445"/>
      <c r="I83" s="445">
        <f t="shared" ref="I83" si="34">$C83</f>
        <v>0</v>
      </c>
      <c r="J83" s="445"/>
      <c r="K83" s="445"/>
      <c r="L83" s="445"/>
      <c r="M83" s="445">
        <f t="shared" ref="M83" si="35">$C83</f>
        <v>0</v>
      </c>
      <c r="N83" s="445"/>
      <c r="O83" s="445">
        <f t="shared" ref="O83" si="36">$C83</f>
        <v>0</v>
      </c>
      <c r="P83" s="445"/>
      <c r="Q83" s="445">
        <f t="shared" ref="Q83" si="37">$C83</f>
        <v>0</v>
      </c>
      <c r="R83" s="445"/>
      <c r="S83" s="445"/>
      <c r="T83" s="445"/>
      <c r="U83" s="445"/>
      <c r="V83" s="445"/>
      <c r="W83" s="445"/>
      <c r="X83" s="445"/>
      <c r="Y83" s="445"/>
      <c r="Z83" s="445"/>
      <c r="AA83" s="445"/>
      <c r="AB83" s="445"/>
      <c r="AC83" s="445"/>
      <c r="AD83" s="445"/>
      <c r="AE83" s="445">
        <f>$C83</f>
        <v>0</v>
      </c>
      <c r="AI83" s="675"/>
      <c r="AX83" s="445">
        <f t="shared" ref="AX83:AZ83" si="38">$C83</f>
        <v>0</v>
      </c>
      <c r="AY83" s="445">
        <f t="shared" si="38"/>
        <v>0</v>
      </c>
      <c r="AZ83" s="445">
        <f t="shared" si="38"/>
        <v>0</v>
      </c>
    </row>
    <row r="84" spans="1:53">
      <c r="A84" s="403" t="s">
        <v>1047</v>
      </c>
      <c r="B84" s="652" t="str">
        <f>AUTOQUESTIONNAIRE!D84</f>
        <v>Consommez-vous du porc, du bœuf, du veau, de l’agneau ou du mouton ? (0 = Une fois par mois ou jamais ; 1 = Une fois par semaine ; 2 = Plusieurs fois par semaine ; 3 = Plusieurs fois par jour)</v>
      </c>
      <c r="C84" s="401">
        <f>AUTOQUESTIONNAIRE!H84</f>
        <v>0</v>
      </c>
      <c r="F84" s="445"/>
      <c r="G84" s="445"/>
      <c r="H84" s="445"/>
      <c r="I84" s="445"/>
      <c r="J84" s="445"/>
      <c r="K84" s="445"/>
      <c r="L84" s="445"/>
      <c r="M84" s="445"/>
      <c r="N84" s="445"/>
      <c r="O84" s="445"/>
      <c r="P84" s="445"/>
      <c r="Q84" s="445"/>
      <c r="R84" s="445"/>
      <c r="S84" s="445"/>
      <c r="T84" s="445"/>
      <c r="U84" s="445"/>
      <c r="V84" s="445"/>
      <c r="W84" s="445"/>
      <c r="X84" s="445"/>
      <c r="Y84" s="445"/>
      <c r="Z84" s="445"/>
      <c r="AA84" s="445"/>
      <c r="AI84" s="675"/>
    </row>
    <row r="85" spans="1:53">
      <c r="A85" s="403" t="s">
        <v>1047</v>
      </c>
      <c r="B85" s="652" t="str">
        <f>AUTOQUESTIONNAIRE!D85</f>
        <v>À quelle fréquence consommez-vous des aliments salés (par exemple : charcuterie, chips) ? (0 = Une fois par mois ou jamais ; 1 = Une fois par semaine ; 2 = Plusieurs fois par semaine ; 3 = Plusieurs fois par jour)</v>
      </c>
      <c r="C85" s="401">
        <f>AUTOQUESTIONNAIRE!H85</f>
        <v>0</v>
      </c>
      <c r="F85" s="445"/>
      <c r="G85" s="445"/>
      <c r="H85" s="445"/>
      <c r="I85" s="445"/>
      <c r="J85" s="445"/>
      <c r="K85" s="445"/>
      <c r="L85" s="445"/>
      <c r="M85" s="445"/>
      <c r="N85" s="445"/>
      <c r="O85" s="445"/>
      <c r="P85" s="445"/>
      <c r="Q85" s="445"/>
      <c r="R85" s="445"/>
      <c r="S85" s="445"/>
      <c r="T85" s="445"/>
      <c r="U85" s="445"/>
      <c r="V85" s="445"/>
      <c r="W85" s="445"/>
      <c r="X85" s="445"/>
      <c r="Y85" s="445"/>
      <c r="Z85" s="445"/>
      <c r="AA85" s="445"/>
      <c r="AE85" s="445">
        <f>$C85</f>
        <v>0</v>
      </c>
      <c r="AI85" s="675"/>
    </row>
    <row r="86" spans="1:53">
      <c r="A86" s="403" t="s">
        <v>1047</v>
      </c>
      <c r="B86" s="652" t="str">
        <f>AUTOQUESTIONNAIRE!D86</f>
        <v>Consommez-vous des produits laitiers ? (1 portion = 1 yaourt, 1 dessert lacté ou 1 verre de lait (150 ml)) 
(0 = 0 à 1 fois par semaine 1 = 2 à 3 fois par semaine 2 = 4 à 6 fois par semaine 3 = Une fois par jour ou plus</v>
      </c>
      <c r="C86" s="401">
        <f>AUTOQUESTIONNAIRE!H86</f>
        <v>1</v>
      </c>
      <c r="F86" s="445"/>
      <c r="G86" s="445"/>
      <c r="H86" s="445"/>
      <c r="I86" s="445"/>
      <c r="J86" s="445"/>
      <c r="K86" s="445"/>
      <c r="L86" s="445"/>
      <c r="M86" s="445"/>
      <c r="N86" s="445"/>
      <c r="O86" s="445"/>
      <c r="P86" s="445"/>
      <c r="Q86" s="445"/>
      <c r="R86" s="445"/>
      <c r="S86" s="445"/>
      <c r="T86" s="445"/>
      <c r="U86" s="445"/>
      <c r="V86" s="445">
        <f>AUTOQUESTIONNAIRE!$H$86</f>
        <v>1</v>
      </c>
      <c r="W86" s="445"/>
      <c r="X86" s="445"/>
      <c r="Y86" s="445"/>
      <c r="Z86" s="445"/>
      <c r="AA86" s="445"/>
      <c r="AI86" s="675"/>
    </row>
    <row r="87" spans="1:53">
      <c r="A87" s="403" t="s">
        <v>1047</v>
      </c>
      <c r="B87" s="652" t="str">
        <f>AUTOQUESTIONNAIRE!D87</f>
        <v>Combien de temps par jour passez-vous devant un écran en dehors du travail (téléphone, télévision, ordinateur) ? 
(0 = Moins d’1 heure ; 1 = Entre 1 et 2 heures ; 2 = Entre 2 et 4 heures ; 3 = Plus de 4 heures)</v>
      </c>
      <c r="C87" s="401">
        <f>AUTOQUESTIONNAIRE!H87</f>
        <v>0</v>
      </c>
      <c r="F87" s="445"/>
      <c r="G87" s="445"/>
      <c r="H87" s="445"/>
      <c r="I87" s="445"/>
      <c r="J87" s="445"/>
      <c r="K87" s="445"/>
      <c r="L87" s="445"/>
      <c r="M87" s="445"/>
      <c r="N87" s="445"/>
      <c r="O87" s="445"/>
      <c r="P87" s="445"/>
      <c r="Q87" s="445"/>
      <c r="R87" s="445"/>
      <c r="S87" s="445"/>
      <c r="T87" s="445"/>
      <c r="U87" s="445"/>
      <c r="V87" s="445"/>
      <c r="W87" s="445"/>
      <c r="X87" s="445"/>
      <c r="Y87" s="445"/>
      <c r="Z87" s="445"/>
      <c r="AA87" s="445"/>
      <c r="AI87" s="675"/>
    </row>
    <row r="88" spans="1:53">
      <c r="A88" s="403" t="s">
        <v>1047</v>
      </c>
      <c r="B88" s="652" t="str">
        <f>AUTOQUESTIONNAIRE!D88</f>
        <v>Combien de temps par jour passez-vous assis·e ou allongé·e (hors sommeil) ? 
(0 = Moins de 2 heures ; 1 = Entre 2 et 4 heures ; 2 = Entre 4 et 7 heures ; 3 = Plus de 7 heures)</v>
      </c>
      <c r="C88" s="401">
        <f>AUTOQUESTIONNAIRE!H88</f>
        <v>0</v>
      </c>
      <c r="F88" s="445"/>
      <c r="G88" s="445"/>
      <c r="H88" s="445"/>
      <c r="I88" s="445"/>
      <c r="J88" s="445"/>
      <c r="K88" s="445"/>
      <c r="L88" s="445"/>
      <c r="M88" s="445"/>
      <c r="N88" s="445"/>
      <c r="O88" s="445"/>
      <c r="P88" s="445"/>
      <c r="Q88" s="445"/>
      <c r="R88" s="445"/>
      <c r="S88" s="445"/>
      <c r="T88" s="445"/>
      <c r="U88" s="445"/>
      <c r="V88" s="445"/>
      <c r="W88" s="445"/>
      <c r="X88" s="445"/>
      <c r="Y88" s="445"/>
      <c r="Z88" s="445"/>
      <c r="AA88" s="445"/>
      <c r="AI88" s="675"/>
    </row>
    <row r="89" spans="1:53">
      <c r="A89" s="403" t="s">
        <v>1047</v>
      </c>
      <c r="B89" s="652" t="str">
        <f>AUTOQUESTIONNAIRE!D89</f>
        <v>À quelle fréquence consommez-vous des aliments sucrés (par exemple : sodas, bonbons, pâtisseries, glaces) ? 
(0 = Une fois par mois ou jamais ; 1 = Une fois par semaine ; 2 = Plusieurs fois par semaine ; 3 = Plusieurs fois par jour)</v>
      </c>
      <c r="C89" s="401">
        <f>AUTOQUESTIONNAIRE!H89</f>
        <v>0</v>
      </c>
      <c r="F89" s="445"/>
      <c r="G89" s="445"/>
      <c r="H89" s="445"/>
      <c r="I89" s="445"/>
      <c r="J89" s="445"/>
      <c r="K89" s="445"/>
      <c r="L89" s="445"/>
      <c r="M89" s="445"/>
      <c r="N89" s="445"/>
      <c r="O89" s="445"/>
      <c r="P89" s="445"/>
      <c r="Q89" s="445"/>
      <c r="R89" s="445"/>
      <c r="S89" s="445"/>
      <c r="T89" s="445"/>
      <c r="U89" s="445"/>
      <c r="V89" s="445"/>
      <c r="W89" s="445"/>
      <c r="X89" s="445"/>
      <c r="Y89" s="445"/>
      <c r="Z89" s="445"/>
      <c r="AA89" s="445"/>
      <c r="AE89" s="445">
        <f>$C89</f>
        <v>0</v>
      </c>
      <c r="AI89" s="675"/>
    </row>
    <row r="90" spans="1:53">
      <c r="A90" s="403" t="s">
        <v>1047</v>
      </c>
      <c r="B90" s="652"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401">
        <f>AUTOQUESTIONNAIRE!H90</f>
        <v>0</v>
      </c>
      <c r="D90" s="403" t="s">
        <v>1164</v>
      </c>
      <c r="E90" s="404">
        <f>IF(AUTOQUESTIONNAIRE!K81&gt;1.4,1,0)</f>
        <v>0</v>
      </c>
      <c r="F90" s="445">
        <f>$E90</f>
        <v>0</v>
      </c>
      <c r="G90" s="445">
        <f t="shared" ref="G90:S90" si="39">$E90</f>
        <v>0</v>
      </c>
      <c r="H90" s="445">
        <f t="shared" si="39"/>
        <v>0</v>
      </c>
      <c r="I90" s="445">
        <f t="shared" si="39"/>
        <v>0</v>
      </c>
      <c r="J90" s="445">
        <f t="shared" si="39"/>
        <v>0</v>
      </c>
      <c r="K90" s="445"/>
      <c r="L90" s="445"/>
      <c r="M90" s="445"/>
      <c r="N90" s="445"/>
      <c r="O90" s="445"/>
      <c r="P90" s="445"/>
      <c r="Q90" s="445">
        <f t="shared" si="39"/>
        <v>0</v>
      </c>
      <c r="R90" s="445">
        <f t="shared" si="39"/>
        <v>0</v>
      </c>
      <c r="S90" s="445">
        <f t="shared" si="39"/>
        <v>0</v>
      </c>
      <c r="T90" s="445"/>
      <c r="U90" s="445"/>
      <c r="V90" s="445">
        <f>AUTOQUESTIONNAIRE!$H90</f>
        <v>0</v>
      </c>
      <c r="W90" s="445"/>
      <c r="X90" s="445"/>
      <c r="Y90" s="445"/>
      <c r="Z90" s="445"/>
      <c r="AA90" s="445"/>
      <c r="AB90" s="445"/>
      <c r="AC90" s="445"/>
      <c r="AD90" s="445"/>
      <c r="AE90" s="445">
        <f>$C90</f>
        <v>0</v>
      </c>
      <c r="AI90" s="675"/>
    </row>
    <row r="91" spans="1:53">
      <c r="A91" s="403" t="s">
        <v>1047</v>
      </c>
      <c r="B91" s="652" t="str">
        <f>AUTOQUESTIONNAIRE!D91</f>
        <v>Prenez-vous de la vitamine D régulièrement ou pendant l’hiver ? (non=0, oui=1)</v>
      </c>
      <c r="C91" s="680">
        <f>AUTOQUESTIONNAIRE!H91</f>
        <v>1</v>
      </c>
      <c r="F91" s="445"/>
      <c r="G91" s="445"/>
      <c r="H91" s="445"/>
      <c r="I91" s="445"/>
      <c r="J91" s="445"/>
      <c r="K91" s="445"/>
      <c r="L91" s="445"/>
      <c r="M91" s="445"/>
      <c r="N91" s="445"/>
      <c r="O91" s="445"/>
      <c r="P91" s="445"/>
      <c r="Q91" s="445"/>
      <c r="R91" s="445"/>
      <c r="S91" s="445"/>
      <c r="T91" s="445"/>
      <c r="U91" s="445"/>
      <c r="V91" s="445"/>
      <c r="W91" s="445"/>
      <c r="X91" s="445"/>
      <c r="Y91" s="445"/>
      <c r="Z91" s="445"/>
      <c r="AA91" s="445"/>
      <c r="AI91" s="675"/>
      <c r="AX91" s="445">
        <f t="shared" ref="AX91" si="40">$C91</f>
        <v>1</v>
      </c>
    </row>
    <row r="92" spans="1:53">
      <c r="A92" s="418"/>
      <c r="B92" s="653"/>
      <c r="C92" s="401"/>
      <c r="F92" s="445"/>
      <c r="G92" s="445"/>
      <c r="H92" s="445"/>
      <c r="I92" s="445"/>
      <c r="J92" s="445"/>
      <c r="K92" s="445"/>
      <c r="L92" s="445"/>
      <c r="M92" s="445"/>
      <c r="N92" s="445"/>
      <c r="O92" s="445"/>
      <c r="P92" s="445"/>
      <c r="Q92" s="445"/>
      <c r="R92" s="445"/>
      <c r="S92" s="445"/>
      <c r="T92" s="445"/>
      <c r="U92" s="445"/>
      <c r="V92" s="445"/>
      <c r="W92" s="445"/>
      <c r="X92" s="445"/>
      <c r="Y92" s="445"/>
      <c r="Z92" s="445"/>
      <c r="AA92" s="445"/>
      <c r="AI92" s="675"/>
    </row>
    <row r="93" spans="1:53">
      <c r="A93" s="420" t="s">
        <v>1044</v>
      </c>
      <c r="B93" s="654"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445"/>
      <c r="Z93" s="445"/>
      <c r="AA93" s="445"/>
      <c r="AI93" s="675"/>
    </row>
    <row r="94" spans="1:53">
      <c r="A94" s="420" t="s">
        <v>1044</v>
      </c>
      <c r="B94" s="654" t="str">
        <f>AUTOQUESTIONNAIRE!D94</f>
        <v>Prenez-vous un traitement pour le diabète ? (non=0, oui=1)</v>
      </c>
      <c r="C94" s="401">
        <f>AUTOQUESTIONNAIRE!G94</f>
        <v>0</v>
      </c>
      <c r="F94" s="445">
        <f t="shared" ref="F94:V104" si="41">$C94</f>
        <v>0</v>
      </c>
      <c r="G94" s="445">
        <f t="shared" si="41"/>
        <v>0</v>
      </c>
      <c r="H94" s="445">
        <f t="shared" si="41"/>
        <v>0</v>
      </c>
      <c r="I94" s="445">
        <f t="shared" si="41"/>
        <v>0</v>
      </c>
      <c r="J94" s="445">
        <f t="shared" si="41"/>
        <v>0</v>
      </c>
      <c r="K94" s="445">
        <f t="shared" si="41"/>
        <v>0</v>
      </c>
      <c r="L94" s="445">
        <f t="shared" si="41"/>
        <v>0</v>
      </c>
      <c r="M94" s="445"/>
      <c r="N94" s="445"/>
      <c r="O94" s="445"/>
      <c r="P94" s="445"/>
      <c r="Q94" s="445">
        <f t="shared" si="41"/>
        <v>0</v>
      </c>
      <c r="R94" s="445">
        <f t="shared" si="41"/>
        <v>0</v>
      </c>
      <c r="S94" s="445">
        <f t="shared" si="41"/>
        <v>0</v>
      </c>
      <c r="T94" s="445"/>
      <c r="U94" s="445"/>
      <c r="V94" s="445">
        <f t="shared" si="41"/>
        <v>0</v>
      </c>
      <c r="W94" s="445"/>
      <c r="X94" s="445"/>
      <c r="Y94" s="445"/>
      <c r="Z94" s="445"/>
      <c r="AA94" s="445">
        <f t="shared" ref="AA94:AD154" si="42">$C94</f>
        <v>0</v>
      </c>
      <c r="AI94" s="675"/>
    </row>
    <row r="95" spans="1:53">
      <c r="A95" s="420" t="s">
        <v>1044</v>
      </c>
      <c r="B95" s="654" t="str">
        <f>AUTOQUESTIONNAIRE!D95</f>
        <v>Prenez-vous un traitement pour faire baisser votre cholestérol ? (non=0, oui=1)</v>
      </c>
      <c r="C95" s="401">
        <f>AUTOQUESTIONNAIRE!G95</f>
        <v>1</v>
      </c>
      <c r="F95" s="445">
        <f t="shared" si="41"/>
        <v>1</v>
      </c>
      <c r="G95" s="445">
        <f t="shared" si="41"/>
        <v>1</v>
      </c>
      <c r="H95" s="445">
        <f t="shared" si="41"/>
        <v>1</v>
      </c>
      <c r="I95" s="445">
        <f t="shared" si="41"/>
        <v>1</v>
      </c>
      <c r="J95" s="445">
        <f t="shared" ref="J95:V95" si="43">$C95</f>
        <v>1</v>
      </c>
      <c r="K95" s="445">
        <f t="shared" si="43"/>
        <v>1</v>
      </c>
      <c r="L95" s="445">
        <f t="shared" si="43"/>
        <v>1</v>
      </c>
      <c r="M95" s="445"/>
      <c r="N95" s="445"/>
      <c r="O95" s="445"/>
      <c r="P95" s="445">
        <f t="shared" ref="P95" si="44">$C95</f>
        <v>1</v>
      </c>
      <c r="Q95" s="445">
        <f t="shared" si="43"/>
        <v>1</v>
      </c>
      <c r="R95" s="445">
        <f t="shared" si="43"/>
        <v>1</v>
      </c>
      <c r="S95" s="445">
        <f t="shared" si="43"/>
        <v>1</v>
      </c>
      <c r="T95" s="445"/>
      <c r="U95" s="445"/>
      <c r="V95" s="445">
        <f t="shared" si="43"/>
        <v>1</v>
      </c>
      <c r="W95" s="445"/>
      <c r="X95" s="445"/>
      <c r="Y95" s="445"/>
      <c r="Z95" s="445"/>
      <c r="AA95" s="445">
        <f t="shared" si="42"/>
        <v>1</v>
      </c>
      <c r="AI95" s="675"/>
      <c r="BA95" s="445">
        <f t="shared" ref="BA95" si="45">$C95</f>
        <v>1</v>
      </c>
    </row>
    <row r="96" spans="1:53">
      <c r="A96" s="420" t="s">
        <v>1044</v>
      </c>
      <c r="B96" s="654" t="str">
        <f>AUTOQUESTIONNAIRE!D96</f>
        <v>Prenez-vous un traitement pour prévenir les caillots sanguins (par exemple : aspirine, anticoagulants) ? (non=0, oui=1)</v>
      </c>
      <c r="C96" s="401">
        <f>AUTOQUESTIONNAIRE!G96</f>
        <v>0</v>
      </c>
      <c r="F96" s="445">
        <f t="shared" si="41"/>
        <v>0</v>
      </c>
      <c r="G96" s="445">
        <f t="shared" si="41"/>
        <v>0</v>
      </c>
      <c r="H96" s="445">
        <f t="shared" si="41"/>
        <v>0</v>
      </c>
      <c r="I96" s="445">
        <f t="shared" si="41"/>
        <v>0</v>
      </c>
      <c r="J96" s="445">
        <f t="shared" si="41"/>
        <v>0</v>
      </c>
      <c r="K96" s="445">
        <f t="shared" si="41"/>
        <v>0</v>
      </c>
      <c r="L96" s="445">
        <f t="shared" si="41"/>
        <v>0</v>
      </c>
      <c r="M96" s="445"/>
      <c r="N96" s="445"/>
      <c r="O96" s="445"/>
      <c r="P96" s="445"/>
      <c r="Q96" s="445">
        <f t="shared" si="41"/>
        <v>0</v>
      </c>
      <c r="R96" s="445">
        <f t="shared" si="41"/>
        <v>0</v>
      </c>
      <c r="S96" s="445">
        <f t="shared" si="41"/>
        <v>0</v>
      </c>
      <c r="T96" s="445"/>
      <c r="U96" s="445"/>
      <c r="V96" s="445">
        <f t="shared" si="41"/>
        <v>0</v>
      </c>
      <c r="W96" s="445"/>
      <c r="X96" s="445"/>
      <c r="Y96" s="445"/>
      <c r="Z96" s="445"/>
      <c r="AA96" s="445">
        <f t="shared" si="42"/>
        <v>0</v>
      </c>
      <c r="AI96" s="675"/>
    </row>
    <row r="97" spans="1:71">
      <c r="A97" s="420" t="s">
        <v>1044</v>
      </c>
      <c r="B97" s="654" t="str">
        <f>AUTOQUESTIONNAIRE!D97</f>
        <v>Prenez-vous un traitement pour faire baisser votre tension artérielle ? (non=0, oui=1)</v>
      </c>
      <c r="C97" s="401">
        <f>AUTOQUESTIONNAIRE!G97</f>
        <v>0</v>
      </c>
      <c r="F97" s="445">
        <f t="shared" si="41"/>
        <v>0</v>
      </c>
      <c r="G97" s="445">
        <f t="shared" si="41"/>
        <v>0</v>
      </c>
      <c r="H97" s="445">
        <f t="shared" si="41"/>
        <v>0</v>
      </c>
      <c r="I97" s="445">
        <f t="shared" si="41"/>
        <v>0</v>
      </c>
      <c r="J97" s="445">
        <f t="shared" si="41"/>
        <v>0</v>
      </c>
      <c r="K97" s="445">
        <f t="shared" si="41"/>
        <v>0</v>
      </c>
      <c r="L97" s="445">
        <f t="shared" si="41"/>
        <v>0</v>
      </c>
      <c r="M97" s="445"/>
      <c r="N97" s="445"/>
      <c r="O97" s="445"/>
      <c r="P97" s="445"/>
      <c r="Q97" s="445">
        <f t="shared" si="41"/>
        <v>0</v>
      </c>
      <c r="R97" s="445">
        <f t="shared" si="41"/>
        <v>0</v>
      </c>
      <c r="S97" s="445">
        <f t="shared" ref="S97:V97" si="46">$C97</f>
        <v>0</v>
      </c>
      <c r="T97" s="445"/>
      <c r="U97" s="445"/>
      <c r="V97" s="445">
        <f t="shared" si="46"/>
        <v>0</v>
      </c>
      <c r="W97" s="445"/>
      <c r="X97" s="445"/>
      <c r="Y97" s="445"/>
      <c r="Z97" s="445"/>
      <c r="AA97" s="445">
        <f t="shared" si="42"/>
        <v>0</v>
      </c>
      <c r="AI97" s="675"/>
    </row>
    <row r="98" spans="1:71">
      <c r="A98" s="420" t="s">
        <v>1044</v>
      </c>
      <c r="B98" s="654" t="str">
        <f>AUTOQUESTIONNAIRE!D98</f>
        <v>Prenez-vous un traitement pour améliorer les troubles de l’érection (inhibiteurs de la PDE5) ? (non=0, oui=1)</v>
      </c>
      <c r="C98" s="401">
        <f>AUTOQUESTIONNAIRE!G98</f>
        <v>0</v>
      </c>
      <c r="F98" s="445">
        <f t="shared" ref="F98:V100" si="47">$C98</f>
        <v>0</v>
      </c>
      <c r="G98" s="445">
        <f t="shared" si="47"/>
        <v>0</v>
      </c>
      <c r="H98" s="445">
        <f t="shared" si="47"/>
        <v>0</v>
      </c>
      <c r="I98" s="445">
        <f t="shared" si="47"/>
        <v>0</v>
      </c>
      <c r="J98" s="445">
        <f t="shared" si="47"/>
        <v>0</v>
      </c>
      <c r="K98" s="445">
        <f t="shared" si="47"/>
        <v>0</v>
      </c>
      <c r="L98" s="445">
        <f t="shared" si="47"/>
        <v>0</v>
      </c>
      <c r="M98" s="445"/>
      <c r="N98" s="445"/>
      <c r="O98" s="445"/>
      <c r="P98" s="445"/>
      <c r="Q98" s="445">
        <f t="shared" si="47"/>
        <v>0</v>
      </c>
      <c r="R98" s="445">
        <f t="shared" si="47"/>
        <v>0</v>
      </c>
      <c r="S98" s="445">
        <f t="shared" si="47"/>
        <v>0</v>
      </c>
      <c r="T98" s="445"/>
      <c r="U98" s="445"/>
      <c r="V98" s="445">
        <f t="shared" si="47"/>
        <v>0</v>
      </c>
      <c r="W98" s="445"/>
      <c r="X98" s="445"/>
      <c r="Y98" s="445"/>
      <c r="Z98" s="445"/>
      <c r="AA98" s="445">
        <f t="shared" si="42"/>
        <v>0</v>
      </c>
      <c r="AI98" s="675"/>
    </row>
    <row r="99" spans="1:71">
      <c r="A99" s="420" t="s">
        <v>1044</v>
      </c>
      <c r="B99" s="654" t="str">
        <f>AUTOQUESTIONNAIRE!D99</f>
        <v>Utilisez-vous une contraception hormonale (par exemple : pilule contraceptive) ? (non=0, oui=1)</v>
      </c>
      <c r="C99" s="401">
        <f>AUTOQUESTIONNAIRE!G99</f>
        <v>0</v>
      </c>
      <c r="F99" s="445">
        <f t="shared" si="47"/>
        <v>0</v>
      </c>
      <c r="G99" s="445">
        <f t="shared" si="47"/>
        <v>0</v>
      </c>
      <c r="H99" s="445">
        <f t="shared" si="47"/>
        <v>0</v>
      </c>
      <c r="I99" s="445">
        <f t="shared" si="47"/>
        <v>0</v>
      </c>
      <c r="J99" s="445">
        <f t="shared" si="47"/>
        <v>0</v>
      </c>
      <c r="K99" s="445">
        <f t="shared" si="47"/>
        <v>0</v>
      </c>
      <c r="L99" s="445">
        <f t="shared" si="47"/>
        <v>0</v>
      </c>
      <c r="M99" s="445"/>
      <c r="N99" s="445"/>
      <c r="O99" s="445"/>
      <c r="P99" s="445"/>
      <c r="Q99" s="445">
        <f t="shared" si="47"/>
        <v>0</v>
      </c>
      <c r="R99" s="445">
        <f t="shared" si="47"/>
        <v>0</v>
      </c>
      <c r="S99" s="445">
        <f t="shared" si="47"/>
        <v>0</v>
      </c>
      <c r="T99" s="445"/>
      <c r="U99" s="445"/>
      <c r="V99" s="445">
        <f t="shared" si="47"/>
        <v>0</v>
      </c>
      <c r="W99" s="445"/>
      <c r="X99" s="445"/>
      <c r="Y99" s="445"/>
      <c r="Z99" s="445"/>
      <c r="AA99" s="445">
        <f t="shared" si="42"/>
        <v>0</v>
      </c>
      <c r="AI99" s="675"/>
    </row>
    <row r="100" spans="1:71">
      <c r="A100" s="420" t="s">
        <v>1044</v>
      </c>
      <c r="B100" s="654" t="str">
        <f>AUTOQUESTIONNAIRE!D100</f>
        <v>Prenez-vous un traitement hormonal substitutif pour la ménopause ou l’andropause ? (non=0, oui=1)</v>
      </c>
      <c r="C100" s="401">
        <f>AUTOQUESTIONNAIRE!I100</f>
        <v>0</v>
      </c>
      <c r="F100" s="445">
        <f t="shared" si="47"/>
        <v>0</v>
      </c>
      <c r="G100" s="445">
        <f t="shared" si="47"/>
        <v>0</v>
      </c>
      <c r="H100" s="445">
        <f t="shared" si="47"/>
        <v>0</v>
      </c>
      <c r="I100" s="445">
        <f t="shared" si="47"/>
        <v>0</v>
      </c>
      <c r="J100" s="445">
        <f t="shared" si="47"/>
        <v>0</v>
      </c>
      <c r="K100" s="445">
        <f t="shared" si="47"/>
        <v>0</v>
      </c>
      <c r="L100" s="445">
        <f t="shared" si="47"/>
        <v>0</v>
      </c>
      <c r="M100" s="445"/>
      <c r="N100" s="445"/>
      <c r="O100" s="445"/>
      <c r="P100" s="445"/>
      <c r="Q100" s="445">
        <f t="shared" si="47"/>
        <v>0</v>
      </c>
      <c r="R100" s="445">
        <f t="shared" si="47"/>
        <v>0</v>
      </c>
      <c r="S100" s="445">
        <f t="shared" si="47"/>
        <v>0</v>
      </c>
      <c r="T100" s="445"/>
      <c r="U100" s="445"/>
      <c r="V100" s="445">
        <f t="shared" si="47"/>
        <v>0</v>
      </c>
      <c r="W100" s="445"/>
      <c r="X100" s="445"/>
      <c r="Y100" s="445"/>
      <c r="Z100" s="445"/>
      <c r="AA100" s="445">
        <f t="shared" si="42"/>
        <v>0</v>
      </c>
      <c r="AI100" s="675"/>
    </row>
    <row r="101" spans="1:71">
      <c r="A101" s="420" t="s">
        <v>1044</v>
      </c>
      <c r="B101" s="654" t="str">
        <f>AUTOQUESTIONNAIRE!D101</f>
        <v>Prenez-vous l’un des médicaments suivants : Dutastéride ou Finastéride (5-ARI) ? (non=0, oui=1)</v>
      </c>
      <c r="C101" s="401">
        <f>AUTOQUESTIONNAIRE!G101</f>
        <v>0</v>
      </c>
      <c r="F101" s="445">
        <f t="shared" si="41"/>
        <v>0</v>
      </c>
      <c r="G101" s="445">
        <f t="shared" si="41"/>
        <v>0</v>
      </c>
      <c r="H101" s="445"/>
      <c r="I101" s="445">
        <f t="shared" si="41"/>
        <v>0</v>
      </c>
      <c r="J101" s="445">
        <f t="shared" si="41"/>
        <v>0</v>
      </c>
      <c r="K101" s="445">
        <f t="shared" si="41"/>
        <v>0</v>
      </c>
      <c r="L101" s="445">
        <f t="shared" si="41"/>
        <v>0</v>
      </c>
      <c r="M101" s="445"/>
      <c r="N101" s="445"/>
      <c r="O101" s="445"/>
      <c r="P101" s="445"/>
      <c r="Q101" s="445">
        <f t="shared" si="41"/>
        <v>0</v>
      </c>
      <c r="R101" s="445">
        <f t="shared" si="41"/>
        <v>0</v>
      </c>
      <c r="S101" s="445">
        <f t="shared" si="41"/>
        <v>0</v>
      </c>
      <c r="T101" s="445"/>
      <c r="U101" s="445"/>
      <c r="V101" s="445">
        <f t="shared" si="41"/>
        <v>0</v>
      </c>
      <c r="W101" s="445"/>
      <c r="X101" s="445"/>
      <c r="Y101" s="445"/>
      <c r="Z101" s="445"/>
      <c r="AA101" s="445"/>
      <c r="AI101" s="675"/>
    </row>
    <row r="102" spans="1:71">
      <c r="A102" s="420"/>
      <c r="B102" s="654" t="str">
        <f>AUTOQUESTIONNAIRE!D102</f>
        <v>Prenez-vous un traitement pour les troubles du rythme cardiaque (arythmie) ? (non=0, oui=1)</v>
      </c>
      <c r="C102" s="401">
        <f>AUTOQUESTIONNAIRE!G102</f>
        <v>0</v>
      </c>
      <c r="F102" s="445"/>
      <c r="G102" s="445"/>
      <c r="H102" s="445"/>
      <c r="I102" s="445"/>
      <c r="J102" s="445"/>
      <c r="K102" s="445"/>
      <c r="L102" s="445"/>
      <c r="M102" s="445"/>
      <c r="N102" s="445"/>
      <c r="O102" s="445"/>
      <c r="P102" s="445"/>
      <c r="Q102" s="445"/>
      <c r="R102" s="445"/>
      <c r="S102" s="445"/>
      <c r="T102" s="445"/>
      <c r="U102" s="445"/>
      <c r="V102" s="445"/>
      <c r="W102" s="445"/>
      <c r="X102" s="445"/>
      <c r="Y102" s="445"/>
      <c r="Z102" s="445"/>
      <c r="AA102" s="445"/>
      <c r="AI102" s="675"/>
    </row>
    <row r="103" spans="1:71">
      <c r="A103" s="420"/>
      <c r="B103" s="654" t="str">
        <f>AUTOQUESTIONNAIRE!D103</f>
        <v>Prenez-vous un traitement qui diminue l’activité du système immunitaire (dans le cas de maladies auto-immunes ou de transplantation d’organe) ? (non=0, oui=1)</v>
      </c>
      <c r="C103" s="401">
        <f>AUTOQUESTIONNAIRE!G103</f>
        <v>0</v>
      </c>
      <c r="F103" s="445">
        <f t="shared" si="41"/>
        <v>0</v>
      </c>
      <c r="G103" s="445">
        <f t="shared" si="41"/>
        <v>0</v>
      </c>
      <c r="H103" s="445"/>
      <c r="I103" s="445">
        <f t="shared" si="41"/>
        <v>0</v>
      </c>
      <c r="J103" s="445">
        <f t="shared" si="41"/>
        <v>0</v>
      </c>
      <c r="K103" s="445">
        <f t="shared" si="41"/>
        <v>0</v>
      </c>
      <c r="L103" s="445">
        <f t="shared" si="41"/>
        <v>0</v>
      </c>
      <c r="M103" s="445"/>
      <c r="N103" s="445"/>
      <c r="O103" s="445"/>
      <c r="P103" s="445"/>
      <c r="Q103" s="445">
        <f t="shared" si="41"/>
        <v>0</v>
      </c>
      <c r="R103" s="445">
        <f t="shared" si="41"/>
        <v>0</v>
      </c>
      <c r="S103" s="445">
        <f t="shared" si="41"/>
        <v>0</v>
      </c>
      <c r="T103" s="445"/>
      <c r="U103" s="445"/>
      <c r="V103" s="445">
        <f t="shared" si="41"/>
        <v>0</v>
      </c>
      <c r="W103" s="445"/>
      <c r="X103" s="445"/>
      <c r="Y103" s="445"/>
      <c r="Z103" s="445"/>
      <c r="AA103" s="445"/>
      <c r="AI103" s="675"/>
    </row>
    <row r="104" spans="1:71">
      <c r="A104" s="420" t="s">
        <v>1044</v>
      </c>
      <c r="B104" s="654" t="str">
        <f>AUTOQUESTIONNAIRE!D104</f>
        <v>Prenez-vous un traitement contre l’anxiété ou la dépression ? (non=0, oui=1)</v>
      </c>
      <c r="C104" s="401">
        <f>AUTOQUESTIONNAIRE!G104</f>
        <v>0</v>
      </c>
      <c r="F104" s="445">
        <f t="shared" si="41"/>
        <v>0</v>
      </c>
      <c r="G104" s="445">
        <f t="shared" si="41"/>
        <v>0</v>
      </c>
      <c r="H104" s="445">
        <f t="shared" si="41"/>
        <v>0</v>
      </c>
      <c r="I104" s="445">
        <f t="shared" si="41"/>
        <v>0</v>
      </c>
      <c r="J104" s="445">
        <f t="shared" si="41"/>
        <v>0</v>
      </c>
      <c r="K104" s="445">
        <f t="shared" si="41"/>
        <v>0</v>
      </c>
      <c r="L104" s="445">
        <f t="shared" si="41"/>
        <v>0</v>
      </c>
      <c r="M104" s="445"/>
      <c r="N104" s="445"/>
      <c r="O104" s="445"/>
      <c r="P104" s="445"/>
      <c r="Q104" s="445">
        <f t="shared" si="41"/>
        <v>0</v>
      </c>
      <c r="R104" s="445">
        <f t="shared" si="41"/>
        <v>0</v>
      </c>
      <c r="S104" s="445">
        <f t="shared" si="41"/>
        <v>0</v>
      </c>
      <c r="T104" s="445"/>
      <c r="U104" s="445"/>
      <c r="V104" s="445">
        <f t="shared" si="41"/>
        <v>0</v>
      </c>
      <c r="W104" s="445"/>
      <c r="X104" s="445"/>
      <c r="Y104" s="445"/>
      <c r="Z104" s="445"/>
      <c r="AA104" s="445"/>
      <c r="AI104" s="675"/>
    </row>
    <row r="105" spans="1:71">
      <c r="A105" s="420" t="s">
        <v>1044</v>
      </c>
      <c r="B105" s="654"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445"/>
      <c r="Z105" s="445"/>
      <c r="AI105" s="675"/>
      <c r="AK105" s="445"/>
      <c r="AL105" s="445"/>
      <c r="AZ105" s="443"/>
    </row>
    <row r="106" spans="1:71">
      <c r="A106" s="420" t="s">
        <v>1044</v>
      </c>
      <c r="B106" s="654"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445"/>
      <c r="Z106" s="445"/>
      <c r="AI106" s="675"/>
      <c r="AK106" s="445"/>
      <c r="AL106" s="445"/>
      <c r="AZ106" s="443"/>
    </row>
    <row r="107" spans="1:71">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445"/>
      <c r="Z107" s="445"/>
      <c r="AK107" s="445"/>
      <c r="AL107" s="445"/>
      <c r="AZ107" s="443"/>
    </row>
    <row r="108" spans="1:71">
      <c r="A108" s="421" t="s">
        <v>1045</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445"/>
      <c r="Z108" s="445"/>
      <c r="AA108" s="445"/>
      <c r="AI108" s="675"/>
      <c r="BP108" s="445"/>
    </row>
    <row r="109" spans="1:71">
      <c r="A109" s="421" t="s">
        <v>1045</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445"/>
      <c r="Z109" s="445"/>
      <c r="AA109" s="445"/>
      <c r="AI109" s="675"/>
      <c r="BP109" s="445">
        <f t="shared" ref="BP109" si="48">$C109</f>
        <v>0</v>
      </c>
    </row>
    <row r="110" spans="1:71">
      <c r="A110" s="421" t="s">
        <v>1045</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445">
        <f>IF($C110&gt;1,1,0)</f>
        <v>0</v>
      </c>
      <c r="Z110" s="445"/>
      <c r="AA110" s="445"/>
      <c r="AI110" s="675"/>
      <c r="BO110" s="445">
        <f>$C113</f>
        <v>0</v>
      </c>
    </row>
    <row r="111" spans="1:71">
      <c r="A111" s="421" t="s">
        <v>1045</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445"/>
      <c r="Z111" s="445"/>
      <c r="AA111" s="445"/>
      <c r="AI111" s="675"/>
      <c r="AT111" s="445">
        <f t="shared" ref="AT111" si="49">$C111</f>
        <v>0</v>
      </c>
    </row>
    <row r="112" spans="1:71">
      <c r="A112" s="421" t="s">
        <v>1045</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445"/>
      <c r="Z112" s="445"/>
      <c r="AA112" s="445"/>
      <c r="AI112" s="675"/>
      <c r="BN112" s="445">
        <f t="shared" ref="BN112" si="50">$C112</f>
        <v>0</v>
      </c>
      <c r="BS112" s="677">
        <f>$C112</f>
        <v>0</v>
      </c>
    </row>
    <row r="113" spans="1:71">
      <c r="A113" s="421" t="s">
        <v>1045</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445">
        <f>IF($C113&gt;1,1,0)</f>
        <v>0</v>
      </c>
      <c r="Z113" s="445"/>
      <c r="AA113" s="445"/>
      <c r="AI113" s="675"/>
    </row>
    <row r="114" spans="1:71">
      <c r="A114" s="421" t="s">
        <v>1045</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445"/>
      <c r="Z114" s="445"/>
      <c r="AA114" s="445"/>
      <c r="AI114" s="675"/>
    </row>
    <row r="115" spans="1:71">
      <c r="A115" s="421" t="s">
        <v>1045</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445"/>
      <c r="Z115" s="445"/>
      <c r="AA115" s="445"/>
      <c r="AI115" s="675"/>
    </row>
    <row r="116" spans="1:71">
      <c r="A116" s="421" t="s">
        <v>1045</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445"/>
      <c r="Z116" s="445"/>
      <c r="AA116" s="445"/>
      <c r="AI116" s="675"/>
      <c r="BP116" s="445">
        <f t="shared" ref="BP116" si="51">$C116</f>
        <v>0</v>
      </c>
    </row>
    <row r="117" spans="1:71">
      <c r="A117" s="421" t="s">
        <v>1045</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445"/>
      <c r="Z117" s="445"/>
      <c r="AA117" s="445"/>
      <c r="AI117" s="675"/>
      <c r="BN117" s="445">
        <f t="shared" ref="BN117" si="52">$C117</f>
        <v>0</v>
      </c>
      <c r="BS117" s="677">
        <f>$C117</f>
        <v>0</v>
      </c>
    </row>
    <row r="118" spans="1:71">
      <c r="A118" s="421" t="s">
        <v>1045</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445"/>
      <c r="Z118" s="445"/>
      <c r="AA118" s="445"/>
      <c r="AI118" s="675"/>
      <c r="AT118" s="445">
        <f t="shared" ref="AT118" si="53">$C118</f>
        <v>0</v>
      </c>
    </row>
    <row r="119" spans="1:71">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445"/>
      <c r="Z119" s="445"/>
      <c r="AA119" s="445"/>
      <c r="AI119" s="675"/>
    </row>
    <row r="120" spans="1:71">
      <c r="A120" s="421" t="s">
        <v>1045</v>
      </c>
      <c r="B120" s="359" t="str">
        <f>AUTOQUESTIONNAIRE!D120</f>
        <v>Combien de soeur(s) ou frére(s) ont eu un cancer du colon ? (0=0, 1=1, 2=2ou plus)</v>
      </c>
      <c r="C120" s="401">
        <f>AUTOQUESTIONNAIRE!I120</f>
        <v>1</v>
      </c>
      <c r="F120" s="445"/>
      <c r="G120" s="445"/>
      <c r="H120" s="445"/>
      <c r="I120" s="445"/>
      <c r="J120" s="445"/>
      <c r="K120" s="445"/>
      <c r="L120" s="445"/>
      <c r="M120" s="445"/>
      <c r="N120" s="445"/>
      <c r="O120" s="445"/>
      <c r="P120" s="445"/>
      <c r="Q120" s="445"/>
      <c r="R120" s="445"/>
      <c r="S120" s="445"/>
      <c r="T120" s="445"/>
      <c r="U120" s="445"/>
      <c r="V120" s="445"/>
      <c r="W120" s="445"/>
      <c r="X120" s="445"/>
      <c r="Y120" s="445">
        <f>IF($C120&gt;1,1,0)</f>
        <v>0</v>
      </c>
      <c r="Z120" s="445"/>
      <c r="AA120" s="445"/>
      <c r="AI120" s="675"/>
      <c r="BO120" s="445">
        <f t="shared" ref="BO120" si="54">$C120</f>
        <v>1</v>
      </c>
    </row>
    <row r="121" spans="1:71">
      <c r="A121" s="421" t="s">
        <v>1045</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445"/>
      <c r="Z121" s="445"/>
      <c r="AA121" s="445"/>
      <c r="AI121" s="675"/>
    </row>
    <row r="122" spans="1:71">
      <c r="A122" s="421" t="s">
        <v>1045</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445"/>
      <c r="Z122" s="445"/>
      <c r="AA122" s="445"/>
      <c r="AC122" s="445">
        <f t="shared" si="42"/>
        <v>0</v>
      </c>
      <c r="AI122" s="675"/>
    </row>
    <row r="123" spans="1:71">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445"/>
      <c r="Z123" s="445"/>
      <c r="AA123" s="445"/>
      <c r="AC123" s="445"/>
      <c r="AI123" s="675"/>
    </row>
    <row r="124" spans="1:71">
      <c r="A124" s="421" t="s">
        <v>1045</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445"/>
      <c r="Z124" s="445"/>
      <c r="AA124" s="445"/>
      <c r="AI124" s="675"/>
    </row>
    <row r="125" spans="1:71">
      <c r="A125" s="421" t="s">
        <v>1045</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445"/>
      <c r="Z125" s="445"/>
      <c r="AA125" s="445"/>
      <c r="AI125" s="675"/>
    </row>
    <row r="126" spans="1:71">
      <c r="A126" s="421" t="s">
        <v>1045</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445"/>
      <c r="Z126" s="445"/>
      <c r="AA126" s="445"/>
      <c r="AI126" s="675"/>
    </row>
    <row r="127" spans="1:71">
      <c r="A127" s="421" t="s">
        <v>1045</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445"/>
      <c r="Z127" s="445"/>
      <c r="AA127" s="445"/>
      <c r="AI127" s="675"/>
    </row>
    <row r="128" spans="1:71">
      <c r="A128" s="421" t="s">
        <v>1045</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445"/>
      <c r="Z128" s="445">
        <f>IF($C128&gt;1,1,0)</f>
        <v>0</v>
      </c>
      <c r="AA128" s="445"/>
      <c r="AI128" s="675"/>
    </row>
    <row r="129" spans="1:47">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445"/>
      <c r="Z129" s="445"/>
      <c r="AA129" s="445"/>
      <c r="AI129" s="675"/>
    </row>
    <row r="130" spans="1:47">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445"/>
      <c r="Z130" s="445"/>
      <c r="AA130" s="445"/>
      <c r="AI130" s="675"/>
    </row>
    <row r="131" spans="1:47">
      <c r="A131" s="421"/>
      <c r="B131" s="359" t="str">
        <f>AUTOQUESTIONNAIRE!D131</f>
        <v>Avez-vous un parent (mère, père, sœur, frère) qui a eu une dépression  grave (traitement psychiatrique) ? (non=0, oui=1, ne sais pas=2)</v>
      </c>
      <c r="C131" s="401">
        <f>AUTOQUESTIONNAIRE!I131</f>
        <v>1</v>
      </c>
      <c r="F131" s="445"/>
      <c r="G131" s="445"/>
      <c r="H131" s="445"/>
      <c r="I131" s="445"/>
      <c r="J131" s="445"/>
      <c r="K131" s="445"/>
      <c r="L131" s="445"/>
      <c r="M131" s="445"/>
      <c r="N131" s="445"/>
      <c r="O131" s="445"/>
      <c r="P131" s="445"/>
      <c r="Q131" s="445"/>
      <c r="R131" s="445"/>
      <c r="S131" s="445"/>
      <c r="T131" s="445"/>
      <c r="U131" s="445"/>
      <c r="V131" s="445"/>
      <c r="W131" s="445"/>
      <c r="X131" s="445"/>
      <c r="Y131" s="445"/>
      <c r="Z131" s="445"/>
      <c r="AA131" s="445"/>
      <c r="AI131" s="675"/>
    </row>
    <row r="132" spans="1:47">
      <c r="A132" s="418"/>
      <c r="B132" s="650"/>
      <c r="C132" s="401"/>
      <c r="F132" s="445"/>
      <c r="G132" s="445"/>
      <c r="H132" s="445"/>
      <c r="I132" s="445"/>
      <c r="J132" s="445"/>
      <c r="K132" s="445"/>
      <c r="L132" s="445"/>
      <c r="M132" s="445"/>
      <c r="N132" s="445"/>
      <c r="O132" s="445"/>
      <c r="P132" s="445"/>
      <c r="Q132" s="445"/>
      <c r="R132" s="445"/>
      <c r="S132" s="445"/>
      <c r="T132" s="445"/>
      <c r="U132" s="445"/>
      <c r="V132" s="445"/>
      <c r="W132" s="445"/>
      <c r="X132" s="445"/>
      <c r="Y132" s="445"/>
      <c r="Z132" s="445"/>
      <c r="AA132" s="445"/>
      <c r="AI132" s="675"/>
    </row>
    <row r="133" spans="1:47">
      <c r="A133" s="418"/>
      <c r="B133" s="650"/>
      <c r="C133" s="401"/>
      <c r="F133" s="445"/>
      <c r="G133" s="445"/>
      <c r="H133" s="445"/>
      <c r="I133" s="445"/>
      <c r="J133" s="445"/>
      <c r="K133" s="445"/>
      <c r="L133" s="445"/>
      <c r="M133" s="445"/>
      <c r="N133" s="445"/>
      <c r="O133" s="445"/>
      <c r="P133" s="445"/>
      <c r="Q133" s="445"/>
      <c r="R133" s="445"/>
      <c r="S133" s="445"/>
      <c r="T133" s="445"/>
      <c r="U133" s="445"/>
      <c r="V133" s="445"/>
      <c r="W133" s="445"/>
      <c r="X133" s="445"/>
      <c r="Y133" s="445"/>
      <c r="Z133" s="445"/>
      <c r="AA133" s="445"/>
      <c r="AI133" s="675"/>
    </row>
    <row r="134" spans="1:47" ht="72">
      <c r="A134" s="422" t="s">
        <v>240</v>
      </c>
      <c r="B134" s="656" t="s">
        <v>1152</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445"/>
      <c r="Z134" s="445"/>
      <c r="AA134" s="445"/>
      <c r="AI134" s="675"/>
    </row>
    <row r="135" spans="1:47">
      <c r="A135" s="422" t="s">
        <v>240</v>
      </c>
      <c r="B135" s="657" t="s">
        <v>1128</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445"/>
      <c r="Z135" s="445"/>
      <c r="AA135" s="445"/>
      <c r="AI135" s="675"/>
    </row>
    <row r="136" spans="1:47">
      <c r="A136" s="422"/>
      <c r="B136" s="657" t="s">
        <v>1144</v>
      </c>
      <c r="C136" s="401">
        <f>AUTOQUESTIONNAIRE!G136</f>
        <v>0</v>
      </c>
      <c r="F136" s="445"/>
      <c r="G136" s="445"/>
      <c r="H136" s="445"/>
      <c r="I136" s="445"/>
      <c r="J136" s="445"/>
      <c r="K136" s="445"/>
      <c r="L136" s="445"/>
      <c r="M136" s="445"/>
      <c r="N136" s="445"/>
      <c r="O136" s="445"/>
      <c r="P136" s="445"/>
      <c r="Q136" s="445"/>
      <c r="R136" s="445"/>
      <c r="S136" s="445"/>
      <c r="T136" s="445"/>
      <c r="U136" s="445"/>
      <c r="V136" s="445"/>
      <c r="W136" s="445"/>
      <c r="X136" s="445"/>
      <c r="Y136" s="445"/>
      <c r="Z136" s="445"/>
      <c r="AA136" s="445"/>
      <c r="AI136" s="675"/>
    </row>
    <row r="137" spans="1:47">
      <c r="A137" s="422" t="s">
        <v>240</v>
      </c>
      <c r="B137" s="658" t="s">
        <v>1119</v>
      </c>
      <c r="C137" s="401">
        <f>AUTOQUESTIONNAIRE!G137</f>
        <v>1</v>
      </c>
      <c r="F137" s="445"/>
      <c r="G137" s="445"/>
      <c r="H137" s="445"/>
      <c r="I137" s="445"/>
      <c r="J137" s="445"/>
      <c r="K137" s="445"/>
      <c r="L137" s="445"/>
      <c r="M137" s="445"/>
      <c r="N137" s="445"/>
      <c r="O137" s="445"/>
      <c r="P137" s="445"/>
      <c r="Q137" s="445"/>
      <c r="R137" s="445"/>
      <c r="S137" s="445"/>
      <c r="T137" s="445"/>
      <c r="U137" s="445"/>
      <c r="V137" s="445"/>
      <c r="W137" s="445"/>
      <c r="X137" s="445"/>
      <c r="Y137" s="445"/>
      <c r="Z137" s="445"/>
      <c r="AA137" s="445"/>
      <c r="AI137" s="675"/>
    </row>
    <row r="138" spans="1:47">
      <c r="A138" s="422" t="s">
        <v>240</v>
      </c>
      <c r="B138" s="658" t="s">
        <v>1120</v>
      </c>
      <c r="C138" s="401">
        <f>AUTOQUESTIONNAIRE!G138</f>
        <v>1</v>
      </c>
      <c r="F138" s="445"/>
      <c r="G138" s="445"/>
      <c r="H138" s="445"/>
      <c r="I138" s="445"/>
      <c r="J138" s="445"/>
      <c r="K138" s="445"/>
      <c r="L138" s="445"/>
      <c r="M138" s="445"/>
      <c r="N138" s="445"/>
      <c r="O138" s="445"/>
      <c r="P138" s="445"/>
      <c r="Q138" s="445"/>
      <c r="R138" s="445"/>
      <c r="S138" s="445"/>
      <c r="T138" s="445"/>
      <c r="U138" s="445"/>
      <c r="V138" s="445"/>
      <c r="W138" s="445"/>
      <c r="X138" s="445"/>
      <c r="Y138" s="445"/>
      <c r="Z138" s="445"/>
      <c r="AA138" s="445"/>
      <c r="AI138" s="675"/>
    </row>
    <row r="139" spans="1:47">
      <c r="A139" s="422" t="s">
        <v>240</v>
      </c>
      <c r="B139" s="658" t="s">
        <v>1121</v>
      </c>
      <c r="C139" s="401">
        <f>AUTOQUESTIONNAIRE!G139</f>
        <v>1</v>
      </c>
      <c r="F139" s="445"/>
      <c r="G139" s="445"/>
      <c r="H139" s="445"/>
      <c r="I139" s="445"/>
      <c r="J139" s="445"/>
      <c r="K139" s="445"/>
      <c r="L139" s="445"/>
      <c r="M139" s="445"/>
      <c r="N139" s="445"/>
      <c r="O139" s="445"/>
      <c r="P139" s="445"/>
      <c r="Q139" s="445"/>
      <c r="R139" s="445"/>
      <c r="S139" s="445"/>
      <c r="T139" s="445"/>
      <c r="U139" s="445"/>
      <c r="V139" s="445"/>
      <c r="W139" s="445"/>
      <c r="X139" s="445"/>
      <c r="Y139" s="445"/>
      <c r="Z139" s="445"/>
      <c r="AA139" s="445"/>
      <c r="AI139" s="675"/>
    </row>
    <row r="140" spans="1:47">
      <c r="A140" s="422" t="s">
        <v>240</v>
      </c>
      <c r="B140" s="658" t="s">
        <v>1122</v>
      </c>
      <c r="C140" s="401">
        <f>AUTOQUESTIONNAIRE!G140</f>
        <v>1</v>
      </c>
      <c r="F140" s="445"/>
      <c r="G140" s="445"/>
      <c r="H140" s="445"/>
      <c r="I140" s="445"/>
      <c r="J140" s="445"/>
      <c r="K140" s="445"/>
      <c r="L140" s="445"/>
      <c r="M140" s="445"/>
      <c r="N140" s="445"/>
      <c r="O140" s="445"/>
      <c r="P140" s="445"/>
      <c r="Q140" s="445"/>
      <c r="R140" s="445"/>
      <c r="S140" s="445"/>
      <c r="T140" s="445"/>
      <c r="U140" s="445"/>
      <c r="V140" s="445"/>
      <c r="W140" s="445"/>
      <c r="X140" s="445"/>
      <c r="Y140" s="445"/>
      <c r="Z140" s="445"/>
      <c r="AA140" s="445"/>
      <c r="AI140" s="675"/>
    </row>
    <row r="141" spans="1:47" ht="28.8">
      <c r="A141" s="422" t="s">
        <v>240</v>
      </c>
      <c r="B141" s="658" t="s">
        <v>1123</v>
      </c>
      <c r="C141" s="401">
        <f>AUTOQUESTIONNAIRE!G141</f>
        <v>1</v>
      </c>
      <c r="F141" s="445"/>
      <c r="G141" s="445"/>
      <c r="H141" s="445"/>
      <c r="I141" s="445"/>
      <c r="J141" s="445"/>
      <c r="K141" s="445"/>
      <c r="L141" s="445"/>
      <c r="M141" s="445"/>
      <c r="N141" s="445"/>
      <c r="O141" s="445"/>
      <c r="P141" s="445"/>
      <c r="Q141" s="445"/>
      <c r="R141" s="445"/>
      <c r="S141" s="445"/>
      <c r="T141" s="445"/>
      <c r="U141" s="445"/>
      <c r="V141" s="445"/>
      <c r="W141" s="445"/>
      <c r="X141" s="445"/>
      <c r="Y141" s="445"/>
      <c r="Z141" s="445"/>
      <c r="AA141" s="445"/>
      <c r="AI141" s="675"/>
    </row>
    <row r="142" spans="1:47" ht="28.8">
      <c r="A142" s="422" t="s">
        <v>240</v>
      </c>
      <c r="B142" s="658" t="s">
        <v>1124</v>
      </c>
      <c r="C142" s="401">
        <f>AUTOQUESTIONNAIRE!G142</f>
        <v>1</v>
      </c>
      <c r="D142" s="402" t="s">
        <v>1193</v>
      </c>
      <c r="E142" s="402">
        <f>IF(AUTOQUESTIONNAIRE!K139&gt;0.8,1,0)</f>
        <v>0</v>
      </c>
      <c r="F142" s="445">
        <f>$E$142</f>
        <v>0</v>
      </c>
      <c r="G142" s="445">
        <f t="shared" ref="G142:J142" si="55">$E$142</f>
        <v>0</v>
      </c>
      <c r="H142" s="445">
        <f t="shared" si="55"/>
        <v>0</v>
      </c>
      <c r="I142" s="445">
        <f t="shared" si="55"/>
        <v>0</v>
      </c>
      <c r="J142" s="445">
        <f t="shared" si="55"/>
        <v>0</v>
      </c>
      <c r="K142" s="445"/>
      <c r="L142" s="445"/>
      <c r="M142" s="445"/>
      <c r="N142" s="445"/>
      <c r="O142" s="445"/>
      <c r="P142" s="445"/>
      <c r="Q142" s="445">
        <f>$E$142</f>
        <v>0</v>
      </c>
      <c r="R142" s="445">
        <f t="shared" ref="R142:S142" si="56">$E$142</f>
        <v>0</v>
      </c>
      <c r="S142" s="445">
        <f t="shared" si="56"/>
        <v>0</v>
      </c>
      <c r="T142" s="445"/>
      <c r="U142" s="445"/>
      <c r="V142" s="445">
        <f>$E$142</f>
        <v>0</v>
      </c>
      <c r="W142" s="445"/>
      <c r="X142" s="445"/>
      <c r="Y142" s="445"/>
      <c r="Z142" s="445"/>
      <c r="AA142" s="445"/>
      <c r="AI142" s="445">
        <f>$E$142</f>
        <v>0</v>
      </c>
    </row>
    <row r="143" spans="1:47" ht="72">
      <c r="A143" s="422" t="s">
        <v>240</v>
      </c>
      <c r="B143" s="656" t="s">
        <v>1145</v>
      </c>
      <c r="C143" s="401">
        <f>AUTOQUESTIONNAIRE!G143</f>
        <v>0</v>
      </c>
      <c r="D143" s="400" t="s">
        <v>1294</v>
      </c>
      <c r="E143" s="400">
        <f>IF(C143&gt;2,1,0)</f>
        <v>0</v>
      </c>
      <c r="F143" s="445">
        <f>$E143</f>
        <v>0</v>
      </c>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445"/>
      <c r="Z143" s="445"/>
      <c r="AA143" s="445"/>
      <c r="AI143" s="675"/>
    </row>
    <row r="144" spans="1:47" ht="72">
      <c r="A144" s="422" t="s">
        <v>240</v>
      </c>
      <c r="B144" s="656" t="s">
        <v>1146</v>
      </c>
      <c r="C144" s="401">
        <f>AUTOQUESTIONNAIRE!G144</f>
        <v>1</v>
      </c>
      <c r="D144" s="400" t="s">
        <v>1294</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445">
        <f>$E144</f>
        <v>0</v>
      </c>
      <c r="Z144" s="445"/>
      <c r="AA144" s="445"/>
      <c r="AI144" s="675"/>
      <c r="AU144" s="445">
        <f>$E144</f>
        <v>0</v>
      </c>
    </row>
    <row r="145" spans="1:49" ht="72">
      <c r="A145" s="422" t="s">
        <v>240</v>
      </c>
      <c r="B145" s="656" t="s">
        <v>1147</v>
      </c>
      <c r="C145" s="401">
        <f>AUTOQUESTIONNAIRE!G145</f>
        <v>0</v>
      </c>
      <c r="D145" s="400" t="s">
        <v>1294</v>
      </c>
      <c r="E145" s="400">
        <f t="shared" si="57"/>
        <v>0</v>
      </c>
      <c r="F145" s="445">
        <f>$E145</f>
        <v>0</v>
      </c>
      <c r="G145" s="445">
        <f>$E145</f>
        <v>0</v>
      </c>
      <c r="H145" s="445">
        <f>$E145</f>
        <v>0</v>
      </c>
      <c r="I145" s="445">
        <f>$E145</f>
        <v>0</v>
      </c>
      <c r="J145" s="445"/>
      <c r="K145" s="445">
        <f t="shared" ref="K145:M146" si="58">$E145</f>
        <v>0</v>
      </c>
      <c r="L145" s="445">
        <f t="shared" si="58"/>
        <v>0</v>
      </c>
      <c r="M145" s="445">
        <f t="shared" si="58"/>
        <v>0</v>
      </c>
      <c r="N145" s="445"/>
      <c r="O145" s="445"/>
      <c r="P145" s="445">
        <f>$E145</f>
        <v>0</v>
      </c>
      <c r="Q145" s="445">
        <f>$E145</f>
        <v>0</v>
      </c>
      <c r="R145" s="445"/>
      <c r="S145" s="445"/>
      <c r="T145" s="445"/>
      <c r="U145" s="445"/>
      <c r="V145" s="445">
        <f>$E145</f>
        <v>0</v>
      </c>
      <c r="W145" s="445"/>
      <c r="X145" s="445"/>
      <c r="Y145" s="445"/>
      <c r="Z145" s="445"/>
      <c r="AA145" s="445"/>
      <c r="AI145" s="675"/>
      <c r="AR145" s="445">
        <f>$E145</f>
        <v>0</v>
      </c>
    </row>
    <row r="146" spans="1:49" ht="72">
      <c r="A146" s="422" t="s">
        <v>240</v>
      </c>
      <c r="B146" s="656" t="s">
        <v>1148</v>
      </c>
      <c r="C146" s="401">
        <f>AUTOQUESTIONNAIRE!G146</f>
        <v>0</v>
      </c>
      <c r="D146" s="400" t="s">
        <v>1294</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445"/>
      <c r="Z146" s="445"/>
      <c r="AA146" s="445"/>
      <c r="AH146" s="445">
        <f>$E146</f>
        <v>0</v>
      </c>
      <c r="AI146" s="675"/>
    </row>
    <row r="147" spans="1:49">
      <c r="A147" s="418"/>
      <c r="B147" s="650"/>
      <c r="C147" s="401"/>
      <c r="F147" s="445"/>
      <c r="G147" s="445"/>
      <c r="H147" s="445"/>
      <c r="I147" s="445"/>
      <c r="J147" s="445"/>
      <c r="K147" s="445"/>
      <c r="L147" s="445"/>
      <c r="M147" s="445"/>
      <c r="N147" s="445"/>
      <c r="O147" s="445"/>
      <c r="P147" s="445"/>
      <c r="Q147" s="445"/>
      <c r="R147" s="445"/>
      <c r="S147" s="445"/>
      <c r="T147" s="445"/>
      <c r="U147" s="445"/>
      <c r="V147" s="445"/>
      <c r="W147" s="445"/>
      <c r="X147" s="445"/>
      <c r="Y147" s="445"/>
      <c r="Z147" s="445"/>
      <c r="AA147" s="445"/>
      <c r="AI147" s="675"/>
    </row>
    <row r="148" spans="1:49">
      <c r="A148" s="418"/>
      <c r="B148" s="650"/>
      <c r="C148" s="401"/>
      <c r="F148" s="445"/>
      <c r="G148" s="445"/>
      <c r="H148" s="445"/>
      <c r="I148" s="445"/>
      <c r="J148" s="445"/>
      <c r="K148" s="445"/>
      <c r="L148" s="445"/>
      <c r="M148" s="445"/>
      <c r="N148" s="445"/>
      <c r="O148" s="445"/>
      <c r="P148" s="445"/>
      <c r="Q148" s="445"/>
      <c r="R148" s="445"/>
      <c r="S148" s="445"/>
      <c r="T148" s="445"/>
      <c r="U148" s="445"/>
      <c r="V148" s="445"/>
      <c r="W148" s="445"/>
      <c r="X148" s="445"/>
      <c r="Y148" s="445"/>
      <c r="Z148" s="445"/>
      <c r="AA148" s="445"/>
      <c r="AI148" s="675"/>
    </row>
    <row r="149" spans="1:49" ht="28.8">
      <c r="A149" s="423" t="s">
        <v>1046</v>
      </c>
      <c r="B149" s="646" t="s">
        <v>1126</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445">
        <f t="shared" si="59"/>
        <v>0</v>
      </c>
      <c r="Z149" s="445"/>
      <c r="AA149" s="445">
        <f t="shared" si="42"/>
        <v>0</v>
      </c>
      <c r="AE149" s="445">
        <f>$C149</f>
        <v>0</v>
      </c>
      <c r="AI149" s="675"/>
    </row>
    <row r="150" spans="1:49" ht="28.8">
      <c r="A150" s="423" t="s">
        <v>1046</v>
      </c>
      <c r="B150" s="646" t="s">
        <v>1129</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445"/>
      <c r="Z150" s="445"/>
      <c r="AA150" s="445">
        <f t="shared" si="42"/>
        <v>0</v>
      </c>
      <c r="AD150" s="445">
        <f t="shared" si="42"/>
        <v>0</v>
      </c>
      <c r="AI150" s="675"/>
      <c r="AM150" s="445">
        <f>C150</f>
        <v>0</v>
      </c>
    </row>
    <row r="151" spans="1:49">
      <c r="A151" s="423" t="s">
        <v>1046</v>
      </c>
      <c r="B151" s="646" t="s">
        <v>1130</v>
      </c>
      <c r="C151" s="401">
        <f>AUTOQUESTIONNAIRE!G151</f>
        <v>1</v>
      </c>
      <c r="F151" s="445">
        <f t="shared" si="59"/>
        <v>1</v>
      </c>
      <c r="G151" s="445"/>
      <c r="H151" s="445"/>
      <c r="I151" s="445">
        <f t="shared" si="59"/>
        <v>1</v>
      </c>
      <c r="J151" s="445"/>
      <c r="K151" s="445"/>
      <c r="L151" s="445"/>
      <c r="M151" s="445"/>
      <c r="N151" s="445"/>
      <c r="O151" s="445"/>
      <c r="P151" s="445"/>
      <c r="Q151" s="445"/>
      <c r="R151" s="445">
        <f t="shared" si="59"/>
        <v>1</v>
      </c>
      <c r="S151" s="445"/>
      <c r="T151" s="445"/>
      <c r="U151" s="445"/>
      <c r="V151" s="445"/>
      <c r="W151" s="445"/>
      <c r="X151" s="445"/>
      <c r="Y151" s="445"/>
      <c r="Z151" s="445">
        <f t="shared" si="59"/>
        <v>1</v>
      </c>
      <c r="AA151" s="445">
        <f t="shared" si="42"/>
        <v>1</v>
      </c>
      <c r="AI151" s="675"/>
      <c r="AN151" s="445">
        <f>C151</f>
        <v>1</v>
      </c>
    </row>
    <row r="152" spans="1:49" ht="28.8">
      <c r="A152" s="423" t="s">
        <v>1046</v>
      </c>
      <c r="B152" s="646" t="s">
        <v>1131</v>
      </c>
      <c r="C152" s="401">
        <f>AUTOQUESTIONNAIRE!G152</f>
        <v>0.5</v>
      </c>
      <c r="F152" s="445"/>
      <c r="G152" s="445"/>
      <c r="H152" s="445"/>
      <c r="I152" s="445"/>
      <c r="J152" s="445"/>
      <c r="K152" s="445"/>
      <c r="L152" s="445"/>
      <c r="M152" s="445"/>
      <c r="N152" s="445"/>
      <c r="O152" s="445"/>
      <c r="P152" s="445"/>
      <c r="Q152" s="445"/>
      <c r="R152" s="445"/>
      <c r="S152" s="445"/>
      <c r="T152" s="445"/>
      <c r="U152" s="445"/>
      <c r="V152" s="445"/>
      <c r="W152" s="445"/>
      <c r="X152" s="445"/>
      <c r="Y152" s="445"/>
      <c r="Z152" s="445"/>
      <c r="AA152" s="445">
        <f t="shared" si="42"/>
        <v>0.5</v>
      </c>
      <c r="AI152" s="675"/>
      <c r="AV152" s="445">
        <f>C152</f>
        <v>0.5</v>
      </c>
    </row>
    <row r="153" spans="1:49">
      <c r="A153" s="423" t="s">
        <v>1046</v>
      </c>
      <c r="B153" s="659" t="s">
        <v>1132</v>
      </c>
      <c r="C153" s="401">
        <f>AUTOQUESTIONNAIRE!G153</f>
        <v>0</v>
      </c>
      <c r="F153" s="445"/>
      <c r="G153" s="445"/>
      <c r="H153" s="445"/>
      <c r="I153" s="445"/>
      <c r="J153" s="445"/>
      <c r="K153" s="445"/>
      <c r="L153" s="445"/>
      <c r="M153" s="445"/>
      <c r="N153" s="445"/>
      <c r="O153" s="445"/>
      <c r="P153" s="445"/>
      <c r="Q153" s="445"/>
      <c r="R153" s="445"/>
      <c r="S153" s="445"/>
      <c r="T153" s="445"/>
      <c r="U153" s="445"/>
      <c r="V153" s="445"/>
      <c r="W153" s="445"/>
      <c r="X153" s="445"/>
      <c r="Y153" s="445"/>
      <c r="Z153" s="445"/>
      <c r="AA153" s="445">
        <f t="shared" si="42"/>
        <v>0</v>
      </c>
      <c r="AI153" s="675"/>
      <c r="AW153" s="445">
        <f>$C153</f>
        <v>0</v>
      </c>
    </row>
    <row r="154" spans="1:49">
      <c r="A154" s="423" t="s">
        <v>1046</v>
      </c>
      <c r="B154" s="660" t="s">
        <v>1133</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445"/>
      <c r="Z154" s="445"/>
      <c r="AA154" s="445">
        <f t="shared" si="42"/>
        <v>0</v>
      </c>
      <c r="AI154" s="675"/>
    </row>
    <row r="155" spans="1:49">
      <c r="A155" s="423" t="s">
        <v>1046</v>
      </c>
      <c r="B155" s="646" t="s">
        <v>1134</v>
      </c>
      <c r="C155" s="401">
        <f>AUTOQUESTIONNAIRE!G155</f>
        <v>0</v>
      </c>
      <c r="F155" s="445">
        <f t="shared" si="59"/>
        <v>0</v>
      </c>
      <c r="G155" s="445">
        <f t="shared" si="59"/>
        <v>0</v>
      </c>
      <c r="H155" s="445"/>
      <c r="I155" s="445">
        <f t="shared" si="59"/>
        <v>0</v>
      </c>
      <c r="J155" s="445">
        <f t="shared" si="59"/>
        <v>0</v>
      </c>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445"/>
      <c r="Z155" s="445"/>
      <c r="AA155" s="445">
        <f t="shared" ref="AA155:AB165" si="60">$C155</f>
        <v>0</v>
      </c>
      <c r="AI155" s="675"/>
      <c r="AS155" s="445">
        <f>$C155</f>
        <v>0</v>
      </c>
    </row>
    <row r="156" spans="1:49" ht="28.8">
      <c r="A156" s="423" t="s">
        <v>1046</v>
      </c>
      <c r="B156" s="646" t="s">
        <v>1135</v>
      </c>
      <c r="C156" s="401">
        <f>AUTOQUESTIONNAIRE!G156</f>
        <v>0</v>
      </c>
      <c r="F156" s="445">
        <f t="shared" si="59"/>
        <v>0</v>
      </c>
      <c r="G156" s="445">
        <f t="shared" si="59"/>
        <v>0</v>
      </c>
      <c r="H156" s="445"/>
      <c r="I156" s="445">
        <f t="shared" si="59"/>
        <v>0</v>
      </c>
      <c r="J156" s="445">
        <f t="shared" si="59"/>
        <v>0</v>
      </c>
      <c r="K156" s="445">
        <f t="shared" si="59"/>
        <v>0</v>
      </c>
      <c r="L156" s="445">
        <f t="shared" si="59"/>
        <v>0</v>
      </c>
      <c r="M156" s="445"/>
      <c r="N156" s="445"/>
      <c r="O156" s="445"/>
      <c r="P156" s="445"/>
      <c r="Q156" s="445">
        <f t="shared" si="59"/>
        <v>0</v>
      </c>
      <c r="R156" s="445">
        <f t="shared" si="59"/>
        <v>0</v>
      </c>
      <c r="S156" s="445">
        <f t="shared" si="59"/>
        <v>0</v>
      </c>
      <c r="T156" s="445"/>
      <c r="U156" s="445"/>
      <c r="V156" s="445">
        <f t="shared" si="59"/>
        <v>0</v>
      </c>
      <c r="W156" s="445"/>
      <c r="X156" s="445">
        <f t="shared" si="59"/>
        <v>0</v>
      </c>
      <c r="Y156" s="445"/>
      <c r="Z156" s="445"/>
      <c r="AA156" s="445">
        <f t="shared" si="60"/>
        <v>0</v>
      </c>
      <c r="AD156" s="445">
        <f t="shared" ref="AD156" si="61">$C156</f>
        <v>0</v>
      </c>
      <c r="AI156" s="675"/>
      <c r="AM156" s="445">
        <f>C156</f>
        <v>0</v>
      </c>
    </row>
    <row r="157" spans="1:49">
      <c r="A157" s="423" t="s">
        <v>1046</v>
      </c>
      <c r="B157" s="659" t="s">
        <v>1127</v>
      </c>
      <c r="C157" s="401">
        <f>AUTOQUESTIONNAIRE!G157</f>
        <v>0</v>
      </c>
      <c r="F157" s="445">
        <f t="shared" ref="F157:Z168" si="62">$C157</f>
        <v>0</v>
      </c>
      <c r="G157" s="445">
        <f t="shared" si="62"/>
        <v>0</v>
      </c>
      <c r="H157" s="445"/>
      <c r="I157" s="445">
        <f t="shared" si="62"/>
        <v>0</v>
      </c>
      <c r="J157" s="445"/>
      <c r="K157" s="445"/>
      <c r="L157" s="445"/>
      <c r="M157" s="445">
        <f t="shared" si="62"/>
        <v>0</v>
      </c>
      <c r="N157" s="445"/>
      <c r="O157" s="445"/>
      <c r="P157" s="445">
        <f t="shared" si="62"/>
        <v>0</v>
      </c>
      <c r="Q157" s="445">
        <f t="shared" si="62"/>
        <v>0</v>
      </c>
      <c r="R157" s="445"/>
      <c r="S157" s="445">
        <f t="shared" si="62"/>
        <v>0</v>
      </c>
      <c r="T157" s="445"/>
      <c r="U157" s="445"/>
      <c r="V157" s="445"/>
      <c r="W157" s="445"/>
      <c r="X157" s="445"/>
      <c r="Y157" s="445"/>
      <c r="Z157" s="445"/>
      <c r="AA157" s="445">
        <f t="shared" si="60"/>
        <v>0</v>
      </c>
      <c r="AI157" s="675"/>
      <c r="AR157" s="445">
        <f t="shared" ref="AR157" si="63">$C157</f>
        <v>0</v>
      </c>
    </row>
    <row r="158" spans="1:49" ht="28.8">
      <c r="A158" s="423" t="s">
        <v>1046</v>
      </c>
      <c r="B158" s="646" t="s">
        <v>1136</v>
      </c>
      <c r="C158" s="401">
        <f>AUTOQUESTIONNAIRE!G158</f>
        <v>0</v>
      </c>
      <c r="F158" s="445">
        <f t="shared" si="62"/>
        <v>0</v>
      </c>
      <c r="G158" s="445">
        <f t="shared" si="62"/>
        <v>0</v>
      </c>
      <c r="H158" s="445"/>
      <c r="I158" s="445">
        <f t="shared" si="62"/>
        <v>0</v>
      </c>
      <c r="J158" s="445">
        <f t="shared" si="62"/>
        <v>0</v>
      </c>
      <c r="K158" s="445">
        <f t="shared" si="62"/>
        <v>0</v>
      </c>
      <c r="L158" s="445">
        <f t="shared" si="62"/>
        <v>0</v>
      </c>
      <c r="M158" s="445"/>
      <c r="N158" s="445"/>
      <c r="O158" s="445"/>
      <c r="P158" s="445"/>
      <c r="Q158" s="445"/>
      <c r="R158" s="445">
        <f t="shared" si="62"/>
        <v>0</v>
      </c>
      <c r="S158" s="445">
        <f t="shared" si="62"/>
        <v>0</v>
      </c>
      <c r="T158" s="445"/>
      <c r="U158" s="445"/>
      <c r="V158" s="445"/>
      <c r="W158" s="445"/>
      <c r="X158" s="445"/>
      <c r="Y158" s="445"/>
      <c r="Z158" s="445"/>
      <c r="AA158" s="445">
        <f t="shared" si="60"/>
        <v>0</v>
      </c>
      <c r="AI158" s="675"/>
      <c r="AM158" s="445">
        <f>C158</f>
        <v>0</v>
      </c>
    </row>
    <row r="159" spans="1:49">
      <c r="A159" s="423" t="s">
        <v>1046</v>
      </c>
      <c r="B159" s="659" t="s">
        <v>1137</v>
      </c>
      <c r="C159" s="401">
        <f>AUTOQUESTIONNAIRE!G159</f>
        <v>0</v>
      </c>
      <c r="F159" s="445">
        <f t="shared" si="62"/>
        <v>0</v>
      </c>
      <c r="G159" s="445"/>
      <c r="H159" s="445"/>
      <c r="I159" s="445">
        <f t="shared" si="62"/>
        <v>0</v>
      </c>
      <c r="J159" s="445"/>
      <c r="K159" s="445">
        <f t="shared" si="62"/>
        <v>0</v>
      </c>
      <c r="L159" s="445">
        <f t="shared" si="62"/>
        <v>0</v>
      </c>
      <c r="M159" s="445"/>
      <c r="N159" s="445"/>
      <c r="O159" s="445"/>
      <c r="P159" s="445"/>
      <c r="Q159" s="445"/>
      <c r="R159" s="445"/>
      <c r="S159" s="445">
        <f t="shared" si="62"/>
        <v>0</v>
      </c>
      <c r="T159" s="445"/>
      <c r="U159" s="445"/>
      <c r="V159" s="445">
        <f t="shared" si="62"/>
        <v>0</v>
      </c>
      <c r="W159" s="445"/>
      <c r="X159" s="445">
        <f t="shared" si="62"/>
        <v>0</v>
      </c>
      <c r="Y159" s="445"/>
      <c r="Z159" s="445"/>
      <c r="AA159" s="445">
        <f t="shared" si="60"/>
        <v>0</v>
      </c>
      <c r="AI159" s="675"/>
      <c r="AO159" s="445">
        <f>C159</f>
        <v>0</v>
      </c>
      <c r="AP159" s="445">
        <f>C159</f>
        <v>0</v>
      </c>
    </row>
    <row r="160" spans="1:49" ht="28.8">
      <c r="A160" s="423" t="s">
        <v>1046</v>
      </c>
      <c r="B160" s="646" t="s">
        <v>1140</v>
      </c>
      <c r="C160" s="401">
        <f>AUTOQUESTIONNAIRE!G160</f>
        <v>0</v>
      </c>
      <c r="F160" s="445">
        <f t="shared" si="62"/>
        <v>0</v>
      </c>
      <c r="G160" s="445"/>
      <c r="H160" s="445"/>
      <c r="I160" s="445">
        <f t="shared" si="62"/>
        <v>0</v>
      </c>
      <c r="J160" s="445"/>
      <c r="K160" s="445">
        <f t="shared" si="62"/>
        <v>0</v>
      </c>
      <c r="L160" s="445">
        <f t="shared" si="62"/>
        <v>0</v>
      </c>
      <c r="M160" s="445">
        <f t="shared" si="62"/>
        <v>0</v>
      </c>
      <c r="N160" s="445"/>
      <c r="O160" s="445">
        <f t="shared" si="62"/>
        <v>0</v>
      </c>
      <c r="P160" s="445">
        <f t="shared" si="62"/>
        <v>0</v>
      </c>
      <c r="Q160" s="445">
        <f t="shared" si="62"/>
        <v>0</v>
      </c>
      <c r="R160" s="445">
        <f t="shared" si="62"/>
        <v>0</v>
      </c>
      <c r="S160" s="445">
        <f t="shared" si="62"/>
        <v>0</v>
      </c>
      <c r="T160" s="445"/>
      <c r="U160" s="445"/>
      <c r="V160" s="445">
        <f t="shared" si="62"/>
        <v>0</v>
      </c>
      <c r="W160" s="445"/>
      <c r="X160" s="445">
        <f t="shared" si="62"/>
        <v>0</v>
      </c>
      <c r="Y160" s="445">
        <f t="shared" si="62"/>
        <v>0</v>
      </c>
      <c r="Z160" s="445">
        <f t="shared" si="62"/>
        <v>0</v>
      </c>
      <c r="AA160" s="445">
        <f t="shared" si="60"/>
        <v>0</v>
      </c>
      <c r="AI160" s="675"/>
      <c r="AU160" s="445">
        <f>C160</f>
        <v>0</v>
      </c>
    </row>
    <row r="161" spans="1:47" ht="28.8">
      <c r="A161" s="423" t="s">
        <v>1046</v>
      </c>
      <c r="B161" s="646" t="s">
        <v>1138</v>
      </c>
      <c r="C161" s="401">
        <f>AUTOQUESTIONNAIRE!G161</f>
        <v>0</v>
      </c>
      <c r="F161" s="445">
        <f t="shared" si="62"/>
        <v>0</v>
      </c>
      <c r="G161" s="445"/>
      <c r="H161" s="445"/>
      <c r="I161" s="445">
        <f t="shared" si="62"/>
        <v>0</v>
      </c>
      <c r="J161" s="445">
        <f t="shared" si="62"/>
        <v>0</v>
      </c>
      <c r="K161" s="445"/>
      <c r="L161" s="445"/>
      <c r="M161" s="445">
        <f t="shared" si="62"/>
        <v>0</v>
      </c>
      <c r="N161" s="445"/>
      <c r="O161" s="445"/>
      <c r="P161" s="445"/>
      <c r="Q161" s="445">
        <f t="shared" si="62"/>
        <v>0</v>
      </c>
      <c r="R161" s="445"/>
      <c r="S161" s="445">
        <f t="shared" si="62"/>
        <v>0</v>
      </c>
      <c r="T161" s="445"/>
      <c r="U161" s="445"/>
      <c r="V161" s="445">
        <f t="shared" si="62"/>
        <v>0</v>
      </c>
      <c r="W161" s="445"/>
      <c r="X161" s="445">
        <f t="shared" si="62"/>
        <v>0</v>
      </c>
      <c r="Y161" s="445">
        <f t="shared" si="62"/>
        <v>0</v>
      </c>
      <c r="Z161" s="445"/>
      <c r="AA161" s="445">
        <f t="shared" si="60"/>
        <v>0</v>
      </c>
      <c r="AI161" s="675"/>
      <c r="AU161" s="445">
        <f>C161</f>
        <v>0</v>
      </c>
    </row>
    <row r="162" spans="1:47" ht="43.2">
      <c r="A162" s="423" t="s">
        <v>1046</v>
      </c>
      <c r="B162" s="646" t="s">
        <v>1139</v>
      </c>
      <c r="C162" s="401">
        <f>AUTOQUESTIONNAIRE!G162</f>
        <v>0</v>
      </c>
      <c r="F162" s="445">
        <f t="shared" si="62"/>
        <v>0</v>
      </c>
      <c r="G162" s="445">
        <f t="shared" si="62"/>
        <v>0</v>
      </c>
      <c r="H162" s="445"/>
      <c r="I162" s="445">
        <f t="shared" si="62"/>
        <v>0</v>
      </c>
      <c r="J162" s="445">
        <f t="shared" si="62"/>
        <v>0</v>
      </c>
      <c r="K162" s="445">
        <f t="shared" si="62"/>
        <v>0</v>
      </c>
      <c r="L162" s="445">
        <f t="shared" si="62"/>
        <v>0</v>
      </c>
      <c r="M162" s="445">
        <f t="shared" si="62"/>
        <v>0</v>
      </c>
      <c r="N162" s="445"/>
      <c r="O162" s="445"/>
      <c r="P162" s="445">
        <f t="shared" si="62"/>
        <v>0</v>
      </c>
      <c r="Q162" s="445">
        <f t="shared" si="62"/>
        <v>0</v>
      </c>
      <c r="R162" s="445">
        <f t="shared" si="62"/>
        <v>0</v>
      </c>
      <c r="S162" s="445">
        <f t="shared" si="62"/>
        <v>0</v>
      </c>
      <c r="T162" s="445"/>
      <c r="U162" s="445"/>
      <c r="V162" s="445">
        <f t="shared" si="62"/>
        <v>0</v>
      </c>
      <c r="W162" s="445"/>
      <c r="X162" s="445">
        <f t="shared" si="62"/>
        <v>0</v>
      </c>
      <c r="Y162" s="445"/>
      <c r="Z162" s="445"/>
      <c r="AA162" s="445">
        <f t="shared" si="60"/>
        <v>0</v>
      </c>
      <c r="AH162" s="445">
        <f t="shared" ref="AH162" si="64">$C162</f>
        <v>0</v>
      </c>
      <c r="AI162" s="675"/>
    </row>
    <row r="163" spans="1:47" ht="43.2">
      <c r="A163" s="423" t="s">
        <v>1046</v>
      </c>
      <c r="B163" s="646" t="s">
        <v>1141</v>
      </c>
      <c r="C163" s="401">
        <f>AUTOQUESTIONNAIRE!G163</f>
        <v>0</v>
      </c>
      <c r="F163" s="445">
        <f t="shared" si="62"/>
        <v>0</v>
      </c>
      <c r="G163" s="445">
        <f t="shared" si="62"/>
        <v>0</v>
      </c>
      <c r="H163" s="445"/>
      <c r="I163" s="445">
        <f t="shared" si="62"/>
        <v>0</v>
      </c>
      <c r="J163" s="445">
        <f t="shared" si="62"/>
        <v>0</v>
      </c>
      <c r="K163" s="445">
        <f t="shared" si="62"/>
        <v>0</v>
      </c>
      <c r="L163" s="445">
        <f t="shared" si="62"/>
        <v>0</v>
      </c>
      <c r="M163" s="445">
        <f t="shared" si="62"/>
        <v>0</v>
      </c>
      <c r="N163" s="445"/>
      <c r="O163" s="445"/>
      <c r="P163" s="445">
        <f t="shared" si="62"/>
        <v>0</v>
      </c>
      <c r="Q163" s="445">
        <f t="shared" si="62"/>
        <v>0</v>
      </c>
      <c r="R163" s="445">
        <f t="shared" si="62"/>
        <v>0</v>
      </c>
      <c r="S163" s="445">
        <f t="shared" si="62"/>
        <v>0</v>
      </c>
      <c r="T163" s="445"/>
      <c r="U163" s="445"/>
      <c r="V163" s="445">
        <f t="shared" si="62"/>
        <v>0</v>
      </c>
      <c r="W163" s="445"/>
      <c r="X163" s="445">
        <f t="shared" si="62"/>
        <v>0</v>
      </c>
      <c r="Y163" s="445"/>
      <c r="Z163" s="445">
        <f t="shared" si="62"/>
        <v>0</v>
      </c>
      <c r="AA163" s="445">
        <f t="shared" si="60"/>
        <v>0</v>
      </c>
      <c r="AI163" s="675"/>
    </row>
    <row r="164" spans="1:47" ht="28.8">
      <c r="A164" s="423" t="s">
        <v>1046</v>
      </c>
      <c r="B164" s="646" t="s">
        <v>1142</v>
      </c>
      <c r="C164" s="401">
        <f>AUTOQUESTIONNAIRE!G164</f>
        <v>0</v>
      </c>
      <c r="F164" s="445">
        <f t="shared" si="62"/>
        <v>0</v>
      </c>
      <c r="G164" s="445">
        <f t="shared" si="62"/>
        <v>0</v>
      </c>
      <c r="H164" s="445"/>
      <c r="I164" s="445">
        <f t="shared" si="62"/>
        <v>0</v>
      </c>
      <c r="J164" s="445">
        <f t="shared" si="62"/>
        <v>0</v>
      </c>
      <c r="K164" s="445"/>
      <c r="L164" s="445"/>
      <c r="M164" s="445">
        <f t="shared" si="62"/>
        <v>0</v>
      </c>
      <c r="N164" s="445"/>
      <c r="O164" s="445"/>
      <c r="P164" s="445">
        <f t="shared" si="62"/>
        <v>0</v>
      </c>
      <c r="Q164" s="445">
        <f t="shared" si="62"/>
        <v>0</v>
      </c>
      <c r="R164" s="445">
        <f t="shared" si="62"/>
        <v>0</v>
      </c>
      <c r="S164" s="445">
        <f t="shared" si="62"/>
        <v>0</v>
      </c>
      <c r="T164" s="445"/>
      <c r="U164" s="445"/>
      <c r="V164" s="445"/>
      <c r="W164" s="445"/>
      <c r="X164" s="445"/>
      <c r="Y164" s="445"/>
      <c r="Z164" s="445"/>
      <c r="AA164" s="445">
        <f t="shared" si="60"/>
        <v>0</v>
      </c>
      <c r="AB164" s="445">
        <f t="shared" si="60"/>
        <v>0</v>
      </c>
      <c r="AI164" s="675"/>
      <c r="AS164" s="445">
        <f>C164</f>
        <v>0</v>
      </c>
    </row>
    <row r="165" spans="1:47" ht="28.8">
      <c r="A165" s="423" t="s">
        <v>1046</v>
      </c>
      <c r="B165" s="646" t="s">
        <v>1143</v>
      </c>
      <c r="C165" s="401">
        <f>AUTOQUESTIONNAIRE!G165</f>
        <v>0</v>
      </c>
      <c r="F165" s="445">
        <f t="shared" si="62"/>
        <v>0</v>
      </c>
      <c r="G165" s="445"/>
      <c r="H165" s="445"/>
      <c r="I165" s="445">
        <f t="shared" si="62"/>
        <v>0</v>
      </c>
      <c r="J165" s="445">
        <f t="shared" si="62"/>
        <v>0</v>
      </c>
      <c r="K165" s="445"/>
      <c r="L165" s="445"/>
      <c r="M165" s="445"/>
      <c r="N165" s="445"/>
      <c r="O165" s="445">
        <f t="shared" si="62"/>
        <v>0</v>
      </c>
      <c r="P165" s="445"/>
      <c r="Q165" s="445"/>
      <c r="R165" s="445"/>
      <c r="S165" s="445">
        <f t="shared" si="62"/>
        <v>0</v>
      </c>
      <c r="T165" s="445"/>
      <c r="U165" s="445"/>
      <c r="V165" s="445">
        <f t="shared" si="62"/>
        <v>0</v>
      </c>
      <c r="W165" s="445"/>
      <c r="X165" s="445">
        <f t="shared" si="62"/>
        <v>0</v>
      </c>
      <c r="Y165" s="445"/>
      <c r="Z165" s="445"/>
      <c r="AA165" s="445">
        <f t="shared" si="60"/>
        <v>0</v>
      </c>
      <c r="AI165" s="675"/>
      <c r="AU165" s="445">
        <f>C165</f>
        <v>0</v>
      </c>
    </row>
    <row r="166" spans="1:47" ht="72">
      <c r="A166" s="423" t="s">
        <v>1046</v>
      </c>
      <c r="B166" s="646" t="s">
        <v>1149</v>
      </c>
      <c r="C166" s="401">
        <f>AUTOQUESTIONNAIRE!G166</f>
        <v>0</v>
      </c>
      <c r="F166" s="445">
        <f t="shared" si="62"/>
        <v>0</v>
      </c>
      <c r="G166" s="445">
        <f t="shared" si="62"/>
        <v>0</v>
      </c>
      <c r="H166" s="445"/>
      <c r="I166" s="445">
        <f t="shared" si="62"/>
        <v>0</v>
      </c>
      <c r="J166" s="445"/>
      <c r="K166" s="445"/>
      <c r="L166" s="445"/>
      <c r="M166" s="445"/>
      <c r="N166" s="445">
        <f t="shared" si="62"/>
        <v>0</v>
      </c>
      <c r="O166" s="445"/>
      <c r="P166" s="445"/>
      <c r="Q166" s="445">
        <f t="shared" si="62"/>
        <v>0</v>
      </c>
      <c r="R166" s="445"/>
      <c r="S166" s="445">
        <f t="shared" si="62"/>
        <v>0</v>
      </c>
      <c r="T166" s="445"/>
      <c r="U166" s="445">
        <f t="shared" si="62"/>
        <v>0</v>
      </c>
      <c r="V166" s="445">
        <f t="shared" si="62"/>
        <v>0</v>
      </c>
      <c r="W166" s="445"/>
      <c r="X166" s="445">
        <f t="shared" si="62"/>
        <v>0</v>
      </c>
      <c r="Y166" s="445"/>
      <c r="Z166" s="445"/>
      <c r="AA166" s="445"/>
      <c r="AI166" s="675"/>
      <c r="AO166" s="445">
        <f>C166</f>
        <v>0</v>
      </c>
    </row>
    <row r="167" spans="1:47" ht="57.6">
      <c r="A167" s="423" t="s">
        <v>1046</v>
      </c>
      <c r="B167" s="646" t="s">
        <v>1150</v>
      </c>
      <c r="C167" s="401">
        <f>AUTOQUESTIONNAIRE!G167</f>
        <v>0</v>
      </c>
      <c r="F167" s="445">
        <f t="shared" si="62"/>
        <v>0</v>
      </c>
      <c r="G167" s="445">
        <f t="shared" si="62"/>
        <v>0</v>
      </c>
      <c r="H167" s="445"/>
      <c r="I167" s="445">
        <f t="shared" si="62"/>
        <v>0</v>
      </c>
      <c r="J167" s="445"/>
      <c r="K167" s="445"/>
      <c r="L167" s="445"/>
      <c r="M167" s="445"/>
      <c r="N167" s="445">
        <f t="shared" si="62"/>
        <v>0</v>
      </c>
      <c r="O167" s="445"/>
      <c r="P167" s="445"/>
      <c r="Q167" s="445">
        <f t="shared" si="62"/>
        <v>0</v>
      </c>
      <c r="R167" s="445"/>
      <c r="S167" s="445">
        <f t="shared" si="62"/>
        <v>0</v>
      </c>
      <c r="T167" s="445"/>
      <c r="U167" s="445">
        <f t="shared" si="62"/>
        <v>0</v>
      </c>
      <c r="V167" s="445">
        <f t="shared" si="62"/>
        <v>0</v>
      </c>
      <c r="W167" s="445"/>
      <c r="X167" s="445">
        <f t="shared" si="62"/>
        <v>0</v>
      </c>
      <c r="Y167" s="445"/>
      <c r="Z167" s="445"/>
      <c r="AA167" s="445"/>
      <c r="AI167" s="675"/>
      <c r="AO167" s="445">
        <f>C167</f>
        <v>0</v>
      </c>
    </row>
    <row r="168" spans="1:47" ht="43.2">
      <c r="A168" s="423" t="s">
        <v>1046</v>
      </c>
      <c r="B168" s="646" t="s">
        <v>1304</v>
      </c>
      <c r="C168" s="404">
        <f>AUTOQUESTIONNAIRE!G168</f>
        <v>0</v>
      </c>
      <c r="F168" s="445">
        <f t="shared" si="62"/>
        <v>0</v>
      </c>
      <c r="T168" s="445">
        <f t="shared" si="62"/>
        <v>0</v>
      </c>
      <c r="AI168" s="675"/>
    </row>
    <row r="169" spans="1:47" ht="28.8">
      <c r="A169" s="423" t="s">
        <v>1046</v>
      </c>
      <c r="B169" s="646" t="s">
        <v>1305</v>
      </c>
      <c r="C169" s="404">
        <f>AUTOQUESTIONNAIRE!G169</f>
        <v>0</v>
      </c>
      <c r="F169" s="445"/>
      <c r="AI169" s="675"/>
      <c r="AU169" s="445">
        <f>C169</f>
        <v>0</v>
      </c>
    </row>
    <row r="170" spans="1:47">
      <c r="A170" s="423" t="s">
        <v>1046</v>
      </c>
      <c r="B170" s="317" t="s">
        <v>1316</v>
      </c>
      <c r="C170" s="404">
        <f>AUTOQUESTIONNAIRE!G170</f>
        <v>0</v>
      </c>
      <c r="F170" s="445"/>
      <c r="K170" s="445">
        <f t="shared" ref="K170:M171" si="65">$C170</f>
        <v>0</v>
      </c>
      <c r="L170" s="445">
        <f t="shared" si="65"/>
        <v>0</v>
      </c>
      <c r="M170" s="445">
        <f t="shared" si="65"/>
        <v>0</v>
      </c>
      <c r="Q170" s="445">
        <f t="shared" ref="Q170:Q174" si="66">$C170</f>
        <v>0</v>
      </c>
      <c r="AI170" s="675"/>
    </row>
    <row r="171" spans="1:47">
      <c r="A171" s="423" t="s">
        <v>1046</v>
      </c>
      <c r="B171" s="317" t="s">
        <v>1317</v>
      </c>
      <c r="C171" s="404">
        <f>AUTOQUESTIONNAIRE!G171</f>
        <v>0</v>
      </c>
      <c r="F171" s="445">
        <f t="shared" ref="F171:F172" si="67">$C171</f>
        <v>0</v>
      </c>
      <c r="G171" s="445">
        <f t="shared" ref="G171:G172" si="68">$C171</f>
        <v>0</v>
      </c>
      <c r="I171" s="445">
        <f t="shared" ref="I171:I172" si="69">$C171</f>
        <v>0</v>
      </c>
      <c r="K171" s="445">
        <f t="shared" si="65"/>
        <v>0</v>
      </c>
      <c r="L171" s="445">
        <f t="shared" si="65"/>
        <v>0</v>
      </c>
      <c r="M171" s="445">
        <f t="shared" si="65"/>
        <v>0</v>
      </c>
      <c r="Q171" s="445">
        <f t="shared" si="66"/>
        <v>0</v>
      </c>
      <c r="AH171" s="445">
        <f t="shared" ref="AH171" si="70">$C171</f>
        <v>0</v>
      </c>
      <c r="AI171" s="675"/>
    </row>
    <row r="172" spans="1:47">
      <c r="A172" s="423" t="s">
        <v>1046</v>
      </c>
      <c r="B172" s="317" t="s">
        <v>1318</v>
      </c>
      <c r="C172" s="404">
        <f>AUTOQUESTIONNAIRE!G172</f>
        <v>0</v>
      </c>
      <c r="F172" s="445">
        <f t="shared" si="67"/>
        <v>0</v>
      </c>
      <c r="G172" s="445">
        <f t="shared" si="68"/>
        <v>0</v>
      </c>
      <c r="I172" s="445">
        <f t="shared" si="69"/>
        <v>0</v>
      </c>
      <c r="M172" s="445">
        <f t="shared" ref="M172:M173" si="71">$C172</f>
        <v>0</v>
      </c>
      <c r="Q172" s="445">
        <f t="shared" si="66"/>
        <v>0</v>
      </c>
      <c r="S172" s="445">
        <f t="shared" ref="S172:S173" si="72">$C172</f>
        <v>0</v>
      </c>
      <c r="AI172" s="675"/>
    </row>
    <row r="173" spans="1:47">
      <c r="A173" s="423" t="s">
        <v>1046</v>
      </c>
      <c r="B173" s="317" t="s">
        <v>1319</v>
      </c>
      <c r="C173" s="404">
        <f>AUTOQUESTIONNAIRE!G173</f>
        <v>0</v>
      </c>
      <c r="F173" s="445"/>
      <c r="M173" s="445">
        <f t="shared" si="71"/>
        <v>0</v>
      </c>
      <c r="Q173" s="445">
        <f t="shared" si="66"/>
        <v>0</v>
      </c>
      <c r="S173" s="445">
        <f t="shared" si="72"/>
        <v>0</v>
      </c>
      <c r="AI173" s="675"/>
      <c r="AM173" s="445">
        <f>C173</f>
        <v>0</v>
      </c>
    </row>
    <row r="174" spans="1:47">
      <c r="A174" s="423" t="s">
        <v>1046</v>
      </c>
      <c r="B174" s="661" t="s">
        <v>1320</v>
      </c>
      <c r="C174" s="404">
        <f>AUTOQUESTIONNAIRE!G174</f>
        <v>0</v>
      </c>
      <c r="F174" s="445"/>
      <c r="K174" s="445">
        <f t="shared" ref="K174:L174" si="73">$C174</f>
        <v>0</v>
      </c>
      <c r="L174" s="445">
        <f t="shared" si="73"/>
        <v>0</v>
      </c>
      <c r="Q174" s="445">
        <f t="shared" si="66"/>
        <v>0</v>
      </c>
      <c r="AH174" s="445">
        <f t="shared" ref="AH174" si="74">$C174</f>
        <v>0</v>
      </c>
      <c r="AI174" s="675"/>
    </row>
    <row r="175" spans="1:47">
      <c r="B175" s="662"/>
      <c r="F175" s="445"/>
      <c r="K175" s="445"/>
      <c r="L175" s="445"/>
      <c r="Q175" s="445"/>
      <c r="AI175" s="675"/>
    </row>
    <row r="176" spans="1:47">
      <c r="B176" s="662"/>
      <c r="F176" s="445"/>
      <c r="K176" s="445"/>
      <c r="L176" s="445"/>
      <c r="Q176" s="445"/>
      <c r="AI176" s="675"/>
    </row>
    <row r="177" spans="1:116">
      <c r="B177" s="662"/>
      <c r="F177" s="445"/>
      <c r="K177" s="445"/>
      <c r="L177" s="445"/>
      <c r="Q177" s="445"/>
      <c r="AI177" s="675"/>
    </row>
    <row r="178" spans="1:116">
      <c r="B178" s="662"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5">$C178</f>
        <v>0</v>
      </c>
      <c r="I178" s="445">
        <f t="shared" ref="I178" si="76">$C178</f>
        <v>0</v>
      </c>
      <c r="K178" s="445"/>
      <c r="L178" s="445"/>
      <c r="Q178" s="445"/>
      <c r="AI178" s="675"/>
    </row>
    <row r="179" spans="1:116">
      <c r="B179" s="662"/>
      <c r="F179" s="445"/>
      <c r="K179" s="445"/>
      <c r="L179" s="445"/>
      <c r="Q179" s="445"/>
      <c r="AI179" s="675"/>
    </row>
    <row r="180" spans="1:116" s="411" customFormat="1">
      <c r="A180" s="358"/>
      <c r="B180" s="662"/>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443"/>
      <c r="Z180" s="443"/>
      <c r="AA180" s="443"/>
      <c r="AB180" s="443"/>
      <c r="AC180" s="443"/>
      <c r="AD180" s="443"/>
      <c r="AE180" s="443"/>
      <c r="AF180" s="443"/>
      <c r="AG180" s="443"/>
      <c r="AH180" s="443"/>
      <c r="AI180" s="675"/>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443"/>
      <c r="BT180" s="735"/>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c r="DL180" s="400"/>
    </row>
    <row r="181" spans="1:116">
      <c r="B181" s="662"/>
      <c r="F181" s="445"/>
      <c r="K181" s="445"/>
      <c r="L181" s="445"/>
      <c r="Q181" s="445"/>
      <c r="AI181" s="675"/>
    </row>
    <row r="182" spans="1:116">
      <c r="B182" s="662"/>
      <c r="F182" s="445"/>
      <c r="K182" s="445"/>
      <c r="L182" s="445"/>
      <c r="Q182" s="445"/>
      <c r="AI182" s="675"/>
    </row>
    <row r="183" spans="1:116">
      <c r="B183" s="662"/>
      <c r="F183" s="445"/>
      <c r="K183" s="445"/>
      <c r="L183" s="445"/>
      <c r="Q183" s="445"/>
      <c r="AI183" s="675"/>
    </row>
    <row r="184" spans="1:116">
      <c r="B184" s="662"/>
      <c r="F184" s="445"/>
      <c r="K184" s="445"/>
      <c r="L184" s="445"/>
      <c r="Q184" s="445"/>
      <c r="AI184" s="675"/>
    </row>
    <row r="185" spans="1:116">
      <c r="B185" s="662"/>
      <c r="F185" s="445"/>
      <c r="K185" s="445"/>
      <c r="L185" s="445"/>
      <c r="Q185" s="445"/>
      <c r="AI185" s="675"/>
    </row>
    <row r="186" spans="1:116">
      <c r="B186" s="662"/>
      <c r="F186" s="445"/>
      <c r="K186" s="445"/>
      <c r="L186" s="445"/>
      <c r="Q186" s="445"/>
      <c r="AI186" s="675"/>
    </row>
    <row r="187" spans="1:116">
      <c r="B187" s="359"/>
      <c r="F187" s="445"/>
      <c r="K187" s="445"/>
      <c r="L187" s="445"/>
      <c r="Q187" s="445"/>
      <c r="AI187" s="675"/>
    </row>
    <row r="188" spans="1:116">
      <c r="B188" s="359" t="str">
        <f>AUTOQUESTIONNAIRE!D188</f>
        <v>Avez-vous été vacciné(e) contre la varicelle (chickenpox) ?  (non=0, oui=1, ne sais pas =2)</v>
      </c>
      <c r="C188" s="404">
        <f>AUTOQUESTIONNAIRE!G188</f>
        <v>0</v>
      </c>
      <c r="F188" s="445"/>
      <c r="K188" s="445"/>
      <c r="L188" s="445"/>
      <c r="Q188" s="445"/>
      <c r="AI188" s="675"/>
    </row>
    <row r="189" spans="1:116">
      <c r="B189" s="359" t="str">
        <f>AUTOQUESTIONNAIRE!D189</f>
        <v>Avez-vous reçu le vaccin ROR (rougeole, oreillons, rubéole) ?  (non=0, oui=1, ne sais pas =2)</v>
      </c>
      <c r="C189" s="404">
        <f>AUTOQUESTIONNAIRE!G189</f>
        <v>0</v>
      </c>
      <c r="F189" s="445"/>
      <c r="K189" s="445"/>
      <c r="L189" s="445"/>
      <c r="Q189" s="445"/>
      <c r="AI189" s="675"/>
      <c r="BI189" s="669">
        <f>$C189</f>
        <v>0</v>
      </c>
    </row>
    <row r="190" spans="1:116">
      <c r="B190" s="359" t="str">
        <f>AUTOQUESTIONNAIRE!D190</f>
        <v>Avez-vous reçu le vaccin contre l’encéphalite à tiques (FSME) ?  (non=0, oui=1, ne sais pas =2)</v>
      </c>
      <c r="C190" s="404">
        <f>AUTOQUESTIONNAIRE!G190</f>
        <v>0</v>
      </c>
      <c r="F190" s="445"/>
      <c r="K190" s="445"/>
      <c r="L190" s="445"/>
      <c r="Q190" s="445"/>
      <c r="AI190" s="675"/>
      <c r="BJ190" s="669">
        <f>$C190</f>
        <v>0</v>
      </c>
    </row>
    <row r="191" spans="1:116">
      <c r="B191" s="359" t="str">
        <f>AUTOQUESTIONNAIRE!D191</f>
        <v>Avez-vous reçu le vaccin contre les méningocoques ACWY ?  (non=0, oui=1, ne sais pas =2)</v>
      </c>
      <c r="C191" s="404">
        <f>AUTOQUESTIONNAIRE!G191</f>
        <v>0</v>
      </c>
      <c r="F191" s="445"/>
      <c r="K191" s="445"/>
      <c r="L191" s="445"/>
      <c r="Q191" s="445"/>
      <c r="AI191" s="675"/>
      <c r="BK191" s="669">
        <f>$C191</f>
        <v>0</v>
      </c>
      <c r="BL191" s="669"/>
    </row>
    <row r="192" spans="1:116">
      <c r="B192" s="359" t="str">
        <f>AUTOQUESTIONNAIRE!D192</f>
        <v>Avez-vous reçu le vaccin contre l'hémophilus ?  (non=0, oui=1, ne sais pas =2)</v>
      </c>
      <c r="C192" s="404">
        <f>AUTOQUESTIONNAIRE!G192</f>
        <v>0</v>
      </c>
      <c r="F192" s="445"/>
      <c r="K192" s="445"/>
      <c r="L192" s="445"/>
      <c r="Q192" s="445"/>
      <c r="AI192" s="675"/>
      <c r="BM192" s="669">
        <f>$C192</f>
        <v>0</v>
      </c>
    </row>
    <row r="193" spans="2:116">
      <c r="B193" s="359" t="str">
        <f>AUTOQUESTIONNAIRE!D193</f>
        <v>Avez-vous reçu le vaccin contre les méningocoques  B ?  (non=0, oui=1, ne sais pas =2)</v>
      </c>
      <c r="C193" s="404">
        <f>AUTOQUESTIONNAIRE!G193</f>
        <v>0</v>
      </c>
      <c r="F193" s="445"/>
      <c r="K193" s="445"/>
      <c r="L193" s="445"/>
      <c r="Q193" s="445"/>
      <c r="AI193" s="675"/>
      <c r="BL193" s="443">
        <f>C193</f>
        <v>0</v>
      </c>
    </row>
    <row r="194" spans="2:116">
      <c r="B194" s="662"/>
      <c r="F194" s="445"/>
      <c r="K194" s="445"/>
      <c r="L194" s="445"/>
      <c r="Q194" s="445"/>
      <c r="AI194" s="675"/>
    </row>
    <row r="195" spans="2:116">
      <c r="B195" s="662"/>
      <c r="F195" s="445"/>
      <c r="K195" s="445"/>
      <c r="L195" s="445"/>
      <c r="Q195" s="445"/>
      <c r="AI195" s="675"/>
    </row>
    <row r="196" spans="2:116">
      <c r="B196" s="662"/>
      <c r="F196" s="445"/>
      <c r="K196" s="445"/>
      <c r="L196" s="445"/>
      <c r="Q196" s="445"/>
      <c r="AI196" s="675"/>
    </row>
    <row r="197" spans="2:116">
      <c r="B197" s="662"/>
      <c r="F197" s="445"/>
      <c r="K197" s="445"/>
      <c r="L197" s="445"/>
      <c r="Q197" s="445"/>
      <c r="AI197" s="675"/>
    </row>
    <row r="198" spans="2:116">
      <c r="B198" s="662"/>
      <c r="F198" s="445"/>
      <c r="K198" s="445"/>
      <c r="L198" s="445"/>
      <c r="Q198" s="445"/>
      <c r="AI198" s="675"/>
    </row>
    <row r="199" spans="2:116">
      <c r="B199" s="662"/>
      <c r="F199" s="445"/>
      <c r="K199" s="445"/>
      <c r="L199" s="445"/>
      <c r="Q199" s="445"/>
      <c r="AI199" s="675"/>
    </row>
    <row r="200" spans="2:116">
      <c r="B200" s="662"/>
      <c r="F200" s="445"/>
      <c r="K200" s="445"/>
      <c r="L200" s="445"/>
      <c r="Q200" s="445"/>
      <c r="AI200" s="675"/>
    </row>
    <row r="201" spans="2:116">
      <c r="B201" s="662"/>
      <c r="F201" s="445"/>
      <c r="K201" s="445"/>
      <c r="L201" s="445"/>
      <c r="Q201" s="445"/>
      <c r="AI201" s="675"/>
    </row>
    <row r="202" spans="2:116">
      <c r="B202" s="662"/>
      <c r="F202" s="445"/>
      <c r="K202" s="445"/>
      <c r="L202" s="445"/>
      <c r="Q202" s="445"/>
      <c r="AI202" s="675"/>
    </row>
    <row r="203" spans="2:116">
      <c r="B203" s="662"/>
      <c r="F203" s="445"/>
      <c r="K203" s="445"/>
      <c r="L203" s="445"/>
      <c r="Q203" s="445"/>
      <c r="AI203" s="675"/>
    </row>
    <row r="204" spans="2:116">
      <c r="B204" s="662"/>
      <c r="F204" s="445"/>
      <c r="K204" s="445"/>
      <c r="L204" s="445"/>
      <c r="Q204" s="445"/>
      <c r="AI204" s="675"/>
    </row>
    <row r="205" spans="2:116">
      <c r="AI205" s="675"/>
    </row>
    <row r="206" spans="2:116">
      <c r="B206" s="655" t="s">
        <v>1179</v>
      </c>
      <c r="AI206" s="675"/>
    </row>
    <row r="207" spans="2:116">
      <c r="B207" s="656" t="s">
        <v>126</v>
      </c>
      <c r="C207" s="412"/>
      <c r="D207" s="411"/>
      <c r="E207" s="411"/>
      <c r="F207" s="446">
        <f>MAX(F3:F200)</f>
        <v>1</v>
      </c>
      <c r="G207" s="446">
        <f t="shared" ref="G207:AC207" si="77">MAX(G3:G174)</f>
        <v>1</v>
      </c>
      <c r="H207" s="446">
        <f t="shared" si="77"/>
        <v>1</v>
      </c>
      <c r="I207" s="446">
        <f>MAX(I3:I200)</f>
        <v>1</v>
      </c>
      <c r="J207" s="446">
        <f t="shared" si="77"/>
        <v>1</v>
      </c>
      <c r="K207" s="446">
        <f>MAX(K4:K174)*K3</f>
        <v>1</v>
      </c>
      <c r="L207" s="446">
        <f>MAX(L4:L174)*L3</f>
        <v>0</v>
      </c>
      <c r="M207" s="446">
        <f t="shared" si="77"/>
        <v>1</v>
      </c>
      <c r="N207" s="446">
        <f>MAX(N4:N174)*N3</f>
        <v>1</v>
      </c>
      <c r="O207" s="446">
        <f t="shared" si="77"/>
        <v>1</v>
      </c>
      <c r="P207" s="446">
        <f t="shared" si="77"/>
        <v>1</v>
      </c>
      <c r="Q207" s="446">
        <f t="shared" si="77"/>
        <v>1</v>
      </c>
      <c r="R207" s="446">
        <f t="shared" si="77"/>
        <v>1</v>
      </c>
      <c r="S207" s="446">
        <f t="shared" si="77"/>
        <v>1</v>
      </c>
      <c r="T207" s="446">
        <f t="shared" si="77"/>
        <v>0</v>
      </c>
      <c r="U207" s="446">
        <f t="shared" si="77"/>
        <v>1</v>
      </c>
      <c r="V207" s="446">
        <f t="shared" si="77"/>
        <v>1</v>
      </c>
      <c r="W207" s="446">
        <f t="shared" si="77"/>
        <v>1</v>
      </c>
      <c r="X207" s="446">
        <f t="shared" si="77"/>
        <v>1</v>
      </c>
      <c r="Y207" s="446">
        <f t="shared" si="77"/>
        <v>1</v>
      </c>
      <c r="Z207" s="446">
        <f t="shared" si="77"/>
        <v>1</v>
      </c>
      <c r="AA207" s="446">
        <f t="shared" si="77"/>
        <v>1</v>
      </c>
      <c r="AB207" s="446">
        <f t="shared" si="77"/>
        <v>1</v>
      </c>
      <c r="AC207" s="446">
        <f t="shared" si="77"/>
        <v>0</v>
      </c>
      <c r="AD207" s="446"/>
      <c r="AE207" s="446">
        <f>MAX(AE3:AE174)</f>
        <v>0</v>
      </c>
      <c r="AF207" s="446">
        <f>MAX(AF3:AF174)</f>
        <v>0</v>
      </c>
      <c r="AG207" s="446">
        <f>MAX(AG3:AG174)</f>
        <v>0</v>
      </c>
      <c r="AH207" s="446">
        <f>MAX(AH3:AH174)</f>
        <v>0</v>
      </c>
      <c r="AI207" s="446">
        <f>MAX(AUTOQUESTIONNAIRE!K137,AUTOQUESTIONNAIRE!K139)</f>
        <v>0.75</v>
      </c>
      <c r="AJ207" s="446">
        <f>MAX(AJ3:AJ174)</f>
        <v>0</v>
      </c>
      <c r="AK207" s="446">
        <f>MAX(AK3:AK174)</f>
        <v>0</v>
      </c>
      <c r="AL207" s="446">
        <f>AUTOQUESTIONNAIRE!K108</f>
        <v>0</v>
      </c>
      <c r="AM207" s="446">
        <f t="shared" ref="AM207:BA207" si="78">MAX(AM3:AM174)</f>
        <v>1</v>
      </c>
      <c r="AN207" s="446">
        <f t="shared" si="78"/>
        <v>1</v>
      </c>
      <c r="AO207" s="446">
        <f t="shared" si="78"/>
        <v>0</v>
      </c>
      <c r="AP207" s="446">
        <f>MAX(AP4:AP174)*AP3</f>
        <v>0</v>
      </c>
      <c r="AQ207" s="446">
        <f t="shared" si="78"/>
        <v>0</v>
      </c>
      <c r="AR207" s="446">
        <f t="shared" si="78"/>
        <v>0</v>
      </c>
      <c r="AS207" s="446">
        <f t="shared" si="78"/>
        <v>0</v>
      </c>
      <c r="AT207" s="446">
        <f t="shared" si="78"/>
        <v>0</v>
      </c>
      <c r="AU207" s="446">
        <f t="shared" si="78"/>
        <v>0</v>
      </c>
      <c r="AV207" s="446">
        <f t="shared" si="78"/>
        <v>0.5</v>
      </c>
      <c r="AW207" s="446">
        <f t="shared" si="78"/>
        <v>0</v>
      </c>
      <c r="AX207" s="446">
        <f t="shared" si="78"/>
        <v>1</v>
      </c>
      <c r="AY207" s="446">
        <f t="shared" si="78"/>
        <v>0</v>
      </c>
      <c r="AZ207" s="446">
        <f t="shared" si="78"/>
        <v>0</v>
      </c>
      <c r="BA207" s="446">
        <f t="shared" si="78"/>
        <v>1</v>
      </c>
      <c r="BB207" s="446">
        <f>(MAX(BB3:BB174))*BB4</f>
        <v>0</v>
      </c>
      <c r="BC207" s="446">
        <f>MAX(BC3:BC174)</f>
        <v>0</v>
      </c>
      <c r="BD207" s="446">
        <f>MAX(BD3:BD174)</f>
        <v>1</v>
      </c>
      <c r="BE207" s="446">
        <f>MAX(BE3:BE200)</f>
        <v>0</v>
      </c>
      <c r="BF207" s="446">
        <f>MAX(BF3:BF200)</f>
        <v>0</v>
      </c>
      <c r="BG207" s="446">
        <f>(MAX(BG3:BG174))*AUTOQUESTIONNAIRE!I3</f>
        <v>0</v>
      </c>
      <c r="BH207" s="446">
        <f t="shared" ref="BH207:BM207" si="79">MAX(BH3:BH200)</f>
        <v>0</v>
      </c>
      <c r="BI207" s="446">
        <f t="shared" si="79"/>
        <v>0</v>
      </c>
      <c r="BJ207" s="446">
        <f t="shared" si="79"/>
        <v>0</v>
      </c>
      <c r="BK207" s="446">
        <f t="shared" si="79"/>
        <v>0</v>
      </c>
      <c r="BL207" s="446">
        <f t="shared" si="79"/>
        <v>0</v>
      </c>
      <c r="BM207" s="446">
        <f t="shared" si="79"/>
        <v>0</v>
      </c>
      <c r="BN207" s="446">
        <f>(MAX(BN3:BN174))*AUTOQUESTIONNAIRE!I3*AUTOQUESTIONNAIRE!G54</f>
        <v>0</v>
      </c>
      <c r="BO207" s="446">
        <f>MAX(BO3:BO174)*AUTOQUESTIONNAIRE!G58</f>
        <v>1</v>
      </c>
      <c r="BP207" s="446">
        <f>(MAX(BP3:BP174))*AUTOQUESTIONNAIRE!H3*AUTOQUESTIONNAIRE!G53</f>
        <v>0</v>
      </c>
      <c r="BQ207" s="446">
        <f>(MAX(BQ3:BQ174))*E4*AUTOQUESTIONNAIRE!G52</f>
        <v>0</v>
      </c>
      <c r="BR207" s="446">
        <f>(MAX(BR3:BR174))*E4</f>
        <v>0</v>
      </c>
      <c r="BS207" s="446">
        <f>(MAX(BS4:BS174))*BS3</f>
        <v>0</v>
      </c>
      <c r="BU207" s="446">
        <f>MAX(BU3:BU206)*AUTOQUESTIONNAIRE!$H$3</f>
        <v>0</v>
      </c>
      <c r="BV207" s="446">
        <f t="shared" ref="BV207:CL207" si="80">MAX(BV3:BV206)</f>
        <v>0</v>
      </c>
      <c r="BW207" s="446">
        <f t="shared" si="80"/>
        <v>0</v>
      </c>
      <c r="BX207" s="446">
        <f t="shared" si="80"/>
        <v>0</v>
      </c>
      <c r="BY207" s="446">
        <f t="shared" si="80"/>
        <v>0</v>
      </c>
      <c r="BZ207" s="446">
        <f t="shared" si="80"/>
        <v>0</v>
      </c>
      <c r="CA207" s="446">
        <f t="shared" si="80"/>
        <v>0</v>
      </c>
      <c r="CB207" s="446">
        <f t="shared" si="80"/>
        <v>0</v>
      </c>
      <c r="CC207" s="446">
        <f t="shared" si="80"/>
        <v>0</v>
      </c>
      <c r="CD207" s="446">
        <f t="shared" si="80"/>
        <v>0</v>
      </c>
      <c r="CE207" s="446">
        <f t="shared" si="80"/>
        <v>1</v>
      </c>
      <c r="CF207" s="446">
        <f t="shared" si="80"/>
        <v>1</v>
      </c>
      <c r="CG207" s="446">
        <f t="shared" si="80"/>
        <v>0</v>
      </c>
      <c r="CH207" s="446">
        <f t="shared" si="80"/>
        <v>1</v>
      </c>
      <c r="CI207" s="446">
        <f>MAX(CI3:CI206)*AUTOQUESTIONNAIRE!$H$3</f>
        <v>0</v>
      </c>
      <c r="CJ207" s="446">
        <f>MAX(CJ3:CJ206)*AUTOQUESTIONNAIRE!I3</f>
        <v>0</v>
      </c>
      <c r="CK207" s="446">
        <f t="shared" si="80"/>
        <v>0</v>
      </c>
      <c r="CL207" s="446">
        <f t="shared" si="80"/>
        <v>0</v>
      </c>
      <c r="CM207" s="835"/>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1"/>
    </row>
    <row r="208" spans="2:116">
      <c r="B208" s="655" t="s">
        <v>1325</v>
      </c>
      <c r="F208" s="443" t="str">
        <f>IF(F207&gt;0,F210," ")</f>
        <v xml:space="preserve">Numération formule sanguine, Plaquettes, </v>
      </c>
      <c r="G208" s="443" t="str">
        <f t="shared" ref="G208:AG208" si="81">IF(G207&gt;0,G210," ")</f>
        <v xml:space="preserve">Glycémie, Hb1Ac, Insuline et indice HOMA-IR, </v>
      </c>
      <c r="H208" s="443" t="str">
        <f t="shared" si="81"/>
        <v xml:space="preserve">Cholestérol Total et fractions HDL et LDL, Triglycérides, </v>
      </c>
      <c r="I208" s="443" t="str">
        <f t="shared" si="81"/>
        <v>Electrophorèse des protéines</v>
      </c>
      <c r="J208" s="443" t="str">
        <f t="shared" si="81"/>
        <v>ASAT, ALAT, GGT</v>
      </c>
      <c r="K208" s="443" t="str">
        <f t="shared" si="81"/>
        <v xml:space="preserve">Testostérone Totale, FSH; Cortisol; Sulfate DHEA, </v>
      </c>
      <c r="L208" s="443" t="str">
        <f t="shared" ref="L208" si="82">IF(L207&gt;0,L210," ")</f>
        <v xml:space="preserve"> </v>
      </c>
      <c r="M208" s="443" t="str">
        <f t="shared" si="81"/>
        <v xml:space="preserve">Vitamine D2-D3, Vitamine B6; Magnésium sang, </v>
      </c>
      <c r="N208" s="443" t="str">
        <f t="shared" si="81"/>
        <v xml:space="preserve">PSA, </v>
      </c>
      <c r="O208" s="443" t="str">
        <f t="shared" si="81"/>
        <v xml:space="preserve">Fer sérique, Ferritine, Coefficient saturation, </v>
      </c>
      <c r="P208" s="443" t="str">
        <f t="shared" si="81"/>
        <v xml:space="preserve">CPK, </v>
      </c>
      <c r="Q208" s="443" t="str">
        <f t="shared" si="81"/>
        <v xml:space="preserve">TSH, </v>
      </c>
      <c r="R208" s="443" t="str">
        <f t="shared" si="81"/>
        <v xml:space="preserve">BNP et ProBNP, </v>
      </c>
      <c r="S208" s="443" t="str">
        <f t="shared" si="81"/>
        <v xml:space="preserve">Créatininémie, DFG, </v>
      </c>
      <c r="T208" s="443" t="str">
        <f t="shared" si="81"/>
        <v xml:space="preserve"> </v>
      </c>
      <c r="U208" s="443" t="str">
        <f t="shared" si="81"/>
        <v xml:space="preserve">ECBU, </v>
      </c>
      <c r="V208" s="443" t="str">
        <f t="shared" si="81"/>
        <v xml:space="preserve">Bilan urinaire des 24 heures (diurése, pH, Densité, Urée, Créatininémie, Sodium, Calcium, Acide Urique), </v>
      </c>
      <c r="W208" s="443" t="str">
        <f t="shared" si="81"/>
        <v xml:space="preserve">Cytologie urinaire avec recherche d'atypie celllaire, </v>
      </c>
      <c r="X208" s="443" t="str">
        <f t="shared" si="81"/>
        <v xml:space="preserve">Bilan IST (Sélogies: Syphilis, VIH1-2, Hépatite B. Recherche de chlamydia trachomatis et neisseria gonorrhoeae), </v>
      </c>
      <c r="Y208" s="443" t="str">
        <f t="shared" si="81"/>
        <v xml:space="preserve">test immunochimique fécal (TIF), </v>
      </c>
      <c r="Z208" s="443" t="str">
        <f t="shared" si="81"/>
        <v xml:space="preserve">IgE spécifique, </v>
      </c>
      <c r="AA208" s="443" t="str">
        <f t="shared" si="81"/>
        <v xml:space="preserve">Cotinurie, Methylation AHRR, </v>
      </c>
      <c r="AB208" s="443" t="str">
        <f t="shared" si="81"/>
        <v>-</v>
      </c>
      <c r="AC208" s="443" t="str">
        <f t="shared" si="81"/>
        <v xml:space="preserve"> </v>
      </c>
      <c r="AE208" s="443" t="str">
        <f>IF(AE207&gt;0.9,AE210," ")</f>
        <v xml:space="preserve"> </v>
      </c>
      <c r="AF208" s="443" t="str">
        <f t="shared" si="81"/>
        <v xml:space="preserve"> </v>
      </c>
      <c r="AG208" s="443" t="str">
        <f t="shared" si="81"/>
        <v xml:space="preserve"> </v>
      </c>
      <c r="AI208" s="443" t="str">
        <f>IF(AI207&gt;0.8,AI210," ")</f>
        <v xml:space="preserve"> </v>
      </c>
      <c r="AJ208" s="443" t="str">
        <f t="shared" ref="AJ208:AK208" si="83">IF(AJ207&gt;0,AJ210," ")</f>
        <v xml:space="preserve"> </v>
      </c>
      <c r="AK208" s="443" t="str">
        <f t="shared" si="83"/>
        <v xml:space="preserve"> </v>
      </c>
      <c r="AL208" s="443" t="str">
        <f t="shared" ref="AL208:BK208" si="84">IF(AL207&gt;0,AL210," ")</f>
        <v xml:space="preserve"> </v>
      </c>
      <c r="AM208" s="443" t="str">
        <f t="shared" si="84"/>
        <v xml:space="preserve">Cs Cardiologie, </v>
      </c>
      <c r="AN208" s="443" t="str">
        <f t="shared" si="84"/>
        <v>Cs Pneumo-allergologie,</v>
      </c>
      <c r="AO208" s="443" t="str">
        <f t="shared" si="84"/>
        <v xml:space="preserve"> </v>
      </c>
      <c r="AP208" s="443" t="str">
        <f t="shared" si="84"/>
        <v xml:space="preserve"> </v>
      </c>
      <c r="AQ208" s="443" t="str">
        <f t="shared" si="84"/>
        <v xml:space="preserve"> </v>
      </c>
      <c r="AR208" s="443" t="str">
        <f t="shared" si="84"/>
        <v xml:space="preserve"> </v>
      </c>
      <c r="AS208" s="443" t="str">
        <f t="shared" si="84"/>
        <v xml:space="preserve"> </v>
      </c>
      <c r="AT208" s="443" t="str">
        <f t="shared" si="84"/>
        <v xml:space="preserve"> </v>
      </c>
      <c r="AU208" s="443" t="str">
        <f t="shared" si="84"/>
        <v xml:space="preserve"> </v>
      </c>
      <c r="AV208" s="443" t="str">
        <f t="shared" si="84"/>
        <v xml:space="preserve">Cs Ophtalmologie, </v>
      </c>
      <c r="AW208" s="443" t="str">
        <f t="shared" si="84"/>
        <v xml:space="preserve"> </v>
      </c>
      <c r="AX208" s="443" t="str">
        <f t="shared" si="84"/>
        <v xml:space="preserve">Supplémentation VitaD, </v>
      </c>
      <c r="AY208" s="443" t="str">
        <f t="shared" si="84"/>
        <v xml:space="preserve"> </v>
      </c>
      <c r="AZ208" s="443" t="str">
        <f t="shared" si="84"/>
        <v xml:space="preserve"> </v>
      </c>
      <c r="BA208" s="443" t="str">
        <f t="shared" si="84"/>
        <v>Supplémentation Ubiquinol,</v>
      </c>
      <c r="BB208" s="443" t="str">
        <f t="shared" si="84"/>
        <v xml:space="preserve"> </v>
      </c>
      <c r="BC208" s="443" t="str">
        <f t="shared" si="84"/>
        <v xml:space="preserve"> </v>
      </c>
      <c r="BD208" s="443" t="str">
        <f t="shared" si="84"/>
        <v xml:space="preserve"> Vaccination grippe, </v>
      </c>
      <c r="BG208" s="443" t="str">
        <f t="shared" si="84"/>
        <v xml:space="preserve"> </v>
      </c>
      <c r="BH208" s="443" t="str">
        <f t="shared" si="84"/>
        <v xml:space="preserve"> </v>
      </c>
      <c r="BI208" s="443" t="str">
        <f t="shared" si="84"/>
        <v xml:space="preserve"> </v>
      </c>
      <c r="BJ208" s="443" t="str">
        <f t="shared" si="84"/>
        <v xml:space="preserve"> </v>
      </c>
      <c r="BK208" s="443" t="str">
        <f t="shared" si="84"/>
        <v xml:space="preserve"> </v>
      </c>
      <c r="BN208" s="443" t="str">
        <f t="shared" ref="BN208:CC208" si="85">IF(BN207&gt;0.9,BN210," ")</f>
        <v xml:space="preserve"> </v>
      </c>
      <c r="BO208" s="443" t="str">
        <f t="shared" si="85"/>
        <v xml:space="preserve">Dépistage  cancer du colon, </v>
      </c>
      <c r="BP208" s="443" t="str">
        <f t="shared" si="85"/>
        <v xml:space="preserve"> </v>
      </c>
      <c r="BQ208" s="443" t="str">
        <f t="shared" si="85"/>
        <v xml:space="preserve"> </v>
      </c>
      <c r="BR208" s="443" t="str">
        <f t="shared" si="85"/>
        <v xml:space="preserve"> </v>
      </c>
      <c r="BS208" s="443" t="str">
        <f t="shared" si="85"/>
        <v xml:space="preserve"> </v>
      </c>
      <c r="BU208" s="443" t="str">
        <f t="shared" si="85"/>
        <v xml:space="preserve"> </v>
      </c>
      <c r="BV208" s="443" t="str">
        <f t="shared" si="85"/>
        <v xml:space="preserve"> </v>
      </c>
      <c r="BW208" s="443" t="str">
        <f t="shared" si="85"/>
        <v xml:space="preserve"> </v>
      </c>
      <c r="BX208" s="443" t="str">
        <f t="shared" si="85"/>
        <v xml:space="preserve"> </v>
      </c>
      <c r="BY208" s="443" t="str">
        <f t="shared" si="85"/>
        <v xml:space="preserve"> </v>
      </c>
      <c r="BZ208" s="443" t="str">
        <f t="shared" si="85"/>
        <v xml:space="preserve"> </v>
      </c>
      <c r="CA208" s="443" t="str">
        <f t="shared" si="85"/>
        <v xml:space="preserve"> </v>
      </c>
      <c r="CB208" s="443" t="str">
        <f t="shared" si="85"/>
        <v xml:space="preserve"> </v>
      </c>
      <c r="CC208" s="443" t="str">
        <f t="shared" si="85"/>
        <v xml:space="preserve"> </v>
      </c>
      <c r="CD208" s="443" t="str">
        <f t="shared" ref="CD208:CL208" si="86">IF(CD207&gt;0.9,CD210," ")</f>
        <v xml:space="preserve"> </v>
      </c>
      <c r="CE208" s="443" t="str">
        <f t="shared" si="86"/>
        <v>Echographie hépatique (splénique)</v>
      </c>
      <c r="CF208" s="443" t="str">
        <f t="shared" si="86"/>
        <v>Scanner abdomino-pelvien</v>
      </c>
      <c r="CG208" s="443" t="str">
        <f t="shared" si="86"/>
        <v xml:space="preserve"> </v>
      </c>
      <c r="CH208" s="443" t="str">
        <f t="shared" si="86"/>
        <v>Echo-doppler vasculaire artériel</v>
      </c>
      <c r="CI208" s="443" t="str">
        <f t="shared" si="86"/>
        <v xml:space="preserve"> </v>
      </c>
      <c r="CJ208" s="443" t="str">
        <f t="shared" si="86"/>
        <v xml:space="preserve"> </v>
      </c>
      <c r="CK208" s="443" t="str">
        <f t="shared" si="86"/>
        <v xml:space="preserve"> </v>
      </c>
      <c r="CL208" s="443" t="str">
        <f t="shared" si="86"/>
        <v xml:space="preserve"> </v>
      </c>
    </row>
    <row r="210" spans="2:90" ht="110.4">
      <c r="B210" s="655" t="s">
        <v>1326</v>
      </c>
      <c r="F210" s="443" t="s">
        <v>1347</v>
      </c>
      <c r="G210" s="443" t="s">
        <v>1348</v>
      </c>
      <c r="H210" s="443" t="s">
        <v>2692</v>
      </c>
      <c r="I210" s="443" t="s">
        <v>1972</v>
      </c>
      <c r="J210" s="443" t="s">
        <v>1973</v>
      </c>
      <c r="K210" s="443" t="s">
        <v>1349</v>
      </c>
      <c r="L210" s="443" t="s">
        <v>1350</v>
      </c>
      <c r="M210" s="443" t="s">
        <v>1351</v>
      </c>
      <c r="N210" s="443" t="s">
        <v>1352</v>
      </c>
      <c r="O210" s="443" t="s">
        <v>1353</v>
      </c>
      <c r="P210" s="443" t="s">
        <v>1354</v>
      </c>
      <c r="Q210" s="443" t="s">
        <v>1355</v>
      </c>
      <c r="R210" s="443" t="s">
        <v>1356</v>
      </c>
      <c r="S210" s="443" t="s">
        <v>1357</v>
      </c>
      <c r="T210" s="443" t="s">
        <v>1974</v>
      </c>
      <c r="U210" s="443" t="s">
        <v>1358</v>
      </c>
      <c r="V210" s="443" t="s">
        <v>1359</v>
      </c>
      <c r="W210" s="443" t="s">
        <v>1360</v>
      </c>
      <c r="X210" s="443" t="s">
        <v>1361</v>
      </c>
      <c r="Y210" s="447" t="s">
        <v>1369</v>
      </c>
      <c r="Z210" s="443" t="s">
        <v>1476</v>
      </c>
      <c r="AA210" s="443" t="s">
        <v>1362</v>
      </c>
      <c r="AB210" s="443" t="s">
        <v>1343</v>
      </c>
      <c r="AC210" s="443" t="s">
        <v>1363</v>
      </c>
      <c r="AE210" s="443" t="s">
        <v>1377</v>
      </c>
      <c r="AF210" s="443" t="s">
        <v>1364</v>
      </c>
      <c r="AG210" s="443" t="s">
        <v>1365</v>
      </c>
      <c r="AH210" s="443" t="s">
        <v>1367</v>
      </c>
      <c r="AI210" s="678" t="s">
        <v>1385</v>
      </c>
      <c r="AJ210" s="678" t="s">
        <v>1386</v>
      </c>
      <c r="AK210" s="678" t="s">
        <v>1387</v>
      </c>
      <c r="AL210" s="443" t="s">
        <v>1388</v>
      </c>
      <c r="AM210" s="445" t="s">
        <v>1389</v>
      </c>
      <c r="AN210" s="445" t="s">
        <v>1390</v>
      </c>
      <c r="AO210" s="445" t="s">
        <v>1391</v>
      </c>
      <c r="AP210" s="445" t="s">
        <v>1392</v>
      </c>
      <c r="AQ210" s="445" t="s">
        <v>1393</v>
      </c>
      <c r="AR210" s="445" t="s">
        <v>1394</v>
      </c>
      <c r="AS210" s="445" t="s">
        <v>1395</v>
      </c>
      <c r="AT210" s="445" t="s">
        <v>2375</v>
      </c>
      <c r="AU210" s="445" t="s">
        <v>1384</v>
      </c>
      <c r="AV210" s="445" t="s">
        <v>1480</v>
      </c>
      <c r="AW210" s="445" t="s">
        <v>1481</v>
      </c>
      <c r="AX210" s="445" t="s">
        <v>1372</v>
      </c>
      <c r="AY210" s="445" t="s">
        <v>1373</v>
      </c>
      <c r="AZ210" s="445" t="s">
        <v>1374</v>
      </c>
      <c r="BA210" s="445" t="s">
        <v>1375</v>
      </c>
      <c r="BB210" s="679" t="s">
        <v>1428</v>
      </c>
      <c r="BC210" s="679" t="s">
        <v>2739</v>
      </c>
      <c r="BD210" s="679" t="s">
        <v>2373</v>
      </c>
      <c r="BE210" s="679" t="s">
        <v>2740</v>
      </c>
      <c r="BF210" s="679" t="s">
        <v>2741</v>
      </c>
      <c r="BG210" s="679" t="s">
        <v>1423</v>
      </c>
      <c r="BH210" s="679" t="s">
        <v>2742</v>
      </c>
      <c r="BI210" s="679" t="s">
        <v>2743</v>
      </c>
      <c r="BJ210" s="679" t="s">
        <v>2744</v>
      </c>
      <c r="BK210" s="679" t="s">
        <v>2745</v>
      </c>
      <c r="BL210" s="679" t="s">
        <v>2746</v>
      </c>
      <c r="BM210" s="679" t="s">
        <v>2747</v>
      </c>
      <c r="BN210" s="445" t="s">
        <v>2748</v>
      </c>
      <c r="BO210" s="445" t="s">
        <v>1429</v>
      </c>
      <c r="BP210" s="445" t="s">
        <v>1424</v>
      </c>
      <c r="BQ210" s="445" t="s">
        <v>1425</v>
      </c>
      <c r="BR210" s="445" t="s">
        <v>1426</v>
      </c>
      <c r="BS210" s="443" t="s">
        <v>2749</v>
      </c>
      <c r="BU210" s="411" t="s">
        <v>2231</v>
      </c>
      <c r="BV210" s="836" t="s">
        <v>2236</v>
      </c>
      <c r="BW210" s="411" t="s">
        <v>2237</v>
      </c>
      <c r="BX210" s="411" t="s">
        <v>1115</v>
      </c>
      <c r="BY210" s="411" t="s">
        <v>1116</v>
      </c>
      <c r="BZ210" s="411" t="s">
        <v>2238</v>
      </c>
      <c r="CA210" s="411" t="s">
        <v>1728</v>
      </c>
      <c r="CB210" s="411" t="s">
        <v>2219</v>
      </c>
      <c r="CC210" s="411" t="s">
        <v>2224</v>
      </c>
      <c r="CD210" s="411" t="s">
        <v>2225</v>
      </c>
      <c r="CE210" s="411" t="s">
        <v>2233</v>
      </c>
      <c r="CF210" s="411" t="s">
        <v>2226</v>
      </c>
      <c r="CG210" s="411" t="s">
        <v>2227</v>
      </c>
      <c r="CH210" s="411" t="s">
        <v>2228</v>
      </c>
      <c r="CI210" s="411" t="s">
        <v>2229</v>
      </c>
      <c r="CJ210" s="411" t="s">
        <v>2230</v>
      </c>
      <c r="CK210" s="411" t="s">
        <v>2232</v>
      </c>
      <c r="CL210" s="411" t="s">
        <v>2234</v>
      </c>
    </row>
  </sheetData>
  <conditionalFormatting sqref="C1:C90 C92:C1048576">
    <cfRule type="colorScale" priority="107">
      <colorScale>
        <cfvo type="min"/>
        <cfvo type="percentile" val="50"/>
        <cfvo type="max"/>
        <color rgb="FF63BE7B"/>
        <color rgb="FFFFEB84"/>
        <color rgb="FFF8696B"/>
      </colorScale>
    </cfRule>
  </conditionalFormatting>
  <conditionalFormatting sqref="F178">
    <cfRule type="colorScale" priority="23">
      <colorScale>
        <cfvo type="min"/>
        <cfvo type="percentile" val="50"/>
        <cfvo type="max"/>
        <color rgb="FF63BE7B"/>
        <color rgb="FFFFEB84"/>
        <color rgb="FFF8696B"/>
      </colorScale>
    </cfRule>
  </conditionalFormatting>
  <conditionalFormatting sqref="F114:BS174 F113:BN113 BP113:BS113 F3:BS112">
    <cfRule type="colorScale" priority="24">
      <colorScale>
        <cfvo type="min"/>
        <cfvo type="percentile" val="50"/>
        <cfvo type="max"/>
        <color rgb="FF63BE7B"/>
        <color rgb="FFFFEB84"/>
        <color rgb="FFF8696B"/>
      </colorScale>
    </cfRule>
  </conditionalFormatting>
  <conditionalFormatting sqref="I178">
    <cfRule type="colorScale" priority="22">
      <colorScale>
        <cfvo type="min"/>
        <cfvo type="percentile" val="50"/>
        <cfvo type="max"/>
        <color rgb="FF63BE7B"/>
        <color rgb="FFFFEB84"/>
        <color rgb="FFF8696B"/>
      </colorScale>
    </cfRule>
  </conditionalFormatting>
  <conditionalFormatting sqref="P95">
    <cfRule type="colorScale" priority="96">
      <colorScale>
        <cfvo type="min"/>
        <cfvo type="percentile" val="50"/>
        <cfvo type="max"/>
        <color rgb="FF63BE7B"/>
        <color rgb="FFFFEB84"/>
        <color rgb="FFF8696B"/>
      </colorScale>
    </cfRule>
  </conditionalFormatting>
  <conditionalFormatting sqref="Z210:AA210 M210:X210 M211:AA1048576 M209:AA209 AA4:AE4 M1:AA21 AA90:AD90 M22:AE22 E105:Z107 M96:AA104 M95:O95 Q95:AA95 AA7:AE7 M207:AG208 L170:M171 M108:AA206 M23:AA50 F68:L104 M68:AA94 F51:AA67 F1:L50 F108:L1048576">
    <cfRule type="colorScale" priority="1285">
      <colorScale>
        <cfvo type="min"/>
        <cfvo type="percentile" val="50"/>
        <cfvo type="max"/>
        <color rgb="FF63BE7B"/>
        <color rgb="FFFFEB84"/>
        <color rgb="FFF8696B"/>
      </colorScale>
    </cfRule>
  </conditionalFormatting>
  <conditionalFormatting sqref="AB164">
    <cfRule type="colorScale" priority="27">
      <colorScale>
        <cfvo type="min"/>
        <cfvo type="percentile" val="50"/>
        <cfvo type="max"/>
        <color rgb="FF63BE7B"/>
        <color rgb="FFFFEB84"/>
        <color rgb="FFF8696B"/>
      </colorScale>
    </cfRule>
  </conditionalFormatting>
  <conditionalFormatting sqref="AB21:AE21">
    <cfRule type="colorScale" priority="105">
      <colorScale>
        <cfvo type="min"/>
        <cfvo type="percentile" val="50"/>
        <cfvo type="max"/>
        <color rgb="FF63BE7B"/>
        <color rgb="FFFFEB84"/>
        <color rgb="FFF8696B"/>
      </colorScale>
    </cfRule>
  </conditionalFormatting>
  <conditionalFormatting sqref="AB68:AE82 AB83:AD83">
    <cfRule type="colorScale" priority="104">
      <colorScale>
        <cfvo type="min"/>
        <cfvo type="percentile" val="50"/>
        <cfvo type="max"/>
        <color rgb="FF63BE7B"/>
        <color rgb="FFFFEB84"/>
        <color rgb="FFF8696B"/>
      </colorScale>
    </cfRule>
  </conditionalFormatting>
  <conditionalFormatting sqref="AC122:AC123">
    <cfRule type="colorScale" priority="103">
      <colorScale>
        <cfvo type="min"/>
        <cfvo type="percentile" val="50"/>
        <cfvo type="max"/>
        <color rgb="FF63BE7B"/>
        <color rgb="FFFFEB84"/>
        <color rgb="FFF8696B"/>
      </colorScale>
    </cfRule>
  </conditionalFormatting>
  <conditionalFormatting sqref="AD150">
    <cfRule type="colorScale" priority="31">
      <colorScale>
        <cfvo type="min"/>
        <cfvo type="percentile" val="50"/>
        <cfvo type="max"/>
        <color rgb="FF63BE7B"/>
        <color rgb="FFFFEB84"/>
        <color rgb="FFF8696B"/>
      </colorScale>
    </cfRule>
  </conditionalFormatting>
  <conditionalFormatting sqref="AD156">
    <cfRule type="colorScale" priority="28">
      <colorScale>
        <cfvo type="min"/>
        <cfvo type="percentile" val="50"/>
        <cfvo type="max"/>
        <color rgb="FF63BE7B"/>
        <color rgb="FFFFEB84"/>
        <color rgb="FFF8696B"/>
      </colorScale>
    </cfRule>
  </conditionalFormatting>
  <conditionalFormatting sqref="AE83">
    <cfRule type="colorScale" priority="37">
      <colorScale>
        <cfvo type="min"/>
        <cfvo type="percentile" val="50"/>
        <cfvo type="max"/>
        <color rgb="FF63BE7B"/>
        <color rgb="FFFFEB84"/>
        <color rgb="FFF8696B"/>
      </colorScale>
    </cfRule>
  </conditionalFormatting>
  <conditionalFormatting sqref="AE85">
    <cfRule type="colorScale" priority="38">
      <colorScale>
        <cfvo type="min"/>
        <cfvo type="percentile" val="50"/>
        <cfvo type="max"/>
        <color rgb="FF63BE7B"/>
        <color rgb="FFFFEB84"/>
        <color rgb="FFF8696B"/>
      </colorScale>
    </cfRule>
  </conditionalFormatting>
  <conditionalFormatting sqref="AE89:AE90">
    <cfRule type="colorScale" priority="39">
      <colorScale>
        <cfvo type="min"/>
        <cfvo type="percentile" val="50"/>
        <cfvo type="max"/>
        <color rgb="FF63BE7B"/>
        <color rgb="FFFFEB84"/>
        <color rgb="FFF8696B"/>
      </colorScale>
    </cfRule>
  </conditionalFormatting>
  <conditionalFormatting sqref="AE149">
    <cfRule type="colorScale" priority="40">
      <colorScale>
        <cfvo type="min"/>
        <cfvo type="percentile" val="50"/>
        <cfvo type="max"/>
        <color rgb="FF63BE7B"/>
        <color rgb="FFFFEB84"/>
        <color rgb="FFF8696B"/>
      </colorScale>
    </cfRule>
  </conditionalFormatting>
  <conditionalFormatting sqref="AF71">
    <cfRule type="colorScale" priority="102">
      <colorScale>
        <cfvo type="min"/>
        <cfvo type="percentile" val="50"/>
        <cfvo type="max"/>
        <color rgb="FF63BE7B"/>
        <color rgb="FFFFEB84"/>
        <color rgb="FFF8696B"/>
      </colorScale>
    </cfRule>
  </conditionalFormatting>
  <conditionalFormatting sqref="AG74">
    <cfRule type="colorScale" priority="101">
      <colorScale>
        <cfvo type="min"/>
        <cfvo type="percentile" val="50"/>
        <cfvo type="max"/>
        <color rgb="FF63BE7B"/>
        <color rgb="FFFFEB84"/>
        <color rgb="FFF8696B"/>
      </colorScale>
    </cfRule>
  </conditionalFormatting>
  <conditionalFormatting sqref="AH146">
    <cfRule type="colorScale" priority="72">
      <colorScale>
        <cfvo type="min"/>
        <cfvo type="percentile" val="50"/>
        <cfvo type="max"/>
        <color rgb="FF63BE7B"/>
        <color rgb="FFFFEB84"/>
        <color rgb="FFF8696B"/>
      </colorScale>
    </cfRule>
  </conditionalFormatting>
  <conditionalFormatting sqref="AH162">
    <cfRule type="colorScale" priority="61">
      <colorScale>
        <cfvo type="min"/>
        <cfvo type="percentile" val="50"/>
        <cfvo type="max"/>
        <color rgb="FF63BE7B"/>
        <color rgb="FFFFEB84"/>
        <color rgb="FFF8696B"/>
      </colorScale>
    </cfRule>
  </conditionalFormatting>
  <conditionalFormatting sqref="AH171">
    <cfRule type="colorScale" priority="62">
      <colorScale>
        <cfvo type="min"/>
        <cfvo type="percentile" val="50"/>
        <cfvo type="max"/>
        <color rgb="FF63BE7B"/>
        <color rgb="FFFFEB84"/>
        <color rgb="FFF8696B"/>
      </colorScale>
    </cfRule>
  </conditionalFormatting>
  <conditionalFormatting sqref="AH174">
    <cfRule type="colorScale" priority="32">
      <colorScale>
        <cfvo type="min"/>
        <cfvo type="percentile" val="50"/>
        <cfvo type="max"/>
        <color rgb="FF63BE7B"/>
        <color rgb="FFFFEB84"/>
        <color rgb="FFF8696B"/>
      </colorScale>
    </cfRule>
  </conditionalFormatting>
  <conditionalFormatting sqref="AH207:AK207">
    <cfRule type="colorScale" priority="1262">
      <colorScale>
        <cfvo type="min"/>
        <cfvo type="percentile" val="50"/>
        <cfvo type="max"/>
        <color rgb="FF63BE7B"/>
        <color rgb="FFFFEB84"/>
        <color rgb="FFF8696B"/>
      </colorScale>
    </cfRule>
  </conditionalFormatting>
  <conditionalFormatting sqref="AI7">
    <cfRule type="colorScale" priority="1257">
      <colorScale>
        <cfvo type="min"/>
        <cfvo type="percentile" val="50"/>
        <cfvo type="max"/>
        <color rgb="FF63BE7B"/>
        <color rgb="FFFFEB84"/>
        <color rgb="FFF8696B"/>
      </colorScale>
    </cfRule>
  </conditionalFormatting>
  <conditionalFormatting sqref="AI142">
    <cfRule type="colorScale" priority="26">
      <colorScale>
        <cfvo type="min"/>
        <cfvo type="percentile" val="50"/>
        <cfvo type="max"/>
        <color rgb="FF63BE7B"/>
        <color rgb="FFFFEB84"/>
        <color rgb="FFF8696B"/>
      </colorScale>
    </cfRule>
  </conditionalFormatting>
  <conditionalFormatting sqref="AI208:BS208">
    <cfRule type="colorScale" priority="1258">
      <colorScale>
        <cfvo type="min"/>
        <cfvo type="percentile" val="50"/>
        <cfvo type="max"/>
        <color rgb="FF63BE7B"/>
        <color rgb="FFFFEB84"/>
        <color rgb="FFF8696B"/>
      </colorScale>
    </cfRule>
  </conditionalFormatting>
  <conditionalFormatting sqref="AJ68">
    <cfRule type="colorScale" priority="79">
      <colorScale>
        <cfvo type="min"/>
        <cfvo type="percentile" val="50"/>
        <cfvo type="max"/>
        <color rgb="FF63BE7B"/>
        <color rgb="FFFFEB84"/>
        <color rgb="FFF8696B"/>
      </colorScale>
    </cfRule>
  </conditionalFormatting>
  <conditionalFormatting sqref="AJ74:AJ75">
    <cfRule type="colorScale" priority="78">
      <colorScale>
        <cfvo type="min"/>
        <cfvo type="percentile" val="50"/>
        <cfvo type="max"/>
        <color rgb="FF63BE7B"/>
        <color rgb="FFFFEB84"/>
        <color rgb="FFF8696B"/>
      </colorScale>
    </cfRule>
  </conditionalFormatting>
  <conditionalFormatting sqref="AK58">
    <cfRule type="colorScale" priority="80">
      <colorScale>
        <cfvo type="min"/>
        <cfvo type="percentile" val="50"/>
        <cfvo type="max"/>
        <color rgb="FF63BE7B"/>
        <color rgb="FFFFEB84"/>
        <color rgb="FFF8696B"/>
      </colorScale>
    </cfRule>
  </conditionalFormatting>
  <conditionalFormatting sqref="AL207">
    <cfRule type="colorScale" priority="94">
      <colorScale>
        <cfvo type="min"/>
        <cfvo type="percentile" val="50"/>
        <cfvo type="max"/>
        <color rgb="FF63BE7B"/>
        <color rgb="FFFFEB84"/>
        <color rgb="FFF8696B"/>
      </colorScale>
    </cfRule>
  </conditionalFormatting>
  <conditionalFormatting sqref="AM150:AS156 AM158:AS202 AM157:AQ157 AS157">
    <cfRule type="colorScale" priority="1284">
      <colorScale>
        <cfvo type="min"/>
        <cfvo type="percentile" val="50"/>
        <cfvo type="max"/>
        <color rgb="FF63BE7B"/>
        <color rgb="FFFFEB84"/>
        <color rgb="FFF8696B"/>
      </colorScale>
    </cfRule>
  </conditionalFormatting>
  <conditionalFormatting sqref="AM207:BS207">
    <cfRule type="colorScale" priority="1255">
      <colorScale>
        <cfvo type="min"/>
        <cfvo type="percentile" val="50"/>
        <cfvo type="max"/>
        <color rgb="FF63BE7B"/>
        <color rgb="FFFFEB84"/>
        <color rgb="FFF8696B"/>
      </colorScale>
    </cfRule>
  </conditionalFormatting>
  <conditionalFormatting sqref="AN43">
    <cfRule type="colorScale" priority="34">
      <colorScale>
        <cfvo type="min"/>
        <cfvo type="percentile" val="50"/>
        <cfvo type="max"/>
        <color rgb="FF63BE7B"/>
        <color rgb="FFFFEB84"/>
        <color rgb="FFF8696B"/>
      </colorScale>
    </cfRule>
  </conditionalFormatting>
  <conditionalFormatting sqref="AN45">
    <cfRule type="colorScale" priority="36">
      <colorScale>
        <cfvo type="min"/>
        <cfvo type="percentile" val="50"/>
        <cfvo type="max"/>
        <color rgb="FF63BE7B"/>
        <color rgb="FFFFEB84"/>
        <color rgb="FFF8696B"/>
      </colorScale>
    </cfRule>
  </conditionalFormatting>
  <conditionalFormatting sqref="AP65:AP66">
    <cfRule type="colorScale" priority="77">
      <colorScale>
        <cfvo type="min"/>
        <cfvo type="percentile" val="50"/>
        <cfvo type="max"/>
        <color rgb="FF63BE7B"/>
        <color rgb="FFFFEB84"/>
        <color rgb="FFF8696B"/>
      </colorScale>
    </cfRule>
  </conditionalFormatting>
  <conditionalFormatting sqref="AQ7">
    <cfRule type="colorScale" priority="75">
      <colorScale>
        <cfvo type="min"/>
        <cfvo type="percentile" val="50"/>
        <cfvo type="max"/>
        <color rgb="FF63BE7B"/>
        <color rgb="FFFFEB84"/>
        <color rgb="FFF8696B"/>
      </colorScale>
    </cfRule>
  </conditionalFormatting>
  <conditionalFormatting sqref="AR145">
    <cfRule type="colorScale" priority="73">
      <colorScale>
        <cfvo type="min"/>
        <cfvo type="percentile" val="50"/>
        <cfvo type="max"/>
        <color rgb="FF63BE7B"/>
        <color rgb="FFFFEB84"/>
        <color rgb="FFF8696B"/>
      </colorScale>
    </cfRule>
  </conditionalFormatting>
  <conditionalFormatting sqref="AR157">
    <cfRule type="colorScale" priority="60">
      <colorScale>
        <cfvo type="min"/>
        <cfvo type="percentile" val="50"/>
        <cfvo type="max"/>
        <color rgb="FF63BE7B"/>
        <color rgb="FFFFEB84"/>
        <color rgb="FFF8696B"/>
      </colorScale>
    </cfRule>
  </conditionalFormatting>
  <conditionalFormatting sqref="AT44">
    <cfRule type="colorScale" priority="35">
      <colorScale>
        <cfvo type="min"/>
        <cfvo type="percentile" val="50"/>
        <cfvo type="max"/>
        <color rgb="FF63BE7B"/>
        <color rgb="FFFFEB84"/>
        <color rgb="FFF8696B"/>
      </colorScale>
    </cfRule>
  </conditionalFormatting>
  <conditionalFormatting sqref="AT111">
    <cfRule type="colorScale" priority="46">
      <colorScale>
        <cfvo type="min"/>
        <cfvo type="percentile" val="50"/>
        <cfvo type="max"/>
        <color rgb="FF63BE7B"/>
        <color rgb="FFFFEB84"/>
        <color rgb="FFF8696B"/>
      </colorScale>
    </cfRule>
  </conditionalFormatting>
  <conditionalFormatting sqref="AT118:AT119">
    <cfRule type="colorScale" priority="44">
      <colorScale>
        <cfvo type="min"/>
        <cfvo type="percentile" val="50"/>
        <cfvo type="max"/>
        <color rgb="FF63BE7B"/>
        <color rgb="FFFFEB84"/>
        <color rgb="FFF8696B"/>
      </colorScale>
    </cfRule>
  </conditionalFormatting>
  <conditionalFormatting sqref="AU46:AW46">
    <cfRule type="colorScale" priority="33">
      <colorScale>
        <cfvo type="min"/>
        <cfvo type="percentile" val="50"/>
        <cfvo type="max"/>
        <color rgb="FF63BE7B"/>
        <color rgb="FFFFEB84"/>
        <color rgb="FFF8696B"/>
      </colorScale>
    </cfRule>
  </conditionalFormatting>
  <conditionalFormatting sqref="AU144:AW144">
    <cfRule type="colorScale" priority="74">
      <colorScale>
        <cfvo type="min"/>
        <cfvo type="percentile" val="50"/>
        <cfvo type="max"/>
        <color rgb="FF63BE7B"/>
        <color rgb="FFFFEB84"/>
        <color rgb="FFF8696B"/>
      </colorScale>
    </cfRule>
  </conditionalFormatting>
  <conditionalFormatting sqref="AU157:AW170">
    <cfRule type="colorScale" priority="63">
      <colorScale>
        <cfvo type="min"/>
        <cfvo type="percentile" val="50"/>
        <cfvo type="max"/>
        <color rgb="FF63BE7B"/>
        <color rgb="FFFFEB84"/>
        <color rgb="FFF8696B"/>
      </colorScale>
    </cfRule>
  </conditionalFormatting>
  <conditionalFormatting sqref="AV152">
    <cfRule type="colorScale" priority="30">
      <colorScale>
        <cfvo type="min"/>
        <cfvo type="percentile" val="50"/>
        <cfvo type="max"/>
        <color rgb="FF63BE7B"/>
        <color rgb="FFFFEB84"/>
        <color rgb="FFF8696B"/>
      </colorScale>
    </cfRule>
  </conditionalFormatting>
  <conditionalFormatting sqref="AW153">
    <cfRule type="colorScale" priority="29">
      <colorScale>
        <cfvo type="min"/>
        <cfvo type="percentile" val="50"/>
        <cfvo type="max"/>
        <color rgb="FF63BE7B"/>
        <color rgb="FFFFEB84"/>
        <color rgb="FFF8696B"/>
      </colorScale>
    </cfRule>
  </conditionalFormatting>
  <conditionalFormatting sqref="AX83">
    <cfRule type="colorScale" priority="100">
      <colorScale>
        <cfvo type="min"/>
        <cfvo type="percentile" val="50"/>
        <cfvo type="max"/>
        <color rgb="FF63BE7B"/>
        <color rgb="FFFFEB84"/>
        <color rgb="FFF8696B"/>
      </colorScale>
    </cfRule>
  </conditionalFormatting>
  <conditionalFormatting sqref="AX91">
    <cfRule type="colorScale" priority="25">
      <colorScale>
        <cfvo type="min"/>
        <cfvo type="percentile" val="50"/>
        <cfvo type="max"/>
        <color rgb="FF63BE7B"/>
        <color rgb="FFFFEB84"/>
        <color rgb="FFF8696B"/>
      </colorScale>
    </cfRule>
  </conditionalFormatting>
  <conditionalFormatting sqref="AY83">
    <cfRule type="colorScale" priority="99">
      <colorScale>
        <cfvo type="min"/>
        <cfvo type="percentile" val="50"/>
        <cfvo type="max"/>
        <color rgb="FF63BE7B"/>
        <color rgb="FFFFEB84"/>
        <color rgb="FFF8696B"/>
      </colorScale>
    </cfRule>
  </conditionalFormatting>
  <conditionalFormatting sqref="AZ83">
    <cfRule type="colorScale" priority="98">
      <colorScale>
        <cfvo type="min"/>
        <cfvo type="percentile" val="50"/>
        <cfvo type="max"/>
        <color rgb="FF63BE7B"/>
        <color rgb="FFFFEB84"/>
        <color rgb="FFF8696B"/>
      </colorScale>
    </cfRule>
  </conditionalFormatting>
  <conditionalFormatting sqref="BA95">
    <cfRule type="colorScale" priority="97">
      <colorScale>
        <cfvo type="min"/>
        <cfvo type="percentile" val="50"/>
        <cfvo type="max"/>
        <color rgb="FF63BE7B"/>
        <color rgb="FFFFEB84"/>
        <color rgb="FFF8696B"/>
      </colorScale>
    </cfRule>
  </conditionalFormatting>
  <conditionalFormatting sqref="BB4">
    <cfRule type="colorScale" priority="41">
      <colorScale>
        <cfvo type="min"/>
        <cfvo type="percentile" val="50"/>
        <cfvo type="max"/>
        <color rgb="FF63BE7B"/>
        <color rgb="FFFFEB84"/>
        <color rgb="FFF8696B"/>
      </colorScale>
    </cfRule>
  </conditionalFormatting>
  <conditionalFormatting sqref="BB63">
    <cfRule type="colorScale" priority="58">
      <colorScale>
        <cfvo type="min"/>
        <cfvo type="percentile" val="50"/>
        <cfvo type="max"/>
        <color rgb="FF63BE7B"/>
        <color rgb="FFFFEB84"/>
        <color rgb="FFF8696B"/>
      </colorScale>
    </cfRule>
  </conditionalFormatting>
  <conditionalFormatting sqref="BC64">
    <cfRule type="colorScale" priority="59">
      <colorScale>
        <cfvo type="min"/>
        <cfvo type="percentile" val="50"/>
        <cfvo type="max"/>
        <color rgb="FF63BE7B"/>
        <color rgb="FFFFEB84"/>
        <color rgb="FFF8696B"/>
      </colorScale>
    </cfRule>
  </conditionalFormatting>
  <conditionalFormatting sqref="BD62:BF62">
    <cfRule type="colorScale" priority="57">
      <colorScale>
        <cfvo type="min"/>
        <cfvo type="percentile" val="50"/>
        <cfvo type="max"/>
        <color rgb="FF63BE7B"/>
        <color rgb="FFFFEB84"/>
        <color rgb="FFF8696B"/>
      </colorScale>
    </cfRule>
  </conditionalFormatting>
  <conditionalFormatting sqref="BF67">
    <cfRule type="colorScale" priority="13">
      <colorScale>
        <cfvo type="min"/>
        <cfvo type="percentile" val="50"/>
        <cfvo type="max"/>
        <color rgb="FF63BE7B"/>
        <color rgb="FFFFEB84"/>
        <color rgb="FFF8696B"/>
      </colorScale>
    </cfRule>
  </conditionalFormatting>
  <conditionalFormatting sqref="BG55:BM55">
    <cfRule type="colorScale" priority="56">
      <colorScale>
        <cfvo type="min"/>
        <cfvo type="percentile" val="50"/>
        <cfvo type="max"/>
        <color rgb="FF63BE7B"/>
        <color rgb="FFFFEB84"/>
        <color rgb="FFF8696B"/>
      </colorScale>
    </cfRule>
  </conditionalFormatting>
  <conditionalFormatting sqref="BH66">
    <cfRule type="colorScale" priority="12">
      <colorScale>
        <cfvo type="min"/>
        <cfvo type="percentile" val="50"/>
        <cfvo type="max"/>
        <color rgb="FF63BE7B"/>
        <color rgb="FFFFEB84"/>
        <color rgb="FFF8696B"/>
      </colorScale>
    </cfRule>
  </conditionalFormatting>
  <conditionalFormatting sqref="BI189">
    <cfRule type="colorScale" priority="20">
      <colorScale>
        <cfvo type="min"/>
        <cfvo type="percentile" val="50"/>
        <cfvo type="max"/>
        <color rgb="FF63BE7B"/>
        <color rgb="FFFFEB84"/>
        <color rgb="FFF8696B"/>
      </colorScale>
    </cfRule>
    <cfRule type="colorScale" priority="21">
      <colorScale>
        <cfvo type="min"/>
        <cfvo type="percentile" val="50"/>
        <cfvo type="max"/>
        <color rgb="FF63BE7B"/>
        <color rgb="FFFFEB84"/>
        <color rgb="FFF8696B"/>
      </colorScale>
    </cfRule>
  </conditionalFormatting>
  <conditionalFormatting sqref="BJ190">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K191:BL191">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L192">
    <cfRule type="colorScale" priority="2">
      <colorScale>
        <cfvo type="min"/>
        <cfvo type="percentile" val="50"/>
        <cfvo type="max"/>
        <color rgb="FF63BE7B"/>
        <color rgb="FFFFEB84"/>
        <color rgb="FFF8696B"/>
      </colorScale>
    </cfRule>
  </conditionalFormatting>
  <conditionalFormatting sqref="BL193">
    <cfRule type="colorScale" priority="1">
      <colorScale>
        <cfvo type="min"/>
        <cfvo type="percentile" val="50"/>
        <cfvo type="max"/>
        <color rgb="FF63BE7B"/>
        <color rgb="FFFFEB84"/>
        <color rgb="FFF8696B"/>
      </colorScale>
    </cfRule>
  </conditionalFormatting>
  <conditionalFormatting sqref="BM192">
    <cfRule type="colorScale" priority="15">
      <colorScale>
        <cfvo type="min"/>
        <cfvo type="percentile" val="50"/>
        <cfvo type="max"/>
        <color rgb="FF63BE7B"/>
        <color rgb="FFFFEB84"/>
        <color rgb="FFF8696B"/>
      </colorScale>
    </cfRule>
    <cfRule type="colorScale" priority="14">
      <colorScale>
        <cfvo type="min"/>
        <cfvo type="percentile" val="50"/>
        <cfvo type="max"/>
        <color rgb="FF63BE7B"/>
        <color rgb="FFFFEB84"/>
        <color rgb="FFF8696B"/>
      </colorScale>
    </cfRule>
  </conditionalFormatting>
  <conditionalFormatting sqref="BN54">
    <cfRule type="colorScale" priority="55">
      <colorScale>
        <cfvo type="min"/>
        <cfvo type="percentile" val="50"/>
        <cfvo type="max"/>
        <color rgb="FF63BE7B"/>
        <color rgb="FFFFEB84"/>
        <color rgb="FFF8696B"/>
      </colorScale>
    </cfRule>
  </conditionalFormatting>
  <conditionalFormatting sqref="BN112">
    <cfRule type="colorScale" priority="52">
      <colorScale>
        <cfvo type="min"/>
        <cfvo type="percentile" val="50"/>
        <cfvo type="max"/>
        <color rgb="FF63BE7B"/>
        <color rgb="FFFFEB84"/>
        <color rgb="FFF8696B"/>
      </colorScale>
    </cfRule>
  </conditionalFormatting>
  <conditionalFormatting sqref="BN117">
    <cfRule type="colorScale" priority="50">
      <colorScale>
        <cfvo type="min"/>
        <cfvo type="percentile" val="50"/>
        <cfvo type="max"/>
        <color rgb="FF63BE7B"/>
        <color rgb="FFFFEB84"/>
        <color rgb="FFF8696B"/>
      </colorScale>
    </cfRule>
  </conditionalFormatting>
  <conditionalFormatting sqref="BO57">
    <cfRule type="colorScale" priority="54">
      <colorScale>
        <cfvo type="min"/>
        <cfvo type="percentile" val="50"/>
        <cfvo type="max"/>
        <color rgb="FF63BE7B"/>
        <color rgb="FFFFEB84"/>
        <color rgb="FFF8696B"/>
      </colorScale>
    </cfRule>
  </conditionalFormatting>
  <conditionalFormatting sqref="BO110">
    <cfRule type="colorScale" priority="51">
      <colorScale>
        <cfvo type="min"/>
        <cfvo type="percentile" val="50"/>
        <cfvo type="max"/>
        <color rgb="FF63BE7B"/>
        <color rgb="FFFFEB84"/>
        <color rgb="FFF8696B"/>
      </colorScale>
    </cfRule>
  </conditionalFormatting>
  <conditionalFormatting sqref="BO120">
    <cfRule type="colorScale" priority="49">
      <colorScale>
        <cfvo type="min"/>
        <cfvo type="percentile" val="50"/>
        <cfvo type="max"/>
        <color rgb="FF63BE7B"/>
        <color rgb="FFFFEB84"/>
        <color rgb="FFF8696B"/>
      </colorScale>
    </cfRule>
  </conditionalFormatting>
  <conditionalFormatting sqref="BP108">
    <cfRule type="colorScale" priority="53">
      <colorScale>
        <cfvo type="min"/>
        <cfvo type="percentile" val="50"/>
        <cfvo type="max"/>
        <color rgb="FF63BE7B"/>
        <color rgb="FFFFEB84"/>
        <color rgb="FFF8696B"/>
      </colorScale>
    </cfRule>
  </conditionalFormatting>
  <conditionalFormatting sqref="BP109">
    <cfRule type="colorScale" priority="48">
      <colorScale>
        <cfvo type="min"/>
        <cfvo type="percentile" val="50"/>
        <cfvo type="max"/>
        <color rgb="FF63BE7B"/>
        <color rgb="FFFFEB84"/>
        <color rgb="FFF8696B"/>
      </colorScale>
    </cfRule>
  </conditionalFormatting>
  <conditionalFormatting sqref="BP116">
    <cfRule type="colorScale" priority="47">
      <colorScale>
        <cfvo type="min"/>
        <cfvo type="percentile" val="50"/>
        <cfvo type="max"/>
        <color rgb="FF63BE7B"/>
        <color rgb="FFFFEB84"/>
        <color rgb="FFF8696B"/>
      </colorScale>
    </cfRule>
  </conditionalFormatting>
  <conditionalFormatting sqref="BQ68">
    <cfRule type="colorScale" priority="43">
      <colorScale>
        <cfvo type="min"/>
        <cfvo type="percentile" val="50"/>
        <cfvo type="max"/>
        <color rgb="FF63BE7B"/>
        <color rgb="FFFFEB84"/>
        <color rgb="FFF8696B"/>
      </colorScale>
    </cfRule>
  </conditionalFormatting>
  <conditionalFormatting sqref="BR35">
    <cfRule type="colorScale" priority="42">
      <colorScale>
        <cfvo type="min"/>
        <cfvo type="percentile" val="50"/>
        <cfvo type="max"/>
        <color rgb="FF63BE7B"/>
        <color rgb="FFFFEB84"/>
        <color rgb="FFF8696B"/>
      </colorScale>
    </cfRule>
  </conditionalFormatting>
  <conditionalFormatting sqref="BT1">
    <cfRule type="iconSet" priority="6">
      <iconSet reverse="1">
        <cfvo type="percent" val="0"/>
        <cfvo type="percent" val="33"/>
        <cfvo type="percent" val="67"/>
      </iconSet>
    </cfRule>
  </conditionalFormatting>
  <conditionalFormatting sqref="BT1:BT42 BT44:BT1048576">
    <cfRule type="duplicateValues" dxfId="89" priority="7"/>
  </conditionalFormatting>
  <conditionalFormatting sqref="BT3:BT6 BT9:BT11 BT13:BT17">
    <cfRule type="colorScale" priority="8">
      <colorScale>
        <cfvo type="min"/>
        <cfvo type="percentile" val="50"/>
        <cfvo type="max"/>
        <color rgb="FF5A8AC6"/>
        <color rgb="FFFCFCFF"/>
        <color rgb="FFF8696B"/>
      </colorScale>
    </cfRule>
  </conditionalFormatting>
  <conditionalFormatting sqref="BT12">
    <cfRule type="colorScale" priority="9">
      <colorScale>
        <cfvo type="min"/>
        <cfvo type="percentile" val="50"/>
        <cfvo type="max"/>
        <color rgb="FF5A8AC6"/>
        <color rgb="FFFCFCFF"/>
        <color rgb="FFF8696B"/>
      </colorScale>
    </cfRule>
  </conditionalFormatting>
  <conditionalFormatting sqref="BT19:BT20">
    <cfRule type="colorScale" priority="10">
      <colorScale>
        <cfvo type="min"/>
        <cfvo type="percentile" val="50"/>
        <cfvo type="max"/>
        <color rgb="FF5A8AC6"/>
        <color rgb="FFFCFCFF"/>
        <color rgb="FFF8696B"/>
      </colorScale>
    </cfRule>
  </conditionalFormatting>
  <conditionalFormatting sqref="BT22:BT23">
    <cfRule type="iconSet" priority="11">
      <iconSet reverse="1">
        <cfvo type="percent" val="0"/>
        <cfvo type="percent" val="33"/>
        <cfvo type="percent" val="67"/>
      </iconSet>
    </cfRule>
  </conditionalFormatting>
  <conditionalFormatting sqref="BU207:CL207">
    <cfRule type="colorScale" priority="3">
      <colorScale>
        <cfvo type="min"/>
        <cfvo type="percentile" val="50"/>
        <cfvo type="max"/>
        <color rgb="FF63BE7B"/>
        <color rgb="FFFFEB84"/>
        <color rgb="FFF8696B"/>
      </colorScale>
    </cfRule>
  </conditionalFormatting>
  <conditionalFormatting sqref="BU208:CL208">
    <cfRule type="colorScale" priority="4">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tabColor rgb="FFFFC000"/>
  </sheetPr>
  <dimension ref="A1:C41"/>
  <sheetViews>
    <sheetView zoomScale="85" zoomScaleNormal="85" workbookViewId="0">
      <selection activeCell="B8" sqref="B8"/>
    </sheetView>
  </sheetViews>
  <sheetFormatPr defaultColWidth="10.6640625" defaultRowHeight="14.4"/>
  <cols>
    <col min="1" max="1" width="32.33203125" style="316" bestFit="1" customWidth="1"/>
    <col min="2" max="2" width="131.109375" style="435" bestFit="1" customWidth="1"/>
    <col min="3" max="3" width="60.33203125" style="374" customWidth="1"/>
    <col min="4" max="16384" width="10.6640625" style="366"/>
  </cols>
  <sheetData>
    <row r="1" spans="1:3">
      <c r="A1" s="877" t="s">
        <v>2681</v>
      </c>
      <c r="B1" s="878" t="s">
        <v>2682</v>
      </c>
      <c r="C1" s="879" t="s">
        <v>2683</v>
      </c>
    </row>
    <row r="2" spans="1:3">
      <c r="A2" s="316" t="s">
        <v>1346</v>
      </c>
      <c r="B2" s="898"/>
      <c r="C2" s="874" t="str">
        <f>'A FAIRE'!AF208&amp;'A FAIRE'!AG208&amp;'A FAIRE'!AH208&amp;'A FAIRE'!AE208</f>
        <v xml:space="preserve">   </v>
      </c>
    </row>
    <row r="3" spans="1:3" ht="158.4">
      <c r="A3" s="316" t="s">
        <v>1345</v>
      </c>
      <c r="B3" s="899"/>
      <c r="C3" s="874" t="str">
        <f>'A FAIRE'!E208&amp;'A FAIRE'!G208&amp;'A FAIRE'!H208&amp;'A FAIRE'!I208&amp;'A FAIRE'!J208&amp;'A FAIRE'!K208&amp;'A FAIRE'!L208&amp;'A FAIRE'!M208&amp;'A FAIRE'!N208&amp;'A FAIRE'!O208&amp;'A FAIRE'!P208&amp;'A FAIRE'!Q208&amp;'A FAIRE'!R208&amp;'A FAIRE'!S208&amp;'A FAIRE'!T208&amp;'A FAIRE'!U208&amp;'A FAIRE'!V208&amp;'A FAIRE'!W208&amp;'A FAIRE'!X208&amp;'A FAIRE'!Y208&amp;'A FAIRE'!Z208&amp;'A FAIRE'!AA208&amp;'A FAIRE'!AB208&amp;'A FAIRE'!AC208&amp;'A FAIRE'!BS208</f>
        <v xml:space="preserve">Glycémie, Hb1Ac, Insuline et indice HOMA-IR, Cholestérol Total et fractions HDL et LDL, Triglycérides, Electrophorèse des protéinesASAT, ALAT, GGTTestostérone Totale, FSH; Cortisol; Sulfate DHEA,  Vitamine D2-D3, Vitamine B6; Magnésium sang, PSA, Fer sérique, Ferritine, Coefficient saturation, CPK, TSH, BNP et ProBNP, Créatininémie, DFG,  ECBU, Bilan urinaire des 24 heures (diurése, pH, Densité, Urée, Créatininémie, Sodium, Calcium, Acide Urique), Cytologie urinaire avec recherche d'atypie celllaire, Bilan IST (Sélogies: Syphilis, VIH1-2, Hépatite B. Recherche de chlamydia trachomatis et neisseria gonorrhoeae), test immunochimique fécal (TIF), IgE spécifique, Cotinurie, Methylation AHRR, -  </v>
      </c>
    </row>
    <row r="4" spans="1:3">
      <c r="A4" s="316" t="s">
        <v>1371</v>
      </c>
      <c r="B4" s="899"/>
      <c r="C4" s="880" t="str">
        <f>'A FAIRE'!AX208&amp;'A FAIRE'!AY208&amp;'A FAIRE'!AZ208&amp;'A FAIRE'!BA208</f>
        <v>Supplémentation VitaD,   Supplémentation Ubiquinol,</v>
      </c>
    </row>
    <row r="5" spans="1:3">
      <c r="A5" s="316" t="s">
        <v>1382</v>
      </c>
      <c r="B5" s="899"/>
      <c r="C5" s="880" t="str">
        <f>'A FAIRE'!AI208&amp;'A FAIRE'!AJ208&amp;'A FAIRE'!AK208&amp;'A FAIRE'!AL208&amp;'A FAIRE'!AM208&amp;'A FAIRE'!AN208&amp;'A FAIRE'!AO208&amp;'A FAIRE'!AP208&amp;'A FAIRE'!AQ208&amp;'A FAIRE'!AR208&amp;'A FAIRE'!AS208&amp;'A FAIRE'!AV208</f>
        <v xml:space="preserve">    Cs Cardiologie, Cs Pneumo-allergologie,     Cs Ophtalmologie, </v>
      </c>
    </row>
    <row r="6" spans="1:3">
      <c r="A6" s="316" t="s">
        <v>1370</v>
      </c>
      <c r="B6" s="898"/>
      <c r="C6" s="880" t="str">
        <f>'A FAIRE'!BG208&amp;'A FAIRE'!BN208&amp;'A FAIRE'!BO208&amp;'A FAIRE'!BP208&amp;'A FAIRE'!BQ208&amp;'A FAIRE'!BG169&amp;'A FAIRE'!AT208</f>
        <v xml:space="preserve">  Dépistage  cancer du colon,    </v>
      </c>
    </row>
    <row r="7" spans="1:3">
      <c r="A7" s="316" t="s">
        <v>1427</v>
      </c>
      <c r="B7" s="898"/>
      <c r="C7" s="874" t="str">
        <f>'A FAIRE'!BB208&amp;'A FAIRE'!BC208&amp;'A FAIRE'!BD208</f>
        <v xml:space="preserve">   Vaccination grippe, </v>
      </c>
    </row>
    <row r="8" spans="1:3" ht="28.8">
      <c r="A8" s="316" t="s">
        <v>2235</v>
      </c>
      <c r="B8" s="899"/>
      <c r="C8" s="880" t="str">
        <f>'A FAIRE'!BU208&amp;'A FAIRE'!BV208&amp;'A FAIRE'!BW208&amp;'A FAIRE'!BX208&amp;'A FAIRE'!BY208&amp;'A FAIRE'!BZ208&amp;'A FAIRE'!CA208&amp;'A FAIRE'!CB208&amp;'A FAIRE'!CC208&amp;'A FAIRE'!CD208&amp;'A FAIRE'!CE208&amp;'A FAIRE'!CF208&amp;'A FAIRE'!CG208&amp;'A FAIRE'!CH208&amp;'A FAIRE'!CI208&amp;'A FAIRE'!CJ208&amp;'A FAIRE'!CK208&amp;'A FAIRE'!CL208</f>
        <v xml:space="preserve">          Echographie hépatique (splénique)Scanner abdomino-pelvien Echo-doppler vasculaire artériel    </v>
      </c>
    </row>
    <row r="9" spans="1:3">
      <c r="A9" s="425" t="s">
        <v>503</v>
      </c>
      <c r="B9" s="434" t="s">
        <v>313</v>
      </c>
      <c r="C9" s="438">
        <f>AUTOQUESTIONNAIRE!F6-100-((AUTOQUESTIONNAIRE!F6-150)/4)</f>
        <v>61.25</v>
      </c>
    </row>
    <row r="10" spans="1:3">
      <c r="A10" s="425" t="s">
        <v>1967</v>
      </c>
      <c r="B10" s="434" t="s">
        <v>1969</v>
      </c>
      <c r="C10" s="438">
        <f>'Commentaires analyses'!B115</f>
        <v>69.5</v>
      </c>
    </row>
    <row r="11" spans="1:3" ht="28.8">
      <c r="A11" s="426" t="s">
        <v>594</v>
      </c>
      <c r="B11" s="434" t="s">
        <v>278</v>
      </c>
      <c r="C11" s="438">
        <f>((10*AUTOQUESTIONNAIRE!F7)+(6.25*AUTOQUESTIONNAIRE!F6)-(5*AUTOQUESTIONNAIRE!F4+5))/1000</f>
        <v>1.52125</v>
      </c>
    </row>
    <row r="12" spans="1:3" ht="28.8">
      <c r="A12" s="426" t="s">
        <v>598</v>
      </c>
      <c r="B12" s="434" t="s">
        <v>279</v>
      </c>
      <c r="C12" s="438">
        <f>C11*0.86</f>
        <v>1.3082750000000001</v>
      </c>
    </row>
    <row r="13" spans="1:3" ht="28.8">
      <c r="A13" s="426" t="s">
        <v>595</v>
      </c>
      <c r="B13" s="434" t="s">
        <v>280</v>
      </c>
      <c r="C13" s="438">
        <f>C11*1.14</f>
        <v>1.7342249999999999</v>
      </c>
    </row>
    <row r="14" spans="1:3" ht="28.8">
      <c r="A14" s="427" t="s">
        <v>1457</v>
      </c>
      <c r="B14" s="432" t="s">
        <v>538</v>
      </c>
      <c r="C14" s="438">
        <v>3.8</v>
      </c>
    </row>
    <row r="15" spans="1:3" ht="43.2">
      <c r="A15" s="427" t="s">
        <v>568</v>
      </c>
      <c r="B15" s="432" t="s">
        <v>539</v>
      </c>
      <c r="C15" s="438">
        <f>0.8*C9</f>
        <v>49</v>
      </c>
    </row>
    <row r="16" spans="1:3" ht="43.2">
      <c r="A16" s="427" t="s">
        <v>1472</v>
      </c>
      <c r="B16" s="433" t="s">
        <v>385</v>
      </c>
      <c r="C16" s="438">
        <f>IF(AUTOQUESTIONNAIRE!H3=1,2,1.8)</f>
        <v>2</v>
      </c>
    </row>
    <row r="17" spans="1:3">
      <c r="A17" s="427" t="s">
        <v>1458</v>
      </c>
      <c r="B17" s="436" t="s">
        <v>1459</v>
      </c>
      <c r="C17" s="438" t="s">
        <v>2703</v>
      </c>
    </row>
    <row r="18" spans="1:3" ht="28.8">
      <c r="A18" s="428" t="s">
        <v>1306</v>
      </c>
      <c r="B18" s="429" t="s">
        <v>1311</v>
      </c>
      <c r="C18" s="438">
        <f>207.5-(0.78*AUTOQUESTIONNAIRE!F4)</f>
        <v>167.72</v>
      </c>
    </row>
    <row r="19" spans="1:3" ht="28.8">
      <c r="A19" s="428" t="s">
        <v>1307</v>
      </c>
      <c r="B19" s="429" t="s">
        <v>1310</v>
      </c>
      <c r="C19" s="438">
        <f>208.3-(0.74*AUTOQUESTIONNAIRE!F4)</f>
        <v>170.56</v>
      </c>
    </row>
    <row r="20" spans="1:3" ht="28.8">
      <c r="A20" s="428" t="s">
        <v>1378</v>
      </c>
      <c r="B20" s="430" t="s">
        <v>1309</v>
      </c>
      <c r="C20" s="438">
        <f>70%*(C18-F183)+F183</f>
        <v>117.404</v>
      </c>
    </row>
    <row r="21" spans="1:3" ht="28.8">
      <c r="A21" s="428" t="s">
        <v>1379</v>
      </c>
      <c r="B21" s="431" t="s">
        <v>1309</v>
      </c>
      <c r="C21" s="438">
        <f>70%*(C19-F183)+F183</f>
        <v>119.392</v>
      </c>
    </row>
    <row r="22" spans="1:3" ht="28.8">
      <c r="A22" s="428" t="s">
        <v>1475</v>
      </c>
      <c r="B22" s="431" t="s">
        <v>625</v>
      </c>
      <c r="C22" s="374">
        <f>((AUTOQUESTIONNAIRE!F220-70)+2*(AUTOQUESTIONNAIRE!F221-AUTOQUESTIONNAIRE!F217))/10</f>
        <v>1</v>
      </c>
    </row>
    <row r="23" spans="1:3" ht="28.8">
      <c r="A23" s="439" t="s">
        <v>1970</v>
      </c>
      <c r="B23" s="430" t="s">
        <v>1971</v>
      </c>
      <c r="C23" s="438">
        <f>MAX(AUTOQUESTIONNAIRE!G215:H215)</f>
        <v>82.5</v>
      </c>
    </row>
    <row r="24" spans="1:3">
      <c r="A24" s="439" t="s">
        <v>1977</v>
      </c>
      <c r="B24" s="441" t="s">
        <v>1978</v>
      </c>
      <c r="C24" s="438">
        <f>MAX(AUTOQUESTIONNAIRE!G216:H216)</f>
        <v>40.424999999999997</v>
      </c>
    </row>
    <row r="25" spans="1:3" ht="28.8">
      <c r="A25" s="440" t="s">
        <v>506</v>
      </c>
      <c r="B25" s="430" t="s">
        <v>276</v>
      </c>
      <c r="C25" s="374">
        <f>AUTOQUESTIONNAIRE!F219</f>
        <v>65</v>
      </c>
    </row>
    <row r="26" spans="1:3" ht="28.8">
      <c r="A26" s="440" t="s">
        <v>507</v>
      </c>
      <c r="B26" s="430" t="s">
        <v>277</v>
      </c>
      <c r="C26" s="374">
        <f>AUTOQUESTIONNAIRE!F218</f>
        <v>110</v>
      </c>
    </row>
    <row r="27" spans="1:3">
      <c r="A27" s="316" t="s">
        <v>2709</v>
      </c>
      <c r="B27" s="888" t="s">
        <v>2710</v>
      </c>
      <c r="C27" s="374">
        <f>AUTOQUESTIONNAIRE!H249</f>
        <v>7.5</v>
      </c>
    </row>
    <row r="28" spans="1:3">
      <c r="A28" s="316" t="s">
        <v>2715</v>
      </c>
      <c r="B28" s="892" t="s">
        <v>2718</v>
      </c>
      <c r="C28" s="374">
        <f>AUTOQUESTIONNAIRE!G346</f>
        <v>10</v>
      </c>
    </row>
    <row r="29" spans="1:3">
      <c r="A29" s="316" t="s">
        <v>2716</v>
      </c>
      <c r="B29" s="888" t="s">
        <v>2717</v>
      </c>
      <c r="C29" s="374">
        <f>AUTOQUESTIONNAIRE!G347</f>
        <v>40</v>
      </c>
    </row>
    <row r="30" spans="1:3">
      <c r="A30" s="316" t="s">
        <v>2728</v>
      </c>
      <c r="B30" s="894" t="s">
        <v>2729</v>
      </c>
      <c r="C30" s="374">
        <f>AUTOQUESTIONNAIRE!F228</f>
        <v>99</v>
      </c>
    </row>
    <row r="31" spans="1:3">
      <c r="B31" s="888"/>
    </row>
    <row r="32" spans="1:3">
      <c r="B32" s="888"/>
    </row>
    <row r="33" spans="1:3">
      <c r="A33" s="653" t="s">
        <v>240</v>
      </c>
      <c r="B33" s="882"/>
    </row>
    <row r="34" spans="1:3" ht="15.6">
      <c r="A34" s="653" t="s">
        <v>251</v>
      </c>
      <c r="B34" s="882" t="s">
        <v>761</v>
      </c>
      <c r="C34" s="881">
        <f>1-AUTOQUESTIONNAIRE!K141</f>
        <v>0.66666666666666674</v>
      </c>
    </row>
    <row r="35" spans="1:3" ht="15.6">
      <c r="A35" s="653" t="s">
        <v>777</v>
      </c>
      <c r="B35" s="882" t="s">
        <v>762</v>
      </c>
      <c r="C35" s="881">
        <f>1-AUTOQUESTIONNAIRE!K142</f>
        <v>1</v>
      </c>
    </row>
    <row r="36" spans="1:3" ht="15.6">
      <c r="A36" s="653" t="s">
        <v>252</v>
      </c>
      <c r="B36" s="882" t="s">
        <v>763</v>
      </c>
      <c r="C36" s="881">
        <f>1-AUTOQUESTIONNAIRE!K143</f>
        <v>0.93333333333333335</v>
      </c>
    </row>
    <row r="37" spans="1:3" ht="15.6">
      <c r="A37" s="653" t="s">
        <v>253</v>
      </c>
      <c r="B37" s="882" t="s">
        <v>764</v>
      </c>
      <c r="C37" s="881">
        <f>1-AUTOQUESTIONNAIRE!K144</f>
        <v>1</v>
      </c>
    </row>
    <row r="38" spans="1:3" ht="15.6">
      <c r="A38" s="653" t="s">
        <v>254</v>
      </c>
      <c r="B38" s="882" t="s">
        <v>765</v>
      </c>
      <c r="C38" s="881">
        <f>1-AUTOQUESTIONNAIRE!K145</f>
        <v>1</v>
      </c>
    </row>
    <row r="39" spans="1:3" ht="15.6">
      <c r="A39" s="653" t="s">
        <v>784</v>
      </c>
      <c r="B39" s="882" t="s">
        <v>766</v>
      </c>
      <c r="C39" s="881">
        <f>AUTOQUESTIONNAIRE!K137</f>
        <v>0.75</v>
      </c>
    </row>
    <row r="40" spans="1:3" ht="43.2">
      <c r="A40" s="653" t="s">
        <v>746</v>
      </c>
      <c r="B40" s="882" t="s">
        <v>786</v>
      </c>
      <c r="C40" s="881">
        <f>AUTOQUESTIONNAIRE!K146</f>
        <v>0.5</v>
      </c>
    </row>
    <row r="41" spans="1:3" ht="28.8">
      <c r="A41" s="653" t="s">
        <v>747</v>
      </c>
      <c r="B41" s="882" t="s">
        <v>785</v>
      </c>
      <c r="C41" s="881">
        <f>AUTOQUESTIONNAIRE!K147</f>
        <v>1</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FFC000"/>
  </sheetPr>
  <dimension ref="A1:R79"/>
  <sheetViews>
    <sheetView zoomScale="85" zoomScaleNormal="85" workbookViewId="0">
      <pane xSplit="2" ySplit="1" topLeftCell="C43" activePane="bottomRight" state="frozen"/>
      <selection pane="topRight" activeCell="C1" sqref="C1"/>
      <selection pane="bottomLeft" activeCell="A2" sqref="A2"/>
      <selection pane="bottomRight" activeCell="C42" sqref="C42"/>
    </sheetView>
  </sheetViews>
  <sheetFormatPr defaultColWidth="10.6640625" defaultRowHeight="14.4"/>
  <cols>
    <col min="1" max="1" width="31.5546875" style="722" customWidth="1"/>
    <col min="2" max="2" width="58" style="735" customWidth="1"/>
    <col min="3" max="3" width="14.44140625" style="316" customWidth="1"/>
    <col min="4" max="4" width="16.109375" style="316" customWidth="1"/>
    <col min="5" max="6" width="10.6640625" style="316"/>
    <col min="7" max="7" width="10.6640625" style="524"/>
    <col min="8" max="8" width="13.77734375" style="316" customWidth="1"/>
    <col min="9" max="9" width="15.88671875" style="316" customWidth="1"/>
    <col min="10" max="10" width="12.5546875" style="316" bestFit="1" customWidth="1"/>
    <col min="11" max="11" width="12.5546875" style="316" customWidth="1"/>
    <col min="12" max="12" width="39" style="724" customWidth="1"/>
    <col min="13" max="14" width="16" style="817" customWidth="1"/>
    <col min="15" max="15" width="16" style="623" customWidth="1"/>
    <col min="16" max="16" width="16" style="819" customWidth="1"/>
    <col min="17" max="16384" width="10.6640625" style="722"/>
  </cols>
  <sheetData>
    <row r="1" spans="1:18" s="316" customFormat="1">
      <c r="A1" s="316" t="s">
        <v>2079</v>
      </c>
      <c r="B1" s="140" t="s">
        <v>55</v>
      </c>
      <c r="C1" s="316" t="s">
        <v>1712</v>
      </c>
      <c r="D1" s="316" t="s">
        <v>1713</v>
      </c>
      <c r="F1" s="316" t="s">
        <v>1715</v>
      </c>
      <c r="G1" s="524" t="s">
        <v>1714</v>
      </c>
      <c r="H1" s="316" t="s">
        <v>1722</v>
      </c>
      <c r="I1" s="316" t="s">
        <v>1966</v>
      </c>
      <c r="J1" s="826" t="s">
        <v>1965</v>
      </c>
      <c r="K1" s="316" t="s">
        <v>2062</v>
      </c>
      <c r="L1" s="316" t="s">
        <v>2061</v>
      </c>
      <c r="M1" s="653" t="s">
        <v>2223</v>
      </c>
      <c r="N1" s="816" t="s">
        <v>2161</v>
      </c>
      <c r="O1" s="653" t="s">
        <v>2222</v>
      </c>
      <c r="P1" s="818" t="s">
        <v>2162</v>
      </c>
      <c r="R1" s="700" t="s">
        <v>1982</v>
      </c>
    </row>
    <row r="2" spans="1:18">
      <c r="A2" s="722" t="s">
        <v>2042</v>
      </c>
      <c r="B2" s="723" t="s">
        <v>2040</v>
      </c>
      <c r="C2" s="584">
        <f>AUTOQUESTIONNAIRE!AH185</f>
        <v>1</v>
      </c>
      <c r="D2" s="524">
        <f>'Import Biologie'!D98</f>
        <v>0.8</v>
      </c>
      <c r="E2" s="316" t="s">
        <v>1706</v>
      </c>
      <c r="F2" s="316" t="str">
        <f>IF(ISBLANK('Import Biologie'!D98),"Non Fait","Fait")</f>
        <v>Fait</v>
      </c>
      <c r="G2" s="524">
        <f t="shared" ref="G2:G34" si="0">C2*(IF(F2="Fait",D2,1))</f>
        <v>0.8</v>
      </c>
      <c r="H2" s="316" t="str">
        <f t="shared" ref="H2:H34" si="1">IF(G2&lt;0.99,"Usuel",IF(G2&gt;1.2,"Alerte","Vigilance"))</f>
        <v>Usuel</v>
      </c>
      <c r="I2" s="316" t="str">
        <f t="shared" ref="I2:I34" si="2">IF(G2&gt;99,"Suivi",H2)</f>
        <v>Usuel</v>
      </c>
      <c r="J2" s="316" t="str">
        <f>I2</f>
        <v>Usuel</v>
      </c>
      <c r="L2" s="724" t="s">
        <v>2027</v>
      </c>
      <c r="M2" s="829">
        <f>G2</f>
        <v>0.8</v>
      </c>
      <c r="N2" s="829">
        <f>IF(M2&gt;3,3,M2)</f>
        <v>0.8</v>
      </c>
      <c r="O2" s="830">
        <f>MAX(C2,D2)</f>
        <v>1</v>
      </c>
      <c r="P2" s="829">
        <f>IF(O2&gt;3,3,O2)</f>
        <v>1</v>
      </c>
      <c r="R2" s="700" t="s">
        <v>1984</v>
      </c>
    </row>
    <row r="3" spans="1:18">
      <c r="A3" s="722" t="s">
        <v>2042</v>
      </c>
      <c r="B3" s="723" t="s">
        <v>1975</v>
      </c>
      <c r="C3" s="584">
        <f>AUTOQUESTIONNAIRE!AD185</f>
        <v>0.8</v>
      </c>
      <c r="D3" s="316">
        <v>1</v>
      </c>
      <c r="G3" s="524">
        <f t="shared" si="0"/>
        <v>0.8</v>
      </c>
      <c r="H3" s="316" t="str">
        <f t="shared" si="1"/>
        <v>Usuel</v>
      </c>
      <c r="I3" s="316" t="str">
        <f t="shared" si="2"/>
        <v>Usuel</v>
      </c>
      <c r="J3" s="316" t="str">
        <f t="shared" ref="J3:J49" si="3">I3</f>
        <v>Usuel</v>
      </c>
      <c r="L3" s="724" t="s">
        <v>2028</v>
      </c>
      <c r="M3" s="829">
        <f t="shared" ref="M3:M65" si="4">G3</f>
        <v>0.8</v>
      </c>
      <c r="N3" s="829">
        <f t="shared" ref="N3:N65" si="5">IF(M3&gt;3,3,M3)</f>
        <v>0.8</v>
      </c>
      <c r="O3" s="830">
        <f t="shared" ref="O3:O65" si="6">MAX(C3,D3)</f>
        <v>1</v>
      </c>
      <c r="P3" s="829">
        <f t="shared" ref="P3:P65" si="7">IF(O3&gt;3,3,O3)</f>
        <v>1</v>
      </c>
      <c r="R3" s="700" t="s">
        <v>1983</v>
      </c>
    </row>
    <row r="4" spans="1:18" ht="409.6">
      <c r="A4" s="722" t="s">
        <v>2042</v>
      </c>
      <c r="B4" s="723" t="s">
        <v>2041</v>
      </c>
      <c r="C4" s="584">
        <f>AUTOQUESTIONNAIRE!AE185</f>
        <v>0.9</v>
      </c>
      <c r="D4" s="316">
        <v>1</v>
      </c>
      <c r="G4" s="524">
        <f t="shared" si="0"/>
        <v>0.9</v>
      </c>
      <c r="H4" s="316" t="str">
        <f t="shared" si="1"/>
        <v>Usuel</v>
      </c>
      <c r="I4" s="316" t="str">
        <f t="shared" si="2"/>
        <v>Usuel</v>
      </c>
      <c r="J4" s="316" t="str">
        <f t="shared" si="3"/>
        <v>Usuel</v>
      </c>
      <c r="L4" s="717" t="s">
        <v>2086</v>
      </c>
      <c r="M4" s="829">
        <f t="shared" si="4"/>
        <v>0.9</v>
      </c>
      <c r="N4" s="829">
        <f t="shared" si="5"/>
        <v>0.9</v>
      </c>
      <c r="O4" s="830">
        <f t="shared" si="6"/>
        <v>1</v>
      </c>
      <c r="P4" s="829">
        <f t="shared" si="7"/>
        <v>1</v>
      </c>
      <c r="R4" s="700" t="s">
        <v>1985</v>
      </c>
    </row>
    <row r="5" spans="1:18">
      <c r="A5" s="722" t="s">
        <v>2042</v>
      </c>
      <c r="B5" s="723" t="s">
        <v>48</v>
      </c>
      <c r="C5" s="584">
        <f>AUTOQUESTIONNAIRE!AF185</f>
        <v>0.9</v>
      </c>
      <c r="D5" s="524">
        <f>IF('Import Biologie'!N52="Faible",0.8,IF('Import Biologie'!N52="""Elevé",1.5,1.2))</f>
        <v>0.8</v>
      </c>
      <c r="E5" s="725" t="s">
        <v>86</v>
      </c>
      <c r="F5" s="316" t="str">
        <f>IF(ISBLANK('Import Biologie'!H31),"Non Fait","Fait")</f>
        <v>Fait</v>
      </c>
      <c r="G5" s="524">
        <f t="shared" si="0"/>
        <v>0.72000000000000008</v>
      </c>
      <c r="H5" s="316" t="str">
        <f t="shared" si="1"/>
        <v>Usuel</v>
      </c>
      <c r="I5" s="316" t="str">
        <f t="shared" si="2"/>
        <v>Usuel</v>
      </c>
      <c r="J5" s="316" t="str">
        <f t="shared" si="3"/>
        <v>Usuel</v>
      </c>
      <c r="L5" s="724" t="s">
        <v>2030</v>
      </c>
      <c r="M5" s="829">
        <f t="shared" si="4"/>
        <v>0.72000000000000008</v>
      </c>
      <c r="N5" s="829">
        <f t="shared" si="5"/>
        <v>0.72000000000000008</v>
      </c>
      <c r="O5" s="830">
        <f t="shared" si="6"/>
        <v>0.9</v>
      </c>
      <c r="P5" s="829">
        <f t="shared" si="7"/>
        <v>0.9</v>
      </c>
    </row>
    <row r="6" spans="1:18" ht="409.6">
      <c r="A6" s="722" t="s">
        <v>2042</v>
      </c>
      <c r="B6" s="580" t="s">
        <v>915</v>
      </c>
      <c r="C6" s="524">
        <f>AUTOQUESTIONNAIRE!AG185</f>
        <v>0.8</v>
      </c>
      <c r="D6" s="318">
        <f>AUTOQUESTIONNAIRE!H219</f>
        <v>0.8</v>
      </c>
      <c r="E6" s="316" t="s">
        <v>612</v>
      </c>
      <c r="G6" s="524">
        <f t="shared" si="0"/>
        <v>0.8</v>
      </c>
      <c r="H6" s="316" t="str">
        <f t="shared" si="1"/>
        <v>Usuel</v>
      </c>
      <c r="I6" s="316" t="str">
        <f t="shared" si="2"/>
        <v>Usuel</v>
      </c>
      <c r="J6" s="316" t="str">
        <f t="shared" si="3"/>
        <v>Usuel</v>
      </c>
      <c r="L6" s="717" t="s">
        <v>2087</v>
      </c>
      <c r="M6" s="829">
        <f t="shared" si="4"/>
        <v>0.8</v>
      </c>
      <c r="N6" s="829">
        <f t="shared" si="5"/>
        <v>0.8</v>
      </c>
      <c r="O6" s="830">
        <f t="shared" si="6"/>
        <v>0.8</v>
      </c>
      <c r="P6" s="829">
        <f t="shared" si="7"/>
        <v>0.8</v>
      </c>
    </row>
    <row r="7" spans="1:18" ht="409.6">
      <c r="A7" s="722" t="s">
        <v>2042</v>
      </c>
      <c r="B7" s="580" t="s">
        <v>916</v>
      </c>
      <c r="C7" s="524">
        <f>AUTOQUESTIONNAIRE!AI185</f>
        <v>0.9</v>
      </c>
      <c r="D7" s="318">
        <f>AUTOQUESTIONNAIRE!G230</f>
        <v>2</v>
      </c>
      <c r="E7" s="316" t="s">
        <v>1705</v>
      </c>
      <c r="G7" s="524">
        <f t="shared" si="0"/>
        <v>0.9</v>
      </c>
      <c r="H7" s="316" t="str">
        <f t="shared" si="1"/>
        <v>Usuel</v>
      </c>
      <c r="I7" s="316" t="str">
        <f t="shared" si="2"/>
        <v>Usuel</v>
      </c>
      <c r="J7" s="316" t="str">
        <f t="shared" si="3"/>
        <v>Usuel</v>
      </c>
      <c r="L7" s="717" t="s">
        <v>2088</v>
      </c>
      <c r="M7" s="829">
        <f t="shared" si="4"/>
        <v>0.9</v>
      </c>
      <c r="N7" s="829">
        <f t="shared" si="5"/>
        <v>0.9</v>
      </c>
      <c r="O7" s="830">
        <f t="shared" si="6"/>
        <v>2</v>
      </c>
      <c r="P7" s="829">
        <f t="shared" si="7"/>
        <v>2</v>
      </c>
    </row>
    <row r="8" spans="1:18">
      <c r="A8" s="726" t="s">
        <v>2043</v>
      </c>
      <c r="B8" s="633" t="s">
        <v>2044</v>
      </c>
      <c r="C8" s="524">
        <f>AUTOQUESTIONNAIRE!BA185</f>
        <v>2.5</v>
      </c>
      <c r="D8" s="318">
        <v>1</v>
      </c>
      <c r="G8" s="524">
        <f t="shared" si="0"/>
        <v>2.5</v>
      </c>
      <c r="H8" s="316" t="str">
        <f t="shared" si="1"/>
        <v>Alerte</v>
      </c>
      <c r="I8" s="316" t="str">
        <f t="shared" si="2"/>
        <v>Alerte</v>
      </c>
      <c r="J8" s="316" t="str">
        <f t="shared" si="3"/>
        <v>Alerte</v>
      </c>
      <c r="L8" s="724" t="s">
        <v>2037</v>
      </c>
      <c r="M8" s="829">
        <f t="shared" si="4"/>
        <v>2.5</v>
      </c>
      <c r="N8" s="829">
        <f t="shared" si="5"/>
        <v>2.5</v>
      </c>
      <c r="O8" s="830">
        <f t="shared" si="6"/>
        <v>2.5</v>
      </c>
      <c r="P8" s="829">
        <f t="shared" si="7"/>
        <v>2.5</v>
      </c>
    </row>
    <row r="9" spans="1:18" ht="409.6">
      <c r="A9" s="726" t="s">
        <v>2043</v>
      </c>
      <c r="B9" s="633" t="s">
        <v>904</v>
      </c>
      <c r="C9" s="584">
        <f>AUTOQUESTIONNAIRE!BB185</f>
        <v>2.5</v>
      </c>
      <c r="D9" s="316">
        <v>1</v>
      </c>
      <c r="G9" s="524">
        <f t="shared" si="0"/>
        <v>2.5</v>
      </c>
      <c r="H9" s="316" t="str">
        <f t="shared" si="1"/>
        <v>Alerte</v>
      </c>
      <c r="I9" s="316" t="str">
        <f t="shared" si="2"/>
        <v>Alerte</v>
      </c>
      <c r="J9" s="316" t="str">
        <f t="shared" si="3"/>
        <v>Alerte</v>
      </c>
      <c r="L9" s="718" t="s">
        <v>2089</v>
      </c>
      <c r="M9" s="829">
        <f t="shared" si="4"/>
        <v>2.5</v>
      </c>
      <c r="N9" s="829">
        <f t="shared" si="5"/>
        <v>2.5</v>
      </c>
      <c r="O9" s="830">
        <f t="shared" si="6"/>
        <v>2.5</v>
      </c>
      <c r="P9" s="829">
        <f t="shared" si="7"/>
        <v>2.5</v>
      </c>
    </row>
    <row r="10" spans="1:18" ht="409.6">
      <c r="A10" s="726" t="s">
        <v>2043</v>
      </c>
      <c r="B10" s="633" t="s">
        <v>905</v>
      </c>
      <c r="C10" s="524">
        <f>AUTOQUESTIONNAIRE!BC185</f>
        <v>1.2</v>
      </c>
      <c r="D10" s="318">
        <v>1</v>
      </c>
      <c r="E10" s="725" t="s">
        <v>1703</v>
      </c>
      <c r="G10" s="524">
        <f t="shared" si="0"/>
        <v>1.2</v>
      </c>
      <c r="H10" s="316" t="str">
        <f t="shared" si="1"/>
        <v>Vigilance</v>
      </c>
      <c r="I10" s="316" t="str">
        <f t="shared" si="2"/>
        <v>Vigilance</v>
      </c>
      <c r="J10" s="316" t="str">
        <f t="shared" si="3"/>
        <v>Vigilance</v>
      </c>
      <c r="L10" s="718" t="s">
        <v>2090</v>
      </c>
      <c r="M10" s="829">
        <f t="shared" si="4"/>
        <v>1.2</v>
      </c>
      <c r="N10" s="829">
        <f t="shared" si="5"/>
        <v>1.2</v>
      </c>
      <c r="O10" s="830">
        <f t="shared" si="6"/>
        <v>1.2</v>
      </c>
      <c r="P10" s="829">
        <f t="shared" si="7"/>
        <v>1.2</v>
      </c>
    </row>
    <row r="11" spans="1:18" ht="409.6">
      <c r="A11" s="726" t="s">
        <v>2043</v>
      </c>
      <c r="B11" s="633" t="s">
        <v>1717</v>
      </c>
      <c r="C11" s="524">
        <f>AUTOQUESTIONNAIRE!BD185</f>
        <v>1.2</v>
      </c>
      <c r="D11" s="318">
        <v>1</v>
      </c>
      <c r="G11" s="524">
        <f t="shared" si="0"/>
        <v>1.2</v>
      </c>
      <c r="H11" s="316" t="str">
        <f t="shared" si="1"/>
        <v>Vigilance</v>
      </c>
      <c r="I11" s="316" t="str">
        <f t="shared" si="2"/>
        <v>Vigilance</v>
      </c>
      <c r="J11" s="316" t="str">
        <f t="shared" si="3"/>
        <v>Vigilance</v>
      </c>
      <c r="L11" s="854" t="s">
        <v>2217</v>
      </c>
      <c r="M11" s="829">
        <f t="shared" si="4"/>
        <v>1.2</v>
      </c>
      <c r="N11" s="829">
        <f t="shared" si="5"/>
        <v>1.2</v>
      </c>
      <c r="O11" s="830">
        <f t="shared" si="6"/>
        <v>1.2</v>
      </c>
      <c r="P11" s="829">
        <f t="shared" si="7"/>
        <v>1.2</v>
      </c>
    </row>
    <row r="12" spans="1:18" ht="388.8">
      <c r="A12" s="726" t="s">
        <v>2043</v>
      </c>
      <c r="B12" s="632" t="s">
        <v>2045</v>
      </c>
      <c r="C12" s="584">
        <f>AUTOQUESTIONNAIRE!V185</f>
        <v>0.9</v>
      </c>
      <c r="D12" s="318" t="e">
        <f>IF('Import Biologie'!H30&lt;1.3,0,IF('Import Biologie'!H30&gt;2.67,2,1))</f>
        <v>#DIV/0!</v>
      </c>
      <c r="E12" s="316" t="s">
        <v>100</v>
      </c>
      <c r="F12" s="316" t="str">
        <f>IF(ISBLANK('Import Biologie'!C19),"Non Fait","Fait")</f>
        <v>Non Fait</v>
      </c>
      <c r="G12" s="524">
        <f t="shared" si="0"/>
        <v>0.9</v>
      </c>
      <c r="H12" s="316" t="str">
        <f t="shared" si="1"/>
        <v>Usuel</v>
      </c>
      <c r="I12" s="316" t="str">
        <f t="shared" si="2"/>
        <v>Usuel</v>
      </c>
      <c r="J12" s="316" t="str">
        <f t="shared" si="3"/>
        <v>Usuel</v>
      </c>
      <c r="L12" s="719" t="s">
        <v>2091</v>
      </c>
      <c r="M12" s="829">
        <f t="shared" si="4"/>
        <v>0.9</v>
      </c>
      <c r="N12" s="829">
        <f t="shared" si="5"/>
        <v>0.9</v>
      </c>
      <c r="O12" s="830" t="e">
        <f t="shared" si="6"/>
        <v>#DIV/0!</v>
      </c>
      <c r="P12" s="829" t="e">
        <f t="shared" si="7"/>
        <v>#DIV/0!</v>
      </c>
    </row>
    <row r="13" spans="1:18" ht="345.6">
      <c r="A13" s="726" t="s">
        <v>2043</v>
      </c>
      <c r="B13" s="632" t="s">
        <v>910</v>
      </c>
      <c r="C13" s="524">
        <f>AUTOQUESTIONNAIRE!W185</f>
        <v>0.9</v>
      </c>
      <c r="D13" s="318" t="e">
        <f>IF('Import Biologie'!H30&lt;1.3,0,IF('Import Biologie'!H30&gt;2.67,2,1))</f>
        <v>#DIV/0!</v>
      </c>
      <c r="E13" s="316" t="s">
        <v>1704</v>
      </c>
      <c r="G13" s="524">
        <f t="shared" si="0"/>
        <v>0.9</v>
      </c>
      <c r="H13" s="316" t="str">
        <f t="shared" si="1"/>
        <v>Usuel</v>
      </c>
      <c r="I13" s="316" t="str">
        <f t="shared" si="2"/>
        <v>Usuel</v>
      </c>
      <c r="J13" s="316" t="str">
        <f t="shared" si="3"/>
        <v>Usuel</v>
      </c>
      <c r="L13" s="719" t="s">
        <v>2092</v>
      </c>
      <c r="M13" s="829">
        <f t="shared" si="4"/>
        <v>0.9</v>
      </c>
      <c r="N13" s="829">
        <f t="shared" si="5"/>
        <v>0.9</v>
      </c>
      <c r="O13" s="830" t="e">
        <f t="shared" si="6"/>
        <v>#DIV/0!</v>
      </c>
      <c r="P13" s="829" t="e">
        <f t="shared" si="7"/>
        <v>#DIV/0!</v>
      </c>
    </row>
    <row r="14" spans="1:18">
      <c r="A14" s="726" t="s">
        <v>2043</v>
      </c>
      <c r="B14" s="632" t="s">
        <v>911</v>
      </c>
      <c r="C14" s="584">
        <f>AUTOQUESTIONNAIRE!X185</f>
        <v>0.9</v>
      </c>
      <c r="D14" s="316">
        <v>1</v>
      </c>
      <c r="G14" s="524">
        <f t="shared" si="0"/>
        <v>0.9</v>
      </c>
      <c r="H14" s="316" t="str">
        <f t="shared" si="1"/>
        <v>Usuel</v>
      </c>
      <c r="I14" s="316" t="str">
        <f t="shared" si="2"/>
        <v>Usuel</v>
      </c>
      <c r="J14" s="316" t="str">
        <f t="shared" si="3"/>
        <v>Usuel</v>
      </c>
      <c r="L14" s="724" t="s">
        <v>2022</v>
      </c>
      <c r="M14" s="829">
        <f t="shared" si="4"/>
        <v>0.9</v>
      </c>
      <c r="N14" s="829">
        <f t="shared" si="5"/>
        <v>0.9</v>
      </c>
      <c r="O14" s="830">
        <f t="shared" si="6"/>
        <v>1</v>
      </c>
      <c r="P14" s="829">
        <f t="shared" si="7"/>
        <v>1</v>
      </c>
    </row>
    <row r="15" spans="1:18">
      <c r="A15" s="726" t="s">
        <v>2043</v>
      </c>
      <c r="B15" s="632" t="s">
        <v>2046</v>
      </c>
      <c r="C15" s="584">
        <f>AUTOQUESTIONNAIRE!Z185</f>
        <v>0.8</v>
      </c>
      <c r="D15" s="316">
        <v>1</v>
      </c>
      <c r="G15" s="524">
        <f t="shared" si="0"/>
        <v>0.8</v>
      </c>
      <c r="H15" s="316" t="str">
        <f t="shared" si="1"/>
        <v>Usuel</v>
      </c>
      <c r="I15" s="316" t="str">
        <f t="shared" si="2"/>
        <v>Usuel</v>
      </c>
      <c r="J15" s="316" t="str">
        <f t="shared" si="3"/>
        <v>Usuel</v>
      </c>
      <c r="L15" s="724" t="s">
        <v>2093</v>
      </c>
      <c r="M15" s="829">
        <f t="shared" si="4"/>
        <v>0.8</v>
      </c>
      <c r="N15" s="829">
        <f t="shared" si="5"/>
        <v>0.8</v>
      </c>
      <c r="O15" s="830">
        <f t="shared" si="6"/>
        <v>1</v>
      </c>
      <c r="P15" s="829">
        <f t="shared" si="7"/>
        <v>1</v>
      </c>
    </row>
    <row r="16" spans="1:18">
      <c r="A16" s="726" t="s">
        <v>2043</v>
      </c>
      <c r="B16" s="632" t="s">
        <v>2047</v>
      </c>
      <c r="C16" s="584">
        <f>AUTOQUESTIONNAIRE!AA185</f>
        <v>0.8</v>
      </c>
      <c r="D16" s="316">
        <v>1</v>
      </c>
      <c r="G16" s="524">
        <f t="shared" si="0"/>
        <v>0.8</v>
      </c>
      <c r="H16" s="316" t="str">
        <f t="shared" si="1"/>
        <v>Usuel</v>
      </c>
      <c r="I16" s="316" t="str">
        <f t="shared" si="2"/>
        <v>Usuel</v>
      </c>
      <c r="J16" s="316" t="str">
        <f t="shared" si="3"/>
        <v>Usuel</v>
      </c>
      <c r="L16" s="701" t="s">
        <v>2094</v>
      </c>
      <c r="M16" s="829">
        <f t="shared" si="4"/>
        <v>0.8</v>
      </c>
      <c r="N16" s="829">
        <f t="shared" si="5"/>
        <v>0.8</v>
      </c>
      <c r="O16" s="830">
        <f t="shared" si="6"/>
        <v>1</v>
      </c>
      <c r="P16" s="829">
        <f t="shared" si="7"/>
        <v>1</v>
      </c>
    </row>
    <row r="17" spans="1:16">
      <c r="A17" s="726" t="s">
        <v>2043</v>
      </c>
      <c r="B17" s="632" t="s">
        <v>914</v>
      </c>
      <c r="C17" s="584">
        <f>AUTOQUESTIONNAIRE!AB185</f>
        <v>0.8</v>
      </c>
      <c r="D17" s="316">
        <v>1</v>
      </c>
      <c r="G17" s="524">
        <f t="shared" si="0"/>
        <v>0.8</v>
      </c>
      <c r="H17" s="316" t="str">
        <f t="shared" si="1"/>
        <v>Usuel</v>
      </c>
      <c r="I17" s="316" t="str">
        <f t="shared" si="2"/>
        <v>Usuel</v>
      </c>
      <c r="J17" s="316" t="str">
        <f t="shared" si="3"/>
        <v>Usuel</v>
      </c>
      <c r="L17" s="701" t="s">
        <v>2095</v>
      </c>
      <c r="M17" s="829">
        <f t="shared" si="4"/>
        <v>0.8</v>
      </c>
      <c r="N17" s="829">
        <f t="shared" si="5"/>
        <v>0.8</v>
      </c>
      <c r="O17" s="830">
        <f t="shared" si="6"/>
        <v>1</v>
      </c>
      <c r="P17" s="829">
        <f t="shared" si="7"/>
        <v>1</v>
      </c>
    </row>
    <row r="18" spans="1:16">
      <c r="A18" s="726" t="s">
        <v>2043</v>
      </c>
      <c r="B18" s="633" t="s">
        <v>2048</v>
      </c>
      <c r="C18" s="584">
        <f>AUTOQUESTIONNAIRE!AC185</f>
        <v>1</v>
      </c>
      <c r="D18" s="316">
        <v>1</v>
      </c>
      <c r="G18" s="524">
        <f t="shared" si="0"/>
        <v>1</v>
      </c>
      <c r="H18" s="316" t="str">
        <f t="shared" si="1"/>
        <v>Vigilance</v>
      </c>
      <c r="I18" s="316" t="str">
        <f t="shared" si="2"/>
        <v>Vigilance</v>
      </c>
      <c r="J18" s="316" t="str">
        <f t="shared" si="3"/>
        <v>Vigilance</v>
      </c>
      <c r="L18" s="701" t="s">
        <v>2096</v>
      </c>
      <c r="M18" s="829">
        <f t="shared" si="4"/>
        <v>1</v>
      </c>
      <c r="N18" s="829">
        <f t="shared" si="5"/>
        <v>1</v>
      </c>
      <c r="O18" s="830">
        <f t="shared" si="6"/>
        <v>1</v>
      </c>
      <c r="P18" s="829">
        <f t="shared" si="7"/>
        <v>1</v>
      </c>
    </row>
    <row r="19" spans="1:16">
      <c r="A19" s="722" t="s">
        <v>1744</v>
      </c>
      <c r="B19" s="727" t="s">
        <v>42</v>
      </c>
      <c r="C19" s="524">
        <f>AUTOQUESTIONNAIRE!AR185</f>
        <v>1000</v>
      </c>
      <c r="D19" s="318">
        <f>'Import Biologie'!H33</f>
        <v>1</v>
      </c>
      <c r="E19" s="316" t="s">
        <v>86</v>
      </c>
      <c r="F19" s="316" t="str">
        <f>IF(ISBLANK('Import Biologie'!H33),"Non Fait","Fait")</f>
        <v>Fait</v>
      </c>
      <c r="G19" s="524">
        <f t="shared" si="0"/>
        <v>1000</v>
      </c>
      <c r="H19" s="316" t="str">
        <f t="shared" si="1"/>
        <v>Alerte</v>
      </c>
      <c r="I19" s="316" t="str">
        <f t="shared" si="2"/>
        <v>Suivi</v>
      </c>
      <c r="J19" s="316" t="str">
        <f t="shared" si="3"/>
        <v>Suivi</v>
      </c>
      <c r="L19" s="724" t="s">
        <v>2024</v>
      </c>
      <c r="M19" s="829">
        <f t="shared" si="4"/>
        <v>1000</v>
      </c>
      <c r="N19" s="829">
        <f t="shared" si="5"/>
        <v>3</v>
      </c>
      <c r="O19" s="830">
        <f t="shared" si="6"/>
        <v>1000</v>
      </c>
      <c r="P19" s="829">
        <f t="shared" si="7"/>
        <v>3</v>
      </c>
    </row>
    <row r="20" spans="1:16">
      <c r="A20" s="722" t="s">
        <v>1744</v>
      </c>
      <c r="B20" s="727" t="s">
        <v>2049</v>
      </c>
      <c r="C20" s="524">
        <f>AUTOQUESTIONNAIRE!AQ185</f>
        <v>0.9</v>
      </c>
      <c r="D20" s="318">
        <f>'Import Biologie'!H34</f>
        <v>1</v>
      </c>
      <c r="E20" s="316" t="s">
        <v>1700</v>
      </c>
      <c r="F20" s="316" t="str">
        <f>IF(ISBLANK('Import Biologie'!C10),"Non Fait","Fait")</f>
        <v>Non Fait</v>
      </c>
      <c r="G20" s="524">
        <f t="shared" si="0"/>
        <v>0.9</v>
      </c>
      <c r="H20" s="316" t="str">
        <f t="shared" si="1"/>
        <v>Usuel</v>
      </c>
      <c r="I20" s="316" t="str">
        <f t="shared" si="2"/>
        <v>Usuel</v>
      </c>
      <c r="J20" s="316" t="str">
        <f t="shared" si="3"/>
        <v>Usuel</v>
      </c>
      <c r="L20" s="728" t="s">
        <v>2025</v>
      </c>
      <c r="M20" s="829">
        <f t="shared" si="4"/>
        <v>0.9</v>
      </c>
      <c r="N20" s="829">
        <f t="shared" si="5"/>
        <v>0.9</v>
      </c>
      <c r="O20" s="830">
        <f t="shared" si="6"/>
        <v>1</v>
      </c>
      <c r="P20" s="829">
        <f t="shared" si="7"/>
        <v>1</v>
      </c>
    </row>
    <row r="21" spans="1:16">
      <c r="A21" s="722" t="s">
        <v>1744</v>
      </c>
      <c r="B21" s="727" t="s">
        <v>44</v>
      </c>
      <c r="C21" s="584">
        <f>AUTOQUESTIONNAIRE!AP185</f>
        <v>0.8</v>
      </c>
      <c r="D21" s="318">
        <f>'Import Biologie'!H38</f>
        <v>1</v>
      </c>
      <c r="G21" s="524">
        <f t="shared" si="0"/>
        <v>0.8</v>
      </c>
      <c r="H21" s="316" t="str">
        <f t="shared" si="1"/>
        <v>Usuel</v>
      </c>
      <c r="I21" s="316" t="str">
        <f t="shared" si="2"/>
        <v>Usuel</v>
      </c>
      <c r="J21" s="316" t="str">
        <f t="shared" si="3"/>
        <v>Usuel</v>
      </c>
      <c r="L21" s="724" t="s">
        <v>2026</v>
      </c>
      <c r="M21" s="829">
        <f t="shared" si="4"/>
        <v>0.8</v>
      </c>
      <c r="N21" s="829">
        <f t="shared" si="5"/>
        <v>0.8</v>
      </c>
      <c r="O21" s="830">
        <f t="shared" si="6"/>
        <v>1</v>
      </c>
      <c r="P21" s="829">
        <f t="shared" si="7"/>
        <v>1</v>
      </c>
    </row>
    <row r="22" spans="1:16">
      <c r="A22" s="722" t="s">
        <v>1744</v>
      </c>
      <c r="B22" s="634" t="s">
        <v>2050</v>
      </c>
      <c r="C22" s="584">
        <f>AUTOQUESTIONNAIRE!BO185</f>
        <v>0.8</v>
      </c>
      <c r="D22" s="318">
        <f>IF('Import Biologie'!C31&gt;4,2,IF('Import Biologie'!C31&lt;0.4,2,0))</f>
        <v>2</v>
      </c>
      <c r="E22" s="316" t="s">
        <v>173</v>
      </c>
      <c r="F22" s="316" t="str">
        <f>IF(ISBLANK('Import Biologie'!C31),"Non Fait","Fait")</f>
        <v>Non Fait</v>
      </c>
      <c r="G22" s="524">
        <f t="shared" si="0"/>
        <v>0.8</v>
      </c>
      <c r="H22" s="316" t="str">
        <f t="shared" si="1"/>
        <v>Usuel</v>
      </c>
      <c r="I22" s="316" t="str">
        <f t="shared" si="2"/>
        <v>Usuel</v>
      </c>
      <c r="J22" s="316" t="str">
        <f t="shared" si="3"/>
        <v>Usuel</v>
      </c>
      <c r="L22" s="724" t="s">
        <v>2023</v>
      </c>
      <c r="M22" s="829">
        <f t="shared" si="4"/>
        <v>0.8</v>
      </c>
      <c r="N22" s="829">
        <f t="shared" si="5"/>
        <v>0.8</v>
      </c>
      <c r="O22" s="830">
        <f t="shared" si="6"/>
        <v>2</v>
      </c>
      <c r="P22" s="829">
        <f t="shared" si="7"/>
        <v>2</v>
      </c>
    </row>
    <row r="23" spans="1:16">
      <c r="A23" s="722" t="s">
        <v>1744</v>
      </c>
      <c r="B23" s="634" t="s">
        <v>1976</v>
      </c>
      <c r="C23" s="584">
        <v>0.98</v>
      </c>
      <c r="D23" s="318">
        <f>IF('Import Biologie'!C33&lt;420,1,IF('Import Biologie'!C33&gt;650,2,1.2))</f>
        <v>1</v>
      </c>
      <c r="E23" s="316" t="s">
        <v>173</v>
      </c>
      <c r="F23" s="316" t="str">
        <f>IF(ISBLANK('Import Biologie'!C32),"Non Fait","Fait")</f>
        <v>Non Fait</v>
      </c>
      <c r="G23" s="524">
        <f t="shared" ref="G23" si="8">C23*(IF(F23="Fait",D23,1))</f>
        <v>0.98</v>
      </c>
      <c r="H23" s="316" t="str">
        <f t="shared" ref="H23" si="9">IF(G23&lt;0.99,"Usuel",IF(G23&gt;1.2,"Alerte","Vigilance"))</f>
        <v>Usuel</v>
      </c>
      <c r="I23" s="316" t="str">
        <f t="shared" ref="I23" si="10">IF(G23&gt;99,"Suivi",H23)</f>
        <v>Usuel</v>
      </c>
      <c r="J23" s="316" t="str">
        <f t="shared" ref="J23" si="11">I23</f>
        <v>Usuel</v>
      </c>
      <c r="L23" s="724" t="s">
        <v>2097</v>
      </c>
      <c r="M23" s="829">
        <f t="shared" si="4"/>
        <v>0.98</v>
      </c>
      <c r="N23" s="829">
        <f t="shared" si="5"/>
        <v>0.98</v>
      </c>
      <c r="O23" s="830">
        <f t="shared" si="6"/>
        <v>1</v>
      </c>
      <c r="P23" s="829">
        <f t="shared" si="7"/>
        <v>1</v>
      </c>
    </row>
    <row r="24" spans="1:16">
      <c r="A24" s="729" t="s">
        <v>2051</v>
      </c>
      <c r="B24" s="631" t="s">
        <v>929</v>
      </c>
      <c r="C24" s="316">
        <v>0.98</v>
      </c>
      <c r="D24" s="584">
        <f>IF('Import Biologie'!C12&lt;11,2,1)</f>
        <v>2</v>
      </c>
      <c r="E24" s="316" t="s">
        <v>1178</v>
      </c>
      <c r="F24" s="316" t="str">
        <f>IF(ISBLANK('Import Biologie'!C12),"Non Fait","Fait")</f>
        <v>Non Fait</v>
      </c>
      <c r="G24" s="524">
        <f t="shared" si="0"/>
        <v>0.98</v>
      </c>
      <c r="H24" s="316" t="str">
        <f t="shared" si="1"/>
        <v>Usuel</v>
      </c>
      <c r="I24" s="316" t="str">
        <f t="shared" si="2"/>
        <v>Usuel</v>
      </c>
      <c r="J24" s="316" t="str">
        <f t="shared" si="3"/>
        <v>Usuel</v>
      </c>
      <c r="L24" s="724" t="s">
        <v>2098</v>
      </c>
      <c r="M24" s="829">
        <f t="shared" si="4"/>
        <v>0.98</v>
      </c>
      <c r="N24" s="829">
        <f t="shared" si="5"/>
        <v>0.98</v>
      </c>
      <c r="O24" s="830">
        <f t="shared" si="6"/>
        <v>2</v>
      </c>
      <c r="P24" s="829">
        <f t="shared" si="7"/>
        <v>2</v>
      </c>
    </row>
    <row r="25" spans="1:16">
      <c r="A25" s="729" t="s">
        <v>2051</v>
      </c>
      <c r="B25" s="631" t="s">
        <v>930</v>
      </c>
      <c r="C25" s="316">
        <v>0.98</v>
      </c>
      <c r="D25" s="584">
        <f>IF('Import Biologie'!C12&gt;18,2,1)</f>
        <v>1</v>
      </c>
      <c r="E25" s="316" t="s">
        <v>1178</v>
      </c>
      <c r="F25" s="316" t="str">
        <f>IF(ISBLANK('Import Biologie'!C12),"Non Fait","Fait")</f>
        <v>Non Fait</v>
      </c>
      <c r="G25" s="524">
        <f t="shared" si="0"/>
        <v>0.98</v>
      </c>
      <c r="H25" s="316" t="str">
        <f t="shared" si="1"/>
        <v>Usuel</v>
      </c>
      <c r="I25" s="316" t="str">
        <f t="shared" si="2"/>
        <v>Usuel</v>
      </c>
      <c r="J25" s="316" t="str">
        <f t="shared" si="3"/>
        <v>Usuel</v>
      </c>
      <c r="L25" s="724" t="s">
        <v>2099</v>
      </c>
      <c r="M25" s="829">
        <f t="shared" si="4"/>
        <v>0.98</v>
      </c>
      <c r="N25" s="829">
        <f t="shared" si="5"/>
        <v>0.98</v>
      </c>
      <c r="O25" s="830">
        <f t="shared" si="6"/>
        <v>1</v>
      </c>
      <c r="P25" s="829">
        <f t="shared" si="7"/>
        <v>1</v>
      </c>
    </row>
    <row r="26" spans="1:16">
      <c r="A26" s="729" t="s">
        <v>2051</v>
      </c>
      <c r="B26" s="631" t="s">
        <v>931</v>
      </c>
      <c r="C26" s="316">
        <v>0.98</v>
      </c>
      <c r="D26" s="584">
        <f>IF('Import Biologie'!C19&lt;150,2,IF('Import Biologie'!C19&gt;450,2,0))</f>
        <v>2</v>
      </c>
      <c r="E26" s="316" t="s">
        <v>1178</v>
      </c>
      <c r="F26" s="316" t="str">
        <f>IF(ISBLANK('Import Biologie'!C19),"Non Fait","Fait")</f>
        <v>Non Fait</v>
      </c>
      <c r="G26" s="524">
        <f t="shared" si="0"/>
        <v>0.98</v>
      </c>
      <c r="H26" s="316" t="str">
        <f t="shared" si="1"/>
        <v>Usuel</v>
      </c>
      <c r="I26" s="316" t="str">
        <f t="shared" si="2"/>
        <v>Usuel</v>
      </c>
      <c r="J26" s="316" t="str">
        <f t="shared" si="3"/>
        <v>Usuel</v>
      </c>
      <c r="L26" s="724" t="s">
        <v>2100</v>
      </c>
      <c r="M26" s="829">
        <f t="shared" si="4"/>
        <v>0.98</v>
      </c>
      <c r="N26" s="829">
        <f t="shared" si="5"/>
        <v>0.98</v>
      </c>
      <c r="O26" s="830">
        <f t="shared" si="6"/>
        <v>2</v>
      </c>
      <c r="P26" s="829">
        <f t="shared" si="7"/>
        <v>2</v>
      </c>
    </row>
    <row r="27" spans="1:16">
      <c r="A27" s="729" t="s">
        <v>2051</v>
      </c>
      <c r="B27" s="631" t="s">
        <v>932</v>
      </c>
      <c r="C27" s="316">
        <v>0.98</v>
      </c>
      <c r="D27" s="584">
        <f>IF('Import Biologie'!C19&lt;150,2,IF('Import Biologie'!C19&gt;450,2,0))</f>
        <v>2</v>
      </c>
      <c r="E27" s="316" t="s">
        <v>1178</v>
      </c>
      <c r="F27" s="316" t="str">
        <f>IF(ISBLANK('Import Biologie'!C19),"Non Fait","Fait")</f>
        <v>Non Fait</v>
      </c>
      <c r="G27" s="524">
        <f t="shared" si="0"/>
        <v>0.98</v>
      </c>
      <c r="H27" s="316" t="str">
        <f t="shared" si="1"/>
        <v>Usuel</v>
      </c>
      <c r="I27" s="316" t="str">
        <f t="shared" si="2"/>
        <v>Usuel</v>
      </c>
      <c r="J27" s="316" t="str">
        <f t="shared" si="3"/>
        <v>Usuel</v>
      </c>
      <c r="L27" s="724" t="s">
        <v>2101</v>
      </c>
      <c r="M27" s="829">
        <f t="shared" si="4"/>
        <v>0.98</v>
      </c>
      <c r="N27" s="829">
        <f t="shared" si="5"/>
        <v>0.98</v>
      </c>
      <c r="O27" s="830">
        <f t="shared" si="6"/>
        <v>2</v>
      </c>
      <c r="P27" s="829">
        <f t="shared" si="7"/>
        <v>2</v>
      </c>
    </row>
    <row r="28" spans="1:16">
      <c r="A28" s="729" t="s">
        <v>2051</v>
      </c>
      <c r="B28" s="631" t="s">
        <v>1719</v>
      </c>
      <c r="C28" s="316">
        <v>0.98</v>
      </c>
      <c r="D28" s="584">
        <f>IF('Import Biologie'!C15&lt;3,2,IF('Import Biologie'!C15&gt;15,2,0))</f>
        <v>2</v>
      </c>
      <c r="E28" s="316" t="s">
        <v>1178</v>
      </c>
      <c r="F28" s="316" t="str">
        <f>IF(ISBLANK('Import Biologie'!C15),"Non Fait","Fait")</f>
        <v>Non Fait</v>
      </c>
      <c r="G28" s="524">
        <f t="shared" si="0"/>
        <v>0.98</v>
      </c>
      <c r="H28" s="316" t="str">
        <f t="shared" si="1"/>
        <v>Usuel</v>
      </c>
      <c r="I28" s="316" t="str">
        <f t="shared" si="2"/>
        <v>Usuel</v>
      </c>
      <c r="J28" s="316" t="str">
        <f t="shared" si="3"/>
        <v>Usuel</v>
      </c>
      <c r="L28" s="724" t="s">
        <v>2102</v>
      </c>
      <c r="M28" s="829">
        <f t="shared" si="4"/>
        <v>0.98</v>
      </c>
      <c r="N28" s="829">
        <f t="shared" si="5"/>
        <v>0.98</v>
      </c>
      <c r="O28" s="830">
        <f t="shared" si="6"/>
        <v>2</v>
      </c>
      <c r="P28" s="829">
        <f t="shared" si="7"/>
        <v>2</v>
      </c>
    </row>
    <row r="29" spans="1:16">
      <c r="A29" s="729" t="s">
        <v>2051</v>
      </c>
      <c r="B29" s="631" t="s">
        <v>934</v>
      </c>
      <c r="C29" s="316">
        <v>0.98</v>
      </c>
      <c r="D29" s="584">
        <f>IF('Import Biologie'!C15&lt;3,2,IF('Import Biologie'!C15&gt;15,2,0))</f>
        <v>2</v>
      </c>
      <c r="E29" s="316" t="s">
        <v>1178</v>
      </c>
      <c r="F29" s="316" t="str">
        <f>IF(ISBLANK('Import Biologie'!C15),"Non Fait","Fait")</f>
        <v>Non Fait</v>
      </c>
      <c r="G29" s="524">
        <f t="shared" si="0"/>
        <v>0.98</v>
      </c>
      <c r="H29" s="316" t="str">
        <f t="shared" si="1"/>
        <v>Usuel</v>
      </c>
      <c r="I29" s="316" t="str">
        <f t="shared" si="2"/>
        <v>Usuel</v>
      </c>
      <c r="J29" s="316" t="str">
        <f t="shared" si="3"/>
        <v>Usuel</v>
      </c>
      <c r="L29" s="724" t="s">
        <v>2103</v>
      </c>
      <c r="M29" s="829">
        <f t="shared" si="4"/>
        <v>0.98</v>
      </c>
      <c r="N29" s="829">
        <f t="shared" si="5"/>
        <v>0.98</v>
      </c>
      <c r="O29" s="830">
        <f t="shared" si="6"/>
        <v>2</v>
      </c>
      <c r="P29" s="829">
        <f t="shared" si="7"/>
        <v>2</v>
      </c>
    </row>
    <row r="30" spans="1:16">
      <c r="A30" s="729" t="s">
        <v>2051</v>
      </c>
      <c r="B30" s="631" t="s">
        <v>1201</v>
      </c>
      <c r="C30" s="316">
        <v>0.98</v>
      </c>
      <c r="D30" s="584">
        <f>IF('Import Biologie'!C18&lt;0.9,2,IF('Import Biologie'!C18&gt;4,2,0))</f>
        <v>2</v>
      </c>
      <c r="E30" s="316" t="s">
        <v>1178</v>
      </c>
      <c r="F30" s="316" t="str">
        <f>IF(ISBLANK('Import Biologie'!C18),"Non Fait","Fait")</f>
        <v>Non Fait</v>
      </c>
      <c r="G30" s="524">
        <f t="shared" si="0"/>
        <v>0.98</v>
      </c>
      <c r="H30" s="316" t="str">
        <f t="shared" si="1"/>
        <v>Usuel</v>
      </c>
      <c r="I30" s="316" t="str">
        <f t="shared" si="2"/>
        <v>Usuel</v>
      </c>
      <c r="J30" s="316" t="str">
        <f t="shared" si="3"/>
        <v>Usuel</v>
      </c>
      <c r="L30" s="724" t="s">
        <v>2104</v>
      </c>
      <c r="M30" s="829">
        <f t="shared" si="4"/>
        <v>0.98</v>
      </c>
      <c r="N30" s="829">
        <f t="shared" si="5"/>
        <v>0.98</v>
      </c>
      <c r="O30" s="830">
        <f t="shared" si="6"/>
        <v>2</v>
      </c>
      <c r="P30" s="829">
        <f t="shared" si="7"/>
        <v>2</v>
      </c>
    </row>
    <row r="31" spans="1:16">
      <c r="A31" s="729" t="s">
        <v>2051</v>
      </c>
      <c r="B31" s="631" t="s">
        <v>2106</v>
      </c>
      <c r="C31" s="316">
        <v>0.98</v>
      </c>
      <c r="D31" s="584">
        <f>IF('Import Biologie'!C17&gt;0.5,2,0)</f>
        <v>0</v>
      </c>
      <c r="E31" s="316" t="s">
        <v>1178</v>
      </c>
      <c r="F31" s="316" t="str">
        <f>IF(ISBLANK('Import Biologie'!C17),"Non Fait","Fait")</f>
        <v>Non Fait</v>
      </c>
      <c r="G31" s="524">
        <f t="shared" si="0"/>
        <v>0.98</v>
      </c>
      <c r="H31" s="316" t="str">
        <f t="shared" si="1"/>
        <v>Usuel</v>
      </c>
      <c r="I31" s="316" t="str">
        <f t="shared" si="2"/>
        <v>Usuel</v>
      </c>
      <c r="J31" s="316" t="str">
        <f t="shared" si="3"/>
        <v>Usuel</v>
      </c>
      <c r="L31" s="724" t="s">
        <v>2105</v>
      </c>
      <c r="M31" s="829">
        <f t="shared" si="4"/>
        <v>0.98</v>
      </c>
      <c r="N31" s="829">
        <f t="shared" si="5"/>
        <v>0.98</v>
      </c>
      <c r="O31" s="830">
        <f t="shared" si="6"/>
        <v>0.98</v>
      </c>
      <c r="P31" s="829">
        <f t="shared" si="7"/>
        <v>0.98</v>
      </c>
    </row>
    <row r="32" spans="1:16">
      <c r="A32" s="729" t="s">
        <v>2051</v>
      </c>
      <c r="B32" s="631" t="s">
        <v>1721</v>
      </c>
      <c r="C32" s="316">
        <v>0.98</v>
      </c>
      <c r="D32" s="584">
        <f>IF('Import Biologie'!C97&gt;1,2,0)</f>
        <v>0</v>
      </c>
      <c r="E32" s="316" t="s">
        <v>1178</v>
      </c>
      <c r="F32" s="316" t="str">
        <f>IF(ISBLANK('Import Biologie'!C97),"Non Fait","Fait")</f>
        <v>Fait</v>
      </c>
      <c r="G32" s="524">
        <f t="shared" si="0"/>
        <v>0</v>
      </c>
      <c r="H32" s="316" t="str">
        <f t="shared" si="1"/>
        <v>Usuel</v>
      </c>
      <c r="I32" s="316" t="str">
        <f t="shared" si="2"/>
        <v>Usuel</v>
      </c>
      <c r="J32" s="316" t="str">
        <f t="shared" si="3"/>
        <v>Usuel</v>
      </c>
      <c r="L32" s="701" t="s">
        <v>2124</v>
      </c>
      <c r="M32" s="829">
        <f t="shared" si="4"/>
        <v>0</v>
      </c>
      <c r="N32" s="829">
        <f t="shared" si="5"/>
        <v>0</v>
      </c>
      <c r="O32" s="830">
        <f t="shared" si="6"/>
        <v>0.98</v>
      </c>
      <c r="P32" s="829">
        <f t="shared" si="7"/>
        <v>0.98</v>
      </c>
    </row>
    <row r="33" spans="1:16">
      <c r="A33" s="729" t="s">
        <v>2051</v>
      </c>
      <c r="B33" s="631" t="s">
        <v>1864</v>
      </c>
      <c r="C33" s="316">
        <f>AUTOQUESTIONNAIRE!G168</f>
        <v>0</v>
      </c>
      <c r="D33" s="584">
        <f>IF('Import Biologie'!F118&gt;0.5,1.5,0)</f>
        <v>1.5</v>
      </c>
      <c r="E33" s="316" t="s">
        <v>1178</v>
      </c>
      <c r="F33" s="316" t="str">
        <f>IF(ISBLANK('Import Biologie'!C116),"Non Fait","Fait")</f>
        <v>Fait</v>
      </c>
      <c r="G33" s="524">
        <f t="shared" ref="G33" si="12">C33*(IF(F33="Fait",D33,1))</f>
        <v>0</v>
      </c>
      <c r="H33" s="316" t="str">
        <f t="shared" ref="H33" si="13">IF(G33&lt;0.99,"Usuel",IF(G33&gt;1.2,"Alerte","Vigilance"))</f>
        <v>Usuel</v>
      </c>
      <c r="I33" s="316" t="str">
        <f t="shared" ref="I33" si="14">IF(G33&gt;99,"Suivi",H33)</f>
        <v>Usuel</v>
      </c>
      <c r="J33" s="316" t="str">
        <f t="shared" si="3"/>
        <v>Usuel</v>
      </c>
      <c r="L33" s="724" t="s">
        <v>2125</v>
      </c>
      <c r="M33" s="829">
        <f t="shared" si="4"/>
        <v>0</v>
      </c>
      <c r="N33" s="829">
        <f t="shared" si="5"/>
        <v>0</v>
      </c>
      <c r="O33" s="830">
        <f t="shared" si="6"/>
        <v>1.5</v>
      </c>
      <c r="P33" s="829">
        <f t="shared" si="7"/>
        <v>1.5</v>
      </c>
    </row>
    <row r="34" spans="1:16">
      <c r="A34" s="730" t="s">
        <v>1936</v>
      </c>
      <c r="B34" s="643" t="s">
        <v>903</v>
      </c>
      <c r="C34" s="584">
        <f>AUTOQUESTIONNAIRE!BJ185</f>
        <v>1.2</v>
      </c>
      <c r="D34" s="316">
        <v>1</v>
      </c>
      <c r="G34" s="524">
        <f t="shared" si="0"/>
        <v>1.2</v>
      </c>
      <c r="H34" s="316" t="str">
        <f t="shared" si="1"/>
        <v>Vigilance</v>
      </c>
      <c r="I34" s="316" t="str">
        <f t="shared" si="2"/>
        <v>Vigilance</v>
      </c>
      <c r="J34" s="316" t="str">
        <f t="shared" si="3"/>
        <v>Vigilance</v>
      </c>
      <c r="L34" s="724" t="s">
        <v>2031</v>
      </c>
      <c r="M34" s="829">
        <f t="shared" si="4"/>
        <v>1.2</v>
      </c>
      <c r="N34" s="829">
        <f t="shared" si="5"/>
        <v>1.2</v>
      </c>
      <c r="O34" s="830">
        <f t="shared" si="6"/>
        <v>1.2</v>
      </c>
      <c r="P34" s="829">
        <f t="shared" si="7"/>
        <v>1.2</v>
      </c>
    </row>
    <row r="35" spans="1:16">
      <c r="A35" s="730" t="s">
        <v>1936</v>
      </c>
      <c r="B35" s="731" t="s">
        <v>38</v>
      </c>
      <c r="C35" s="584">
        <f>AUTOQUESTIONNAIRE!AS185</f>
        <v>0.9</v>
      </c>
      <c r="D35" s="318">
        <f>IF('Import Biologie'!C35&lt;0.01,1,IF('Import Biologie'!C35&gt;30,0,2))</f>
        <v>1</v>
      </c>
      <c r="E35" s="316" t="s">
        <v>1699</v>
      </c>
      <c r="F35" s="316" t="str">
        <f>IF(ISBLANK('Import Biologie'!C35),"Non Fait","Fait")</f>
        <v>Non Fait</v>
      </c>
      <c r="G35" s="524">
        <f t="shared" ref="G35:G65" si="15">C35*(IF(F35="Fait",D35,1))</f>
        <v>0.9</v>
      </c>
      <c r="H35" s="316" t="str">
        <f t="shared" ref="H35:H65" si="16">IF(G35&lt;0.99,"Usuel",IF(G35&gt;1.2,"Alerte","Vigilance"))</f>
        <v>Usuel</v>
      </c>
      <c r="I35" s="316" t="str">
        <f t="shared" ref="I35:I65" si="17">IF(G35&gt;99,"Suivi",H35)</f>
        <v>Usuel</v>
      </c>
      <c r="J35" s="316" t="str">
        <f t="shared" si="3"/>
        <v>Usuel</v>
      </c>
      <c r="L35" s="724" t="s">
        <v>2021</v>
      </c>
      <c r="M35" s="829">
        <f t="shared" si="4"/>
        <v>0.9</v>
      </c>
      <c r="N35" s="829">
        <f t="shared" si="5"/>
        <v>0.9</v>
      </c>
      <c r="O35" s="830">
        <f t="shared" si="6"/>
        <v>1</v>
      </c>
      <c r="P35" s="829">
        <f t="shared" si="7"/>
        <v>1</v>
      </c>
    </row>
    <row r="36" spans="1:16">
      <c r="A36" s="730" t="s">
        <v>1936</v>
      </c>
      <c r="B36" s="635" t="s">
        <v>923</v>
      </c>
      <c r="C36" s="524">
        <f>AUTOQUESTIONNAIRE!AT185</f>
        <v>0.9</v>
      </c>
      <c r="D36" s="318">
        <f>IF('Import Biologie'!C36&lt;5,1.2,1)</f>
        <v>1.2</v>
      </c>
      <c r="E36" s="316" t="s">
        <v>1718</v>
      </c>
      <c r="G36" s="524">
        <f t="shared" si="15"/>
        <v>0.9</v>
      </c>
      <c r="H36" s="316" t="str">
        <f t="shared" si="16"/>
        <v>Usuel</v>
      </c>
      <c r="I36" s="316" t="str">
        <f t="shared" si="17"/>
        <v>Usuel</v>
      </c>
      <c r="J36" s="316" t="str">
        <f t="shared" si="3"/>
        <v>Usuel</v>
      </c>
      <c r="L36" s="724" t="s">
        <v>2107</v>
      </c>
      <c r="M36" s="829">
        <f t="shared" si="4"/>
        <v>0.9</v>
      </c>
      <c r="N36" s="829">
        <f t="shared" si="5"/>
        <v>0.9</v>
      </c>
      <c r="O36" s="830">
        <f t="shared" si="6"/>
        <v>1.2</v>
      </c>
      <c r="P36" s="829">
        <f t="shared" si="7"/>
        <v>1.2</v>
      </c>
    </row>
    <row r="37" spans="1:16">
      <c r="A37" s="730" t="s">
        <v>1936</v>
      </c>
      <c r="B37" s="635" t="s">
        <v>924</v>
      </c>
      <c r="C37" s="584">
        <f>AUTOQUESTIONNAIRE!AU185</f>
        <v>0.8</v>
      </c>
      <c r="D37" s="316">
        <v>1</v>
      </c>
      <c r="G37" s="524">
        <f t="shared" si="15"/>
        <v>0.8</v>
      </c>
      <c r="H37" s="316" t="str">
        <f t="shared" si="16"/>
        <v>Usuel</v>
      </c>
      <c r="I37" s="316" t="str">
        <f t="shared" si="17"/>
        <v>Usuel</v>
      </c>
      <c r="J37" s="316" t="str">
        <f>I37</f>
        <v>Usuel</v>
      </c>
      <c r="L37" s="724" t="s">
        <v>2108</v>
      </c>
      <c r="M37" s="829">
        <f t="shared" si="4"/>
        <v>0.8</v>
      </c>
      <c r="N37" s="829">
        <f t="shared" si="5"/>
        <v>0.8</v>
      </c>
      <c r="O37" s="830">
        <f t="shared" si="6"/>
        <v>1</v>
      </c>
      <c r="P37" s="829">
        <f t="shared" si="7"/>
        <v>1</v>
      </c>
    </row>
    <row r="38" spans="1:16">
      <c r="A38" s="730" t="s">
        <v>1936</v>
      </c>
      <c r="B38" s="635" t="s">
        <v>925</v>
      </c>
      <c r="C38" s="584">
        <f>AUTOQUESTIONNAIRE!AV185</f>
        <v>0.9</v>
      </c>
      <c r="D38" s="316">
        <f>IF('Import Biologie'!C7&gt;10,2,IF('Import Biologie'!C7&lt;5,0,1))</f>
        <v>0</v>
      </c>
      <c r="F38" s="316" t="str">
        <f>IF(ISBLANK('Import Biologie'!C7),"Non Fait","Fait")</f>
        <v>Non Fait</v>
      </c>
      <c r="G38" s="524">
        <f t="shared" si="15"/>
        <v>0.9</v>
      </c>
      <c r="H38" s="316" t="str">
        <f t="shared" si="16"/>
        <v>Usuel</v>
      </c>
      <c r="I38" s="316" t="str">
        <f t="shared" si="17"/>
        <v>Usuel</v>
      </c>
      <c r="J38" s="316" t="str">
        <f t="shared" si="3"/>
        <v>Usuel</v>
      </c>
      <c r="L38" s="724" t="s">
        <v>2109</v>
      </c>
      <c r="M38" s="829">
        <f t="shared" si="4"/>
        <v>0.9</v>
      </c>
      <c r="N38" s="829">
        <f t="shared" si="5"/>
        <v>0.9</v>
      </c>
      <c r="O38" s="830">
        <f t="shared" si="6"/>
        <v>0.9</v>
      </c>
      <c r="P38" s="829">
        <f t="shared" si="7"/>
        <v>0.9</v>
      </c>
    </row>
    <row r="39" spans="1:16">
      <c r="A39" s="722" t="s">
        <v>1745</v>
      </c>
      <c r="B39" s="732" t="s">
        <v>2052</v>
      </c>
      <c r="C39" s="584">
        <f>AUTOQUESTIONNAIRE!AK185</f>
        <v>0.9</v>
      </c>
      <c r="D39" s="524">
        <f>D5</f>
        <v>0.8</v>
      </c>
      <c r="E39" s="725" t="s">
        <v>86</v>
      </c>
      <c r="G39" s="524">
        <f t="shared" si="15"/>
        <v>0.9</v>
      </c>
      <c r="H39" s="316" t="str">
        <f t="shared" si="16"/>
        <v>Usuel</v>
      </c>
      <c r="I39" s="316" t="str">
        <f t="shared" si="17"/>
        <v>Usuel</v>
      </c>
      <c r="J39" s="316" t="str">
        <f t="shared" si="3"/>
        <v>Usuel</v>
      </c>
      <c r="L39" s="724" t="s">
        <v>2029</v>
      </c>
      <c r="M39" s="829">
        <f t="shared" si="4"/>
        <v>0.9</v>
      </c>
      <c r="N39" s="829">
        <f t="shared" si="5"/>
        <v>0.9</v>
      </c>
      <c r="O39" s="830">
        <f t="shared" si="6"/>
        <v>0.9</v>
      </c>
      <c r="P39" s="829">
        <f t="shared" si="7"/>
        <v>0.9</v>
      </c>
    </row>
    <row r="40" spans="1:16">
      <c r="A40" s="722" t="s">
        <v>1745</v>
      </c>
      <c r="B40" s="640" t="s">
        <v>917</v>
      </c>
      <c r="C40" s="584">
        <f>AUTOQUESTIONNAIRE!AJ185</f>
        <v>0.9</v>
      </c>
      <c r="D40" s="524">
        <v>1</v>
      </c>
      <c r="G40" s="524">
        <f t="shared" si="15"/>
        <v>0.9</v>
      </c>
      <c r="H40" s="316" t="str">
        <f t="shared" si="16"/>
        <v>Usuel</v>
      </c>
      <c r="I40" s="316" t="str">
        <f t="shared" si="17"/>
        <v>Usuel</v>
      </c>
      <c r="J40" s="316" t="str">
        <f t="shared" si="3"/>
        <v>Usuel</v>
      </c>
      <c r="L40" s="724" t="s">
        <v>2110</v>
      </c>
      <c r="M40" s="829">
        <f t="shared" si="4"/>
        <v>0.9</v>
      </c>
      <c r="N40" s="829">
        <f t="shared" si="5"/>
        <v>0.9</v>
      </c>
      <c r="O40" s="830">
        <f t="shared" si="6"/>
        <v>1</v>
      </c>
      <c r="P40" s="829">
        <f t="shared" si="7"/>
        <v>1</v>
      </c>
    </row>
    <row r="41" spans="1:16">
      <c r="A41" s="722" t="s">
        <v>1745</v>
      </c>
      <c r="B41" s="640" t="s">
        <v>918</v>
      </c>
      <c r="C41" s="584">
        <f>AUTOQUESTIONNAIRE!AL185</f>
        <v>0.8</v>
      </c>
      <c r="D41" s="316">
        <v>1</v>
      </c>
      <c r="G41" s="524">
        <f t="shared" si="15"/>
        <v>0.8</v>
      </c>
      <c r="H41" s="316" t="str">
        <f t="shared" si="16"/>
        <v>Usuel</v>
      </c>
      <c r="I41" s="316" t="str">
        <f t="shared" si="17"/>
        <v>Usuel</v>
      </c>
      <c r="J41" s="316" t="str">
        <f t="shared" si="3"/>
        <v>Usuel</v>
      </c>
      <c r="L41" s="724" t="s">
        <v>2111</v>
      </c>
      <c r="M41" s="829">
        <f t="shared" si="4"/>
        <v>0.8</v>
      </c>
      <c r="N41" s="829">
        <f t="shared" si="5"/>
        <v>0.8</v>
      </c>
      <c r="O41" s="830">
        <f t="shared" si="6"/>
        <v>1</v>
      </c>
      <c r="P41" s="829">
        <f t="shared" si="7"/>
        <v>1</v>
      </c>
    </row>
    <row r="42" spans="1:16" ht="409.6">
      <c r="A42" s="722" t="s">
        <v>1745</v>
      </c>
      <c r="B42" s="640" t="s">
        <v>2053</v>
      </c>
      <c r="C42" s="584">
        <f>AUTOQUESTIONNAIRE!AM185</f>
        <v>0.9</v>
      </c>
      <c r="D42" s="316">
        <v>1</v>
      </c>
      <c r="G42" s="524">
        <f t="shared" si="15"/>
        <v>0.9</v>
      </c>
      <c r="H42" s="316" t="str">
        <f t="shared" si="16"/>
        <v>Usuel</v>
      </c>
      <c r="I42" s="316" t="str">
        <f t="shared" si="17"/>
        <v>Usuel</v>
      </c>
      <c r="J42" s="316" t="str">
        <f t="shared" si="3"/>
        <v>Usuel</v>
      </c>
      <c r="L42" s="718" t="s">
        <v>2112</v>
      </c>
      <c r="M42" s="829">
        <f t="shared" si="4"/>
        <v>0.9</v>
      </c>
      <c r="N42" s="829">
        <f t="shared" si="5"/>
        <v>0.9</v>
      </c>
      <c r="O42" s="830">
        <f t="shared" si="6"/>
        <v>1</v>
      </c>
      <c r="P42" s="829">
        <f t="shared" si="7"/>
        <v>1</v>
      </c>
    </row>
    <row r="43" spans="1:16" ht="374.4">
      <c r="A43" s="722" t="s">
        <v>1745</v>
      </c>
      <c r="B43" s="721" t="s">
        <v>2127</v>
      </c>
      <c r="C43" s="584">
        <f>AUTOQUESTIONNAIRE!H172</f>
        <v>0.8</v>
      </c>
      <c r="D43" s="316">
        <v>1</v>
      </c>
      <c r="G43" s="524">
        <f t="shared" si="15"/>
        <v>0.8</v>
      </c>
      <c r="H43" s="316" t="str">
        <f t="shared" si="16"/>
        <v>Usuel</v>
      </c>
      <c r="I43" s="316" t="str">
        <f t="shared" si="17"/>
        <v>Usuel</v>
      </c>
      <c r="J43" s="316" t="str">
        <f t="shared" si="3"/>
        <v>Usuel</v>
      </c>
      <c r="L43" s="718" t="s">
        <v>2126</v>
      </c>
      <c r="M43" s="829">
        <f t="shared" si="4"/>
        <v>0.8</v>
      </c>
      <c r="N43" s="829">
        <f t="shared" si="5"/>
        <v>0.8</v>
      </c>
      <c r="O43" s="830">
        <f t="shared" si="6"/>
        <v>1</v>
      </c>
      <c r="P43" s="829">
        <f t="shared" si="7"/>
        <v>1</v>
      </c>
    </row>
    <row r="44" spans="1:16">
      <c r="A44" s="722" t="s">
        <v>1747</v>
      </c>
      <c r="B44" s="637" t="s">
        <v>897</v>
      </c>
      <c r="C44" s="584">
        <f>AUTOQUESTIONNAIRE!BH185</f>
        <v>0.6</v>
      </c>
      <c r="D44" s="316">
        <v>1</v>
      </c>
      <c r="G44" s="524">
        <f t="shared" si="15"/>
        <v>0.6</v>
      </c>
      <c r="H44" s="316" t="str">
        <f t="shared" si="16"/>
        <v>Usuel</v>
      </c>
      <c r="I44" s="316" t="str">
        <f t="shared" si="17"/>
        <v>Usuel</v>
      </c>
      <c r="J44" s="316" t="str">
        <f t="shared" si="3"/>
        <v>Usuel</v>
      </c>
      <c r="L44" s="724" t="s">
        <v>2036</v>
      </c>
      <c r="M44" s="829">
        <f t="shared" si="4"/>
        <v>0.6</v>
      </c>
      <c r="N44" s="829">
        <f t="shared" si="5"/>
        <v>0.6</v>
      </c>
      <c r="O44" s="830">
        <f t="shared" si="6"/>
        <v>1</v>
      </c>
      <c r="P44" s="829">
        <f t="shared" si="7"/>
        <v>1</v>
      </c>
    </row>
    <row r="45" spans="1:16">
      <c r="A45" s="722" t="s">
        <v>1747</v>
      </c>
      <c r="B45" s="637" t="s">
        <v>898</v>
      </c>
      <c r="C45" s="524">
        <f>AUTOQUESTIONNAIRE!BI185</f>
        <v>1.2</v>
      </c>
      <c r="D45" s="316">
        <v>1</v>
      </c>
      <c r="G45" s="524">
        <f t="shared" si="15"/>
        <v>1.2</v>
      </c>
      <c r="H45" s="316" t="str">
        <f t="shared" si="16"/>
        <v>Vigilance</v>
      </c>
      <c r="I45" s="316" t="str">
        <f t="shared" si="17"/>
        <v>Vigilance</v>
      </c>
      <c r="J45" s="316" t="str">
        <f t="shared" si="3"/>
        <v>Vigilance</v>
      </c>
      <c r="L45" s="724" t="s">
        <v>2035</v>
      </c>
      <c r="M45" s="829">
        <f t="shared" si="4"/>
        <v>1.2</v>
      </c>
      <c r="N45" s="829">
        <f t="shared" si="5"/>
        <v>1.2</v>
      </c>
      <c r="O45" s="830">
        <f t="shared" si="6"/>
        <v>1.2</v>
      </c>
      <c r="P45" s="829">
        <f t="shared" si="7"/>
        <v>1.2</v>
      </c>
    </row>
    <row r="46" spans="1:16">
      <c r="A46" s="722" t="s">
        <v>1747</v>
      </c>
      <c r="B46" s="733" t="s">
        <v>1716</v>
      </c>
      <c r="C46" s="584">
        <f>AUTOQUESTIONNAIRE!AW185</f>
        <v>900</v>
      </c>
      <c r="D46" s="316">
        <v>1</v>
      </c>
      <c r="G46" s="524">
        <f t="shared" si="15"/>
        <v>900</v>
      </c>
      <c r="H46" s="316" t="str">
        <f t="shared" si="16"/>
        <v>Alerte</v>
      </c>
      <c r="I46" s="316" t="str">
        <f t="shared" si="17"/>
        <v>Suivi</v>
      </c>
      <c r="J46" s="316" t="str">
        <f t="shared" si="3"/>
        <v>Suivi</v>
      </c>
      <c r="L46" s="724" t="s">
        <v>2038</v>
      </c>
      <c r="M46" s="829">
        <f t="shared" si="4"/>
        <v>900</v>
      </c>
      <c r="N46" s="829">
        <f t="shared" si="5"/>
        <v>3</v>
      </c>
      <c r="O46" s="830">
        <f t="shared" si="6"/>
        <v>900</v>
      </c>
      <c r="P46" s="829">
        <f t="shared" si="7"/>
        <v>3</v>
      </c>
    </row>
    <row r="47" spans="1:16">
      <c r="A47" s="722" t="s">
        <v>1747</v>
      </c>
      <c r="B47" s="733" t="s">
        <v>2054</v>
      </c>
      <c r="C47" s="584">
        <f>AUTOQUESTIONNAIRE!AX185</f>
        <v>1.2</v>
      </c>
      <c r="D47" s="316">
        <v>1</v>
      </c>
      <c r="G47" s="524">
        <f t="shared" si="15"/>
        <v>1.2</v>
      </c>
      <c r="H47" s="316" t="str">
        <f t="shared" si="16"/>
        <v>Vigilance</v>
      </c>
      <c r="I47" s="316" t="str">
        <f t="shared" si="17"/>
        <v>Vigilance</v>
      </c>
      <c r="J47" s="316" t="str">
        <f t="shared" si="3"/>
        <v>Vigilance</v>
      </c>
      <c r="L47" s="724" t="s">
        <v>2039</v>
      </c>
      <c r="M47" s="829">
        <f t="shared" si="4"/>
        <v>1.2</v>
      </c>
      <c r="N47" s="829">
        <f t="shared" si="5"/>
        <v>1.2</v>
      </c>
      <c r="O47" s="830">
        <f t="shared" si="6"/>
        <v>1.2</v>
      </c>
      <c r="P47" s="829">
        <f t="shared" si="7"/>
        <v>1.2</v>
      </c>
    </row>
    <row r="48" spans="1:16">
      <c r="A48" s="722" t="s">
        <v>1747</v>
      </c>
      <c r="B48" s="636" t="s">
        <v>2055</v>
      </c>
      <c r="C48" s="584">
        <f>AUTOQUESTIONNAIRE!AY185</f>
        <v>900</v>
      </c>
      <c r="D48" s="316">
        <v>1</v>
      </c>
      <c r="G48" s="524">
        <f t="shared" si="15"/>
        <v>900</v>
      </c>
      <c r="H48" s="316" t="str">
        <f t="shared" si="16"/>
        <v>Alerte</v>
      </c>
      <c r="I48" s="316" t="str">
        <f t="shared" si="17"/>
        <v>Suivi</v>
      </c>
      <c r="J48" s="316" t="str">
        <f t="shared" si="3"/>
        <v>Suivi</v>
      </c>
      <c r="L48" s="724" t="s">
        <v>2113</v>
      </c>
      <c r="M48" s="829">
        <f t="shared" si="4"/>
        <v>900</v>
      </c>
      <c r="N48" s="829">
        <f t="shared" si="5"/>
        <v>3</v>
      </c>
      <c r="O48" s="830">
        <f t="shared" si="6"/>
        <v>900</v>
      </c>
      <c r="P48" s="829">
        <f t="shared" si="7"/>
        <v>3</v>
      </c>
    </row>
    <row r="49" spans="1:16">
      <c r="A49" s="722" t="s">
        <v>1747</v>
      </c>
      <c r="B49" s="637" t="s">
        <v>928</v>
      </c>
      <c r="C49" s="584">
        <f>AUTOQUESTIONNAIRE!BN185</f>
        <v>0</v>
      </c>
      <c r="D49" s="316">
        <v>1</v>
      </c>
      <c r="G49" s="524">
        <f t="shared" si="15"/>
        <v>0</v>
      </c>
      <c r="H49" s="316" t="str">
        <f t="shared" si="16"/>
        <v>Usuel</v>
      </c>
      <c r="I49" s="316" t="str">
        <f t="shared" si="17"/>
        <v>Usuel</v>
      </c>
      <c r="J49" s="316" t="str">
        <f t="shared" si="3"/>
        <v>Usuel</v>
      </c>
      <c r="L49" s="724" t="s">
        <v>2114</v>
      </c>
      <c r="M49" s="829">
        <f t="shared" si="4"/>
        <v>0</v>
      </c>
      <c r="N49" s="829">
        <f t="shared" si="5"/>
        <v>0</v>
      </c>
      <c r="O49" s="830">
        <f t="shared" si="6"/>
        <v>1</v>
      </c>
      <c r="P49" s="829">
        <f t="shared" si="7"/>
        <v>1</v>
      </c>
    </row>
    <row r="50" spans="1:16">
      <c r="A50" s="722" t="s">
        <v>1743</v>
      </c>
      <c r="B50" s="734" t="s">
        <v>2056</v>
      </c>
      <c r="C50" s="524">
        <f>AUTOQUESTIONNAIRE!BE185</f>
        <v>6.0000000000000001E-3</v>
      </c>
      <c r="D50" s="316">
        <v>1</v>
      </c>
      <c r="G50" s="524">
        <f t="shared" si="15"/>
        <v>6.0000000000000001E-3</v>
      </c>
      <c r="H50" s="316" t="str">
        <f t="shared" si="16"/>
        <v>Usuel</v>
      </c>
      <c r="I50" s="316" t="str">
        <f t="shared" si="17"/>
        <v>Usuel</v>
      </c>
      <c r="J50" s="316" t="str">
        <f>IF(AUTOQUESTIONNAIRE!$I$3=0,"NA",RRImmédiat!I50)</f>
        <v>NA</v>
      </c>
      <c r="K50" s="316" t="s">
        <v>1573</v>
      </c>
      <c r="L50" s="724" t="s">
        <v>2032</v>
      </c>
      <c r="M50" s="829">
        <f t="shared" si="4"/>
        <v>6.0000000000000001E-3</v>
      </c>
      <c r="N50" s="829">
        <f t="shared" si="5"/>
        <v>6.0000000000000001E-3</v>
      </c>
      <c r="O50" s="830">
        <f t="shared" si="6"/>
        <v>1</v>
      </c>
      <c r="P50" s="829">
        <f t="shared" si="7"/>
        <v>1</v>
      </c>
    </row>
    <row r="51" spans="1:16">
      <c r="A51" s="722" t="s">
        <v>1743</v>
      </c>
      <c r="B51" s="642" t="s">
        <v>900</v>
      </c>
      <c r="C51" s="524">
        <f>AUTOQUESTIONNAIRE!BF185</f>
        <v>0</v>
      </c>
      <c r="D51" s="316">
        <v>1</v>
      </c>
      <c r="E51" s="725" t="s">
        <v>1702</v>
      </c>
      <c r="G51" s="524">
        <f t="shared" si="15"/>
        <v>0</v>
      </c>
      <c r="H51" s="316" t="str">
        <f t="shared" si="16"/>
        <v>Usuel</v>
      </c>
      <c r="I51" s="316" t="str">
        <f t="shared" si="17"/>
        <v>Usuel</v>
      </c>
      <c r="J51" s="316" t="str">
        <f>IF(AUTOQUESTIONNAIRE!$I$3=0,"NA",RRImmédiat!I51)</f>
        <v>NA</v>
      </c>
      <c r="K51" s="316" t="s">
        <v>1573</v>
      </c>
      <c r="L51" s="724" t="s">
        <v>2033</v>
      </c>
      <c r="M51" s="829">
        <f t="shared" si="4"/>
        <v>0</v>
      </c>
      <c r="N51" s="829">
        <f t="shared" si="5"/>
        <v>0</v>
      </c>
      <c r="O51" s="830">
        <f t="shared" si="6"/>
        <v>1</v>
      </c>
      <c r="P51" s="829">
        <f t="shared" si="7"/>
        <v>1</v>
      </c>
    </row>
    <row r="52" spans="1:16">
      <c r="A52" s="722" t="s">
        <v>1743</v>
      </c>
      <c r="B52" s="642" t="s">
        <v>901</v>
      </c>
      <c r="C52" s="524">
        <f>AUTOQUESTIONNAIRE!BM185</f>
        <v>0</v>
      </c>
      <c r="D52" s="316">
        <v>1</v>
      </c>
      <c r="G52" s="524">
        <f t="shared" si="15"/>
        <v>0</v>
      </c>
      <c r="H52" s="316" t="str">
        <f t="shared" si="16"/>
        <v>Usuel</v>
      </c>
      <c r="I52" s="316" t="str">
        <f t="shared" si="17"/>
        <v>Usuel</v>
      </c>
      <c r="J52" s="316" t="str">
        <f>IF(AUTOQUESTIONNAIRE!$I$3=0,"NA",RRImmédiat!I52)</f>
        <v>NA</v>
      </c>
      <c r="K52" s="316" t="s">
        <v>1573</v>
      </c>
      <c r="L52" s="724" t="s">
        <v>2115</v>
      </c>
      <c r="M52" s="829">
        <f t="shared" si="4"/>
        <v>0</v>
      </c>
      <c r="N52" s="829">
        <f t="shared" si="5"/>
        <v>0</v>
      </c>
      <c r="O52" s="830">
        <f t="shared" si="6"/>
        <v>1</v>
      </c>
      <c r="P52" s="829">
        <f t="shared" si="7"/>
        <v>1</v>
      </c>
    </row>
    <row r="53" spans="1:16">
      <c r="A53" s="722" t="s">
        <v>1743</v>
      </c>
      <c r="B53" s="642" t="s">
        <v>902</v>
      </c>
      <c r="C53" s="524">
        <f>AUTOQUESTIONNAIRE!BG185</f>
        <v>0</v>
      </c>
      <c r="D53" s="316">
        <v>1</v>
      </c>
      <c r="G53" s="524">
        <f t="shared" si="15"/>
        <v>0</v>
      </c>
      <c r="H53" s="316" t="str">
        <f t="shared" si="16"/>
        <v>Usuel</v>
      </c>
      <c r="I53" s="316" t="str">
        <f t="shared" si="17"/>
        <v>Usuel</v>
      </c>
      <c r="J53" s="316" t="str">
        <f>IF(AUTOQUESTIONNAIRE!$I$3=0,"NA",RRImmédiat!I53)</f>
        <v>NA</v>
      </c>
      <c r="L53" s="724" t="s">
        <v>2116</v>
      </c>
      <c r="M53" s="829">
        <f t="shared" si="4"/>
        <v>0</v>
      </c>
      <c r="N53" s="829">
        <f t="shared" si="5"/>
        <v>0</v>
      </c>
      <c r="O53" s="830">
        <f t="shared" si="6"/>
        <v>1</v>
      </c>
      <c r="P53" s="829">
        <f t="shared" si="7"/>
        <v>1</v>
      </c>
    </row>
    <row r="54" spans="1:16">
      <c r="A54" s="722" t="s">
        <v>1743</v>
      </c>
      <c r="B54" s="639" t="s">
        <v>899</v>
      </c>
      <c r="C54" s="524">
        <f>AUTOQUESTIONNAIRE!BK185</f>
        <v>1.2</v>
      </c>
      <c r="D54" s="318">
        <v>1</v>
      </c>
      <c r="G54" s="524">
        <f t="shared" si="15"/>
        <v>1.2</v>
      </c>
      <c r="H54" s="316" t="str">
        <f t="shared" si="16"/>
        <v>Vigilance</v>
      </c>
      <c r="I54" s="316" t="str">
        <f t="shared" si="17"/>
        <v>Vigilance</v>
      </c>
      <c r="J54" s="316" t="str">
        <f>I54</f>
        <v>Vigilance</v>
      </c>
      <c r="L54" s="724" t="s">
        <v>2117</v>
      </c>
      <c r="M54" s="829">
        <f t="shared" si="4"/>
        <v>1.2</v>
      </c>
      <c r="N54" s="829">
        <f t="shared" si="5"/>
        <v>1.2</v>
      </c>
      <c r="O54" s="830">
        <f t="shared" si="6"/>
        <v>1.2</v>
      </c>
      <c r="P54" s="829">
        <f t="shared" si="7"/>
        <v>1.2</v>
      </c>
    </row>
    <row r="55" spans="1:16">
      <c r="A55" s="722" t="s">
        <v>1743</v>
      </c>
      <c r="B55" s="734" t="s">
        <v>2057</v>
      </c>
      <c r="C55" s="524">
        <f>AUTOQUESTIONNAIRE!BL185</f>
        <v>2.5</v>
      </c>
      <c r="D55" s="318">
        <f>'Import Biologie'!H47</f>
        <v>1</v>
      </c>
      <c r="E55" s="316" t="s">
        <v>1701</v>
      </c>
      <c r="G55" s="524">
        <f t="shared" si="15"/>
        <v>2.5</v>
      </c>
      <c r="H55" s="316" t="str">
        <f t="shared" si="16"/>
        <v>Alerte</v>
      </c>
      <c r="I55" s="316" t="str">
        <f t="shared" si="17"/>
        <v>Alerte</v>
      </c>
      <c r="J55" s="316" t="str">
        <f>I55</f>
        <v>Alerte</v>
      </c>
      <c r="L55" s="724" t="s">
        <v>2118</v>
      </c>
      <c r="M55" s="829">
        <f t="shared" si="4"/>
        <v>2.5</v>
      </c>
      <c r="N55" s="829">
        <f t="shared" si="5"/>
        <v>2.5</v>
      </c>
      <c r="O55" s="830">
        <f t="shared" si="6"/>
        <v>2.5</v>
      </c>
      <c r="P55" s="829">
        <f t="shared" si="7"/>
        <v>2.5</v>
      </c>
    </row>
    <row r="56" spans="1:16">
      <c r="A56" s="722" t="s">
        <v>1743</v>
      </c>
      <c r="B56" s="638" t="s">
        <v>54</v>
      </c>
      <c r="C56" s="524">
        <f>AUTOQUESTIONNAIRE!AZ185</f>
        <v>0.6</v>
      </c>
      <c r="D56" s="318">
        <f>IF('Import Biologie'!H32&gt;3,2,IF('Import Biologie'!H32&lt;1,0.5,1))</f>
        <v>0.5</v>
      </c>
      <c r="E56" s="316" t="s">
        <v>1698</v>
      </c>
      <c r="F56" s="316" t="str">
        <f>IF(ISBLANK('Import Biologie'!C11),"Non Fait","Fait")</f>
        <v>Non Fait</v>
      </c>
      <c r="G56" s="524">
        <f t="shared" si="15"/>
        <v>0.6</v>
      </c>
      <c r="H56" s="316" t="str">
        <f t="shared" si="16"/>
        <v>Usuel</v>
      </c>
      <c r="I56" s="316" t="str">
        <f t="shared" si="17"/>
        <v>Usuel</v>
      </c>
      <c r="J56" s="316" t="str">
        <f>IF(AUTOQUESTIONNAIRE!$I$3=1,"NA",RRImmédiat!I56)</f>
        <v>Usuel</v>
      </c>
      <c r="K56" s="316" t="s">
        <v>560</v>
      </c>
      <c r="L56" s="724" t="s">
        <v>2034</v>
      </c>
      <c r="M56" s="829">
        <f t="shared" si="4"/>
        <v>0.6</v>
      </c>
      <c r="N56" s="829">
        <f t="shared" si="5"/>
        <v>0.6</v>
      </c>
      <c r="O56" s="830">
        <f t="shared" si="6"/>
        <v>0.6</v>
      </c>
      <c r="P56" s="829">
        <f t="shared" si="7"/>
        <v>0.6</v>
      </c>
    </row>
    <row r="57" spans="1:16">
      <c r="A57" s="722" t="s">
        <v>1743</v>
      </c>
      <c r="B57" s="639" t="s">
        <v>906</v>
      </c>
      <c r="C57" s="584">
        <f>AUTOQUESTIONNAIRE!O185</f>
        <v>0.8</v>
      </c>
      <c r="D57" s="316">
        <v>1</v>
      </c>
      <c r="E57" s="316" t="s">
        <v>1697</v>
      </c>
      <c r="F57" s="316" t="str">
        <f>IF(ISBLANK('Import Biologie'!C12),"Non Fait","Fait")</f>
        <v>Non Fait</v>
      </c>
      <c r="G57" s="524">
        <f t="shared" si="15"/>
        <v>0.8</v>
      </c>
      <c r="H57" s="316" t="str">
        <f t="shared" si="16"/>
        <v>Usuel</v>
      </c>
      <c r="I57" s="316" t="str">
        <f t="shared" si="17"/>
        <v>Usuel</v>
      </c>
      <c r="J57" s="316" t="str">
        <f>IF(AUTOQUESTIONNAIRE!$I$3=1,"NA",RRImmédiat!I57)</f>
        <v>Usuel</v>
      </c>
      <c r="K57" s="316" t="s">
        <v>560</v>
      </c>
      <c r="L57" s="724" t="s">
        <v>2018</v>
      </c>
      <c r="M57" s="829">
        <f t="shared" si="4"/>
        <v>0.8</v>
      </c>
      <c r="N57" s="829">
        <f t="shared" si="5"/>
        <v>0.8</v>
      </c>
      <c r="O57" s="830">
        <f t="shared" si="6"/>
        <v>1</v>
      </c>
      <c r="P57" s="829">
        <f t="shared" si="7"/>
        <v>1</v>
      </c>
    </row>
    <row r="58" spans="1:16">
      <c r="A58" s="722" t="s">
        <v>1743</v>
      </c>
      <c r="B58" s="734" t="s">
        <v>907</v>
      </c>
      <c r="C58" s="524">
        <f>AUTOQUESTIONNAIRE!P185</f>
        <v>0.8</v>
      </c>
      <c r="D58" s="318" t="e">
        <f>IF('Import Biologie'!H37&lt;30,2,IF('Import Biologie'!H37&gt;90,0,1))</f>
        <v>#DIV/0!</v>
      </c>
      <c r="E58" s="316" t="s">
        <v>1092</v>
      </c>
      <c r="G58" s="524">
        <f t="shared" si="15"/>
        <v>0.8</v>
      </c>
      <c r="H58" s="316" t="str">
        <f t="shared" si="16"/>
        <v>Usuel</v>
      </c>
      <c r="I58" s="316" t="str">
        <f t="shared" si="17"/>
        <v>Usuel</v>
      </c>
      <c r="J58" s="316" t="str">
        <f t="shared" ref="J58:J60" si="18">I58</f>
        <v>Usuel</v>
      </c>
      <c r="L58" s="724" t="s">
        <v>2019</v>
      </c>
      <c r="M58" s="829">
        <f t="shared" si="4"/>
        <v>0.8</v>
      </c>
      <c r="N58" s="829">
        <f t="shared" si="5"/>
        <v>0.8</v>
      </c>
      <c r="O58" s="830" t="e">
        <f t="shared" si="6"/>
        <v>#DIV/0!</v>
      </c>
      <c r="P58" s="829" t="e">
        <f t="shared" si="7"/>
        <v>#DIV/0!</v>
      </c>
    </row>
    <row r="59" spans="1:16">
      <c r="A59" s="722" t="s">
        <v>1743</v>
      </c>
      <c r="B59" s="734" t="s">
        <v>2058</v>
      </c>
      <c r="C59" s="524">
        <f>AUTOQUESTIONNAIRE!S185</f>
        <v>0.9</v>
      </c>
      <c r="D59" s="318">
        <f>'Import Biologie'!H35</f>
        <v>1</v>
      </c>
      <c r="E59" s="316" t="s">
        <v>86</v>
      </c>
      <c r="F59" s="316" t="str">
        <f>IF(ISBLANK('Import Biologie'!H35),"Non Fait","Fait")</f>
        <v>Fait</v>
      </c>
      <c r="G59" s="524">
        <f t="shared" si="15"/>
        <v>0.9</v>
      </c>
      <c r="H59" s="316" t="str">
        <f t="shared" si="16"/>
        <v>Usuel</v>
      </c>
      <c r="I59" s="316" t="str">
        <f t="shared" si="17"/>
        <v>Usuel</v>
      </c>
      <c r="J59" s="316" t="str">
        <f t="shared" si="18"/>
        <v>Usuel</v>
      </c>
      <c r="L59" s="724" t="s">
        <v>2020</v>
      </c>
      <c r="M59" s="829">
        <f t="shared" si="4"/>
        <v>0.9</v>
      </c>
      <c r="N59" s="829">
        <f t="shared" si="5"/>
        <v>0.9</v>
      </c>
      <c r="O59" s="830">
        <f t="shared" si="6"/>
        <v>1</v>
      </c>
      <c r="P59" s="829">
        <f t="shared" si="7"/>
        <v>1</v>
      </c>
    </row>
    <row r="60" spans="1:16">
      <c r="A60" s="722" t="s">
        <v>1743</v>
      </c>
      <c r="B60" s="639" t="s">
        <v>1695</v>
      </c>
      <c r="C60" s="584">
        <f>AUTOQUESTIONNAIRE!Q185</f>
        <v>0.8</v>
      </c>
      <c r="D60" s="316">
        <v>1</v>
      </c>
      <c r="G60" s="524">
        <f t="shared" si="15"/>
        <v>0.8</v>
      </c>
      <c r="H60" s="316" t="str">
        <f t="shared" si="16"/>
        <v>Usuel</v>
      </c>
      <c r="I60" s="316" t="str">
        <f t="shared" si="17"/>
        <v>Usuel</v>
      </c>
      <c r="J60" s="316" t="str">
        <f t="shared" si="18"/>
        <v>Usuel</v>
      </c>
      <c r="L60" s="724" t="s">
        <v>2123</v>
      </c>
      <c r="M60" s="829">
        <f t="shared" si="4"/>
        <v>0.8</v>
      </c>
      <c r="N60" s="829">
        <f t="shared" si="5"/>
        <v>0.8</v>
      </c>
      <c r="O60" s="830">
        <f t="shared" si="6"/>
        <v>1</v>
      </c>
      <c r="P60" s="829">
        <f t="shared" si="7"/>
        <v>1</v>
      </c>
    </row>
    <row r="61" spans="1:16">
      <c r="A61" s="722" t="s">
        <v>1743</v>
      </c>
      <c r="B61" s="639" t="s">
        <v>2059</v>
      </c>
      <c r="C61" s="584">
        <f>AUTOQUESTIONNAIRE!R185</f>
        <v>0.8</v>
      </c>
      <c r="D61" s="316">
        <v>1</v>
      </c>
      <c r="G61" s="524">
        <f t="shared" si="15"/>
        <v>0.8</v>
      </c>
      <c r="H61" s="316" t="str">
        <f t="shared" si="16"/>
        <v>Usuel</v>
      </c>
      <c r="I61" s="316" t="str">
        <f t="shared" si="17"/>
        <v>Usuel</v>
      </c>
      <c r="J61" s="316" t="str">
        <f>IF(AUTOQUESTIONNAIRE!$I$3=1,"NA",RRImmédiat!I61)</f>
        <v>Usuel</v>
      </c>
      <c r="K61" s="316" t="s">
        <v>560</v>
      </c>
      <c r="L61" s="724" t="s">
        <v>2119</v>
      </c>
      <c r="M61" s="829">
        <f t="shared" si="4"/>
        <v>0.8</v>
      </c>
      <c r="N61" s="829">
        <f t="shared" si="5"/>
        <v>0.8</v>
      </c>
      <c r="O61" s="830">
        <f t="shared" si="6"/>
        <v>1</v>
      </c>
      <c r="P61" s="829">
        <f t="shared" si="7"/>
        <v>1</v>
      </c>
    </row>
    <row r="62" spans="1:16">
      <c r="A62" s="722" t="s">
        <v>1743</v>
      </c>
      <c r="B62" s="639" t="s">
        <v>800</v>
      </c>
      <c r="C62" s="584">
        <f>AUTOQUESTIONNAIRE!T185</f>
        <v>0</v>
      </c>
      <c r="D62" s="316">
        <v>1</v>
      </c>
      <c r="G62" s="524">
        <f t="shared" si="15"/>
        <v>0</v>
      </c>
      <c r="H62" s="316" t="str">
        <f t="shared" si="16"/>
        <v>Usuel</v>
      </c>
      <c r="I62" s="316" t="str">
        <f t="shared" si="17"/>
        <v>Usuel</v>
      </c>
      <c r="J62" s="316" t="str">
        <f>IF(AUTOQUESTIONNAIRE!$I$3=0,"NA",RRImmédiat!I62)</f>
        <v>NA</v>
      </c>
      <c r="K62" s="316" t="s">
        <v>1573</v>
      </c>
      <c r="L62" s="724" t="s">
        <v>2120</v>
      </c>
      <c r="M62" s="829">
        <f t="shared" si="4"/>
        <v>0</v>
      </c>
      <c r="N62" s="829">
        <f t="shared" si="5"/>
        <v>0</v>
      </c>
      <c r="O62" s="830">
        <f t="shared" si="6"/>
        <v>1</v>
      </c>
      <c r="P62" s="829">
        <f t="shared" si="7"/>
        <v>1</v>
      </c>
    </row>
    <row r="63" spans="1:16">
      <c r="A63" s="722" t="s">
        <v>1743</v>
      </c>
      <c r="B63" s="639" t="s">
        <v>2060</v>
      </c>
      <c r="C63" s="584">
        <f>AUTOQUESTIONNAIRE!U185</f>
        <v>0</v>
      </c>
      <c r="D63" s="316">
        <v>1</v>
      </c>
      <c r="G63" s="524">
        <f t="shared" si="15"/>
        <v>0</v>
      </c>
      <c r="H63" s="316" t="str">
        <f t="shared" si="16"/>
        <v>Usuel</v>
      </c>
      <c r="I63" s="316" t="str">
        <f t="shared" si="17"/>
        <v>Usuel</v>
      </c>
      <c r="J63" s="316" t="str">
        <f>IF(AUTOQUESTIONNAIRE!$I$3=0,"NA",RRImmédiat!I63)</f>
        <v>NA</v>
      </c>
      <c r="K63" s="316" t="s">
        <v>1573</v>
      </c>
      <c r="L63" s="724" t="s">
        <v>2121</v>
      </c>
      <c r="M63" s="829">
        <f t="shared" si="4"/>
        <v>0</v>
      </c>
      <c r="N63" s="829">
        <f t="shared" si="5"/>
        <v>0</v>
      </c>
      <c r="O63" s="830">
        <f t="shared" si="6"/>
        <v>1</v>
      </c>
      <c r="P63" s="829">
        <f t="shared" si="7"/>
        <v>1</v>
      </c>
    </row>
    <row r="64" spans="1:16">
      <c r="A64" s="722" t="s">
        <v>1743</v>
      </c>
      <c r="B64" s="639" t="s">
        <v>2064</v>
      </c>
      <c r="C64" s="318">
        <f>AUTOQUESTIONNAIRE!G21</f>
        <v>0</v>
      </c>
      <c r="D64" s="318">
        <f>IF('Import Biologie'!C89&lt;1.5,2,IF('Import Biologie'!C89&gt;15,2,0))</f>
        <v>0</v>
      </c>
      <c r="E64" s="316" t="s">
        <v>1234</v>
      </c>
      <c r="F64" s="316" t="str">
        <f>IF(ISBLANK('Import Biologie'!C89),"Non Fait","Fait")</f>
        <v>Fait</v>
      </c>
      <c r="G64" s="524">
        <f t="shared" si="15"/>
        <v>0</v>
      </c>
      <c r="H64" s="316" t="str">
        <f t="shared" si="16"/>
        <v>Usuel</v>
      </c>
      <c r="I64" s="316" t="str">
        <f t="shared" si="17"/>
        <v>Usuel</v>
      </c>
      <c r="J64" s="316" t="str">
        <f>IF(AUTOQUESTIONNAIRE!$I$3=0,"NA",RRImmédiat!I64)</f>
        <v>NA</v>
      </c>
      <c r="K64" s="316" t="s">
        <v>1573</v>
      </c>
      <c r="L64" s="724" t="s">
        <v>2122</v>
      </c>
      <c r="M64" s="829">
        <f t="shared" si="4"/>
        <v>0</v>
      </c>
      <c r="N64" s="829">
        <f t="shared" si="5"/>
        <v>0</v>
      </c>
      <c r="O64" s="830">
        <f t="shared" si="6"/>
        <v>0</v>
      </c>
      <c r="P64" s="829">
        <f t="shared" si="7"/>
        <v>0</v>
      </c>
    </row>
    <row r="65" spans="1:16" ht="409.6">
      <c r="A65" s="722" t="s">
        <v>1743</v>
      </c>
      <c r="B65" s="639" t="s">
        <v>2063</v>
      </c>
      <c r="C65" s="318">
        <v>1</v>
      </c>
      <c r="D65" s="318">
        <f>IF('Import Biologie'!C89&lt;1.5,2,IF('Import Biologie'!C89&gt;15,2,0))</f>
        <v>0</v>
      </c>
      <c r="E65" s="316" t="s">
        <v>1234</v>
      </c>
      <c r="F65" s="316" t="str">
        <f>IF(ISBLANK('Import Biologie'!C89),"Non Fait","Fait")</f>
        <v>Fait</v>
      </c>
      <c r="G65" s="524">
        <f t="shared" si="15"/>
        <v>0</v>
      </c>
      <c r="H65" s="316" t="str">
        <f t="shared" si="16"/>
        <v>Usuel</v>
      </c>
      <c r="I65" s="316" t="str">
        <f t="shared" si="17"/>
        <v>Usuel</v>
      </c>
      <c r="J65" s="316" t="str">
        <f>IF(AUTOQUESTIONNAIRE!$I$3=1,"NA",RRImmédiat!I65)</f>
        <v>Usuel</v>
      </c>
      <c r="K65" s="316" t="s">
        <v>560</v>
      </c>
      <c r="L65" s="720" t="s">
        <v>2128</v>
      </c>
      <c r="M65" s="829">
        <f t="shared" si="4"/>
        <v>0</v>
      </c>
      <c r="N65" s="829">
        <f t="shared" si="5"/>
        <v>0</v>
      </c>
      <c r="O65" s="830">
        <f t="shared" si="6"/>
        <v>1</v>
      </c>
      <c r="P65" s="829">
        <f t="shared" si="7"/>
        <v>1</v>
      </c>
    </row>
    <row r="66" spans="1:16">
      <c r="L66" s="720"/>
    </row>
    <row r="69" spans="1:16">
      <c r="A69" s="437" t="s">
        <v>1461</v>
      </c>
    </row>
    <row r="70" spans="1:16">
      <c r="A70" t="s">
        <v>1460</v>
      </c>
      <c r="B70" s="853">
        <f>MAX(G8,G9,G10,G34,G44,G45,G50,G51,G52,G53,G54,G55,G56)</f>
        <v>2.5</v>
      </c>
      <c r="C70" s="316">
        <f>IF(B70&gt;3,3,B70)</f>
        <v>2.5</v>
      </c>
      <c r="D70" s="316">
        <v>1</v>
      </c>
      <c r="E70" s="316">
        <v>2</v>
      </c>
    </row>
    <row r="71" spans="1:16">
      <c r="A71" t="s">
        <v>1466</v>
      </c>
      <c r="B71" s="853">
        <f>MAX(G57:G60)</f>
        <v>0.9</v>
      </c>
      <c r="C71" s="316">
        <f t="shared" ref="C71:C79" si="19">IF(B71&gt;3,3,B71)</f>
        <v>0.9</v>
      </c>
      <c r="D71" s="316">
        <v>1</v>
      </c>
      <c r="E71" s="316">
        <v>2</v>
      </c>
    </row>
    <row r="72" spans="1:16">
      <c r="A72" t="s">
        <v>1467</v>
      </c>
      <c r="B72" s="853">
        <f>MAX(G63,G62,G61)</f>
        <v>0.8</v>
      </c>
      <c r="C72" s="316">
        <f t="shared" si="19"/>
        <v>0.8</v>
      </c>
      <c r="D72" s="316">
        <v>1</v>
      </c>
      <c r="E72" s="316">
        <v>2</v>
      </c>
    </row>
    <row r="73" spans="1:16">
      <c r="A73" t="s">
        <v>1462</v>
      </c>
      <c r="B73" s="853">
        <f>MAX(G39:G43)</f>
        <v>0.9</v>
      </c>
      <c r="C73" s="316">
        <f t="shared" si="19"/>
        <v>0.9</v>
      </c>
      <c r="D73" s="316">
        <v>1</v>
      </c>
      <c r="E73" s="316">
        <v>2</v>
      </c>
    </row>
    <row r="74" spans="1:16">
      <c r="A74" t="s">
        <v>1463</v>
      </c>
      <c r="B74" s="853">
        <f>MAX(G2:G7)</f>
        <v>0.9</v>
      </c>
      <c r="C74" s="316">
        <f t="shared" si="19"/>
        <v>0.9</v>
      </c>
      <c r="D74" s="316">
        <v>1</v>
      </c>
      <c r="E74" s="316">
        <v>2</v>
      </c>
    </row>
    <row r="75" spans="1:16">
      <c r="A75" t="s">
        <v>1464</v>
      </c>
      <c r="B75" s="853">
        <f>MAX(G44:G49)</f>
        <v>900</v>
      </c>
      <c r="C75" s="316">
        <f t="shared" si="19"/>
        <v>3</v>
      </c>
      <c r="D75" s="316">
        <v>1</v>
      </c>
      <c r="E75" s="316">
        <v>2</v>
      </c>
    </row>
    <row r="76" spans="1:16">
      <c r="A76" t="s">
        <v>1465</v>
      </c>
      <c r="B76" s="853">
        <f>MAX(G8,G9,G10,G15,G16,G17,G18)</f>
        <v>2.5</v>
      </c>
      <c r="C76" s="316">
        <f t="shared" si="19"/>
        <v>2.5</v>
      </c>
      <c r="D76" s="316">
        <v>1</v>
      </c>
      <c r="E76" s="316">
        <v>2</v>
      </c>
    </row>
    <row r="77" spans="1:16">
      <c r="A77" t="s">
        <v>1473</v>
      </c>
      <c r="B77" s="853">
        <f>MAX(G14,G13,G12,G10)</f>
        <v>1.2</v>
      </c>
      <c r="C77" s="316">
        <f t="shared" si="19"/>
        <v>1.2</v>
      </c>
      <c r="D77" s="316">
        <v>1</v>
      </c>
      <c r="E77" s="316">
        <v>2</v>
      </c>
    </row>
    <row r="78" spans="1:16">
      <c r="A78" t="s">
        <v>253</v>
      </c>
      <c r="B78" s="853">
        <f>MAX(G35:G38)</f>
        <v>0.9</v>
      </c>
      <c r="C78" s="316">
        <f t="shared" si="19"/>
        <v>0.9</v>
      </c>
      <c r="D78" s="316">
        <v>1</v>
      </c>
      <c r="E78" s="316">
        <v>2</v>
      </c>
    </row>
    <row r="79" spans="1:16">
      <c r="A79" t="s">
        <v>2382</v>
      </c>
      <c r="B79" s="853">
        <f>MAX(G19:G23)</f>
        <v>1000</v>
      </c>
      <c r="C79" s="316">
        <f t="shared" si="19"/>
        <v>3</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88" priority="8" operator="containsText" text="Respiratoire">
      <formula>NOT(ISERROR(SEARCH("Respiratoire",A1)))</formula>
    </cfRule>
    <cfRule type="containsText" dxfId="87" priority="9" operator="containsText" text="Uro">
      <formula>NOT(ISERROR(SEARCH("Uro",A1)))</formula>
    </cfRule>
    <cfRule type="containsText" dxfId="86" priority="11" operator="containsText" text="Nerveux">
      <formula>NOT(ISERROR(SEARCH("Nerveux",A1)))</formula>
    </cfRule>
    <cfRule type="containsText" dxfId="85" priority="12" operator="containsText" text="Loco">
      <formula>NOT(ISERROR(SEARCH("Loco",A1)))</formula>
    </cfRule>
    <cfRule type="containsText" dxfId="84" priority="13" operator="containsText" text="Hematologie">
      <formula>NOT(ISERROR(SEARCH("Hematologie",A1)))</formula>
    </cfRule>
    <cfRule type="containsText" dxfId="83" priority="14" operator="containsText" text="Endocrino">
      <formula>NOT(ISERROR(SEARCH("Endocrino",A1)))</formula>
    </cfRule>
    <cfRule type="containsText" dxfId="82" priority="15" operator="containsText" text="Digestif">
      <formula>NOT(ISERROR(SEARCH("Digestif",A1)))</formula>
    </cfRule>
    <cfRule type="containsText" dxfId="81" priority="16" operator="containsText" text="Cardio">
      <formula>NOT(ISERROR(SEARCH("Cardio",A1)))</formula>
    </cfRule>
    <cfRule type="containsText" dxfId="80"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79"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78" priority="4" operator="equal">
      <formula>"Usuel"</formula>
    </cfRule>
    <cfRule type="cellIs" dxfId="77" priority="5" operator="equal">
      <formula>"Alerte"</formula>
    </cfRule>
    <cfRule type="cellIs" dxfId="76" priority="6" operator="equal">
      <formula>"Vigilance"</formula>
    </cfRule>
    <cfRule type="cellIs" dxfId="75"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tabColor rgb="FFFFC000"/>
    <pageSetUpPr fitToPage="1"/>
  </sheetPr>
  <dimension ref="A1:E59"/>
  <sheetViews>
    <sheetView topLeftCell="A15" zoomScale="70" zoomScaleNormal="70" workbookViewId="0">
      <selection activeCell="B41" sqref="B41"/>
    </sheetView>
  </sheetViews>
  <sheetFormatPr defaultColWidth="11.5546875" defaultRowHeight="14.4"/>
  <cols>
    <col min="1" max="1" width="32.44140625" customWidth="1"/>
    <col min="2" max="2" width="10.6640625" style="28"/>
    <col min="3" max="3" width="10.6640625" style="15"/>
    <col min="4" max="4" width="4.44140625" customWidth="1"/>
    <col min="5" max="5" width="7.5546875" customWidth="1"/>
    <col min="16" max="16" width="29.109375" bestFit="1" customWidth="1"/>
  </cols>
  <sheetData>
    <row r="1" spans="1:5">
      <c r="A1" s="22" t="s">
        <v>2684</v>
      </c>
      <c r="B1" s="875"/>
      <c r="C1" s="876"/>
    </row>
    <row r="2" spans="1:5">
      <c r="A2" s="855" t="s">
        <v>1450</v>
      </c>
      <c r="B2" s="883">
        <f>(1-AUTOQUESTIONNAIRE!K149)*3</f>
        <v>0.16071428571428581</v>
      </c>
      <c r="C2" s="884">
        <v>1</v>
      </c>
      <c r="D2" s="885">
        <v>2</v>
      </c>
      <c r="E2" s="885">
        <v>3</v>
      </c>
    </row>
    <row r="3" spans="1:5">
      <c r="A3" t="s">
        <v>1449</v>
      </c>
      <c r="B3" s="883">
        <f>AUTOQUESTIONNAIRE!K134</f>
        <v>0.73529411764705888</v>
      </c>
      <c r="C3" s="884">
        <v>1</v>
      </c>
      <c r="D3" s="885">
        <v>2</v>
      </c>
      <c r="E3" s="885">
        <v>3</v>
      </c>
    </row>
    <row r="4" spans="1:5">
      <c r="A4" s="855" t="s">
        <v>1468</v>
      </c>
      <c r="B4" s="883">
        <f>AUTOQUESTIONNAIRE!K137</f>
        <v>0.75</v>
      </c>
      <c r="C4" s="884">
        <v>1</v>
      </c>
      <c r="D4" s="885">
        <v>2</v>
      </c>
      <c r="E4" s="885">
        <v>3</v>
      </c>
    </row>
    <row r="5" spans="1:5">
      <c r="A5" t="s">
        <v>2384</v>
      </c>
      <c r="B5" s="883">
        <f>AUTOQUESTIONNAIRE!K68</f>
        <v>0.9</v>
      </c>
      <c r="C5" s="884">
        <v>1</v>
      </c>
      <c r="D5" s="885">
        <v>2</v>
      </c>
      <c r="E5" s="885">
        <v>3</v>
      </c>
    </row>
    <row r="6" spans="1:5">
      <c r="A6" s="855" t="s">
        <v>1451</v>
      </c>
      <c r="B6" s="883">
        <f>AUTOQUESTIONNAIRE!K81</f>
        <v>0.94736842105263164</v>
      </c>
      <c r="C6" s="884">
        <v>1</v>
      </c>
      <c r="D6" s="885">
        <v>2</v>
      </c>
      <c r="E6" s="885">
        <v>3</v>
      </c>
    </row>
    <row r="7" spans="1:5">
      <c r="A7" t="s">
        <v>1452</v>
      </c>
      <c r="B7" s="883">
        <f>AUTOQUESTIONNAIRE!K83</f>
        <v>1</v>
      </c>
      <c r="C7" s="884">
        <v>1</v>
      </c>
      <c r="D7" s="885">
        <v>2</v>
      </c>
      <c r="E7" s="885">
        <v>3</v>
      </c>
    </row>
    <row r="8" spans="1:5">
      <c r="A8" s="855" t="s">
        <v>1455</v>
      </c>
      <c r="B8" s="883">
        <f>AUTOQUESTIONNAIRE!K93</f>
        <v>0.9</v>
      </c>
      <c r="C8" s="884">
        <v>1</v>
      </c>
      <c r="D8" s="885">
        <v>2</v>
      </c>
      <c r="E8" s="885">
        <v>3</v>
      </c>
    </row>
    <row r="9" spans="1:5">
      <c r="A9" t="s">
        <v>2383</v>
      </c>
      <c r="B9" s="883">
        <f>AUTOQUESTIONNAIRE!K19</f>
        <v>0</v>
      </c>
      <c r="C9" s="884">
        <v>1</v>
      </c>
      <c r="D9" s="885">
        <v>2</v>
      </c>
      <c r="E9" s="885">
        <v>3</v>
      </c>
    </row>
    <row r="10" spans="1:5">
      <c r="A10" s="855" t="s">
        <v>1453</v>
      </c>
      <c r="B10" s="883">
        <f>AUTOQUESTIONNAIRE!K70</f>
        <v>1</v>
      </c>
      <c r="C10" s="884">
        <v>1</v>
      </c>
      <c r="D10" s="885">
        <v>2</v>
      </c>
      <c r="E10" s="885">
        <v>3</v>
      </c>
    </row>
    <row r="11" spans="1:5">
      <c r="A11" t="s">
        <v>1454</v>
      </c>
      <c r="B11" s="883">
        <f>AUTOQUESTIONNAIRE!K72</f>
        <v>1</v>
      </c>
      <c r="C11" s="884">
        <v>1</v>
      </c>
      <c r="D11" s="885">
        <v>2</v>
      </c>
      <c r="E11" s="885">
        <v>3</v>
      </c>
    </row>
    <row r="12" spans="1:5">
      <c r="A12" s="855" t="s">
        <v>1710</v>
      </c>
      <c r="B12" s="883">
        <f>AUTOQUESTIONNAIRE!K79</f>
        <v>1</v>
      </c>
      <c r="C12" s="884">
        <v>1</v>
      </c>
      <c r="D12" s="885">
        <v>2</v>
      </c>
      <c r="E12" s="885">
        <v>3</v>
      </c>
    </row>
    <row r="13" spans="1:5">
      <c r="A13" t="s">
        <v>2387</v>
      </c>
      <c r="B13" s="883">
        <f>AUTOQUESTIONNAIRE!K159</f>
        <v>1</v>
      </c>
      <c r="C13" s="884">
        <v>1</v>
      </c>
      <c r="D13" s="885">
        <v>2</v>
      </c>
      <c r="E13" s="885">
        <v>3</v>
      </c>
    </row>
    <row r="14" spans="1:5">
      <c r="A14" s="855" t="s">
        <v>2380</v>
      </c>
      <c r="B14" s="883">
        <f>AUTOQUESTIONNAIRE!K57</f>
        <v>0.77777777777777779</v>
      </c>
      <c r="C14" s="884">
        <v>1</v>
      </c>
      <c r="D14" s="885">
        <v>2</v>
      </c>
      <c r="E14" s="885">
        <v>3</v>
      </c>
    </row>
    <row r="15" spans="1:5">
      <c r="A15" t="s">
        <v>2381</v>
      </c>
      <c r="B15" s="883">
        <f>AUTOQUESTIONNAIRE!K58</f>
        <v>0.8</v>
      </c>
      <c r="C15" s="884">
        <v>1</v>
      </c>
      <c r="D15" s="885">
        <v>2</v>
      </c>
      <c r="E15" s="885">
        <v>3</v>
      </c>
    </row>
    <row r="16" spans="1:5">
      <c r="A16" t="s">
        <v>2736</v>
      </c>
      <c r="B16" s="28">
        <f>AUTOQUESTIONNAIRE!K18</f>
        <v>0</v>
      </c>
      <c r="C16" s="884">
        <v>1</v>
      </c>
      <c r="D16" s="885">
        <v>2</v>
      </c>
      <c r="E16" s="885">
        <v>3</v>
      </c>
    </row>
    <row r="19" spans="1:5">
      <c r="A19" s="437" t="s">
        <v>1461</v>
      </c>
    </row>
    <row r="20" spans="1:5">
      <c r="A20" t="s">
        <v>1460</v>
      </c>
      <c r="B20" s="28">
        <f>RRImmédiat!C70</f>
        <v>2.5</v>
      </c>
      <c r="C20" s="15">
        <v>1</v>
      </c>
      <c r="D20">
        <v>2</v>
      </c>
      <c r="E20">
        <v>3</v>
      </c>
    </row>
    <row r="21" spans="1:5">
      <c r="A21" t="s">
        <v>1466</v>
      </c>
      <c r="B21" s="28">
        <f>RRImmédiat!C71</f>
        <v>0.9</v>
      </c>
      <c r="C21" s="15">
        <v>1</v>
      </c>
      <c r="D21">
        <v>2</v>
      </c>
      <c r="E21">
        <v>3</v>
      </c>
    </row>
    <row r="22" spans="1:5">
      <c r="A22" t="s">
        <v>1467</v>
      </c>
      <c r="B22" s="28">
        <f>RRImmédiat!C72</f>
        <v>0.8</v>
      </c>
      <c r="C22" s="15">
        <v>1</v>
      </c>
      <c r="D22">
        <v>2</v>
      </c>
      <c r="E22">
        <v>3</v>
      </c>
    </row>
    <row r="23" spans="1:5">
      <c r="A23" t="s">
        <v>1462</v>
      </c>
      <c r="B23" s="28">
        <f>RRImmédiat!C73</f>
        <v>0.9</v>
      </c>
      <c r="C23" s="15">
        <v>1</v>
      </c>
      <c r="D23">
        <v>2</v>
      </c>
      <c r="E23">
        <v>3</v>
      </c>
    </row>
    <row r="24" spans="1:5">
      <c r="A24" t="s">
        <v>1463</v>
      </c>
      <c r="B24" s="28">
        <f>RRImmédiat!C74</f>
        <v>0.9</v>
      </c>
      <c r="C24" s="15">
        <v>1</v>
      </c>
      <c r="D24">
        <v>2</v>
      </c>
      <c r="E24">
        <v>3</v>
      </c>
    </row>
    <row r="25" spans="1:5">
      <c r="A25" t="s">
        <v>1464</v>
      </c>
      <c r="B25" s="28">
        <f>RRImmédiat!C75</f>
        <v>3</v>
      </c>
      <c r="C25" s="15">
        <v>1</v>
      </c>
      <c r="D25">
        <v>2</v>
      </c>
      <c r="E25">
        <v>3</v>
      </c>
    </row>
    <row r="26" spans="1:5">
      <c r="A26" t="s">
        <v>1465</v>
      </c>
      <c r="B26" s="28">
        <f>RRImmédiat!C76</f>
        <v>2.5</v>
      </c>
      <c r="C26" s="15">
        <v>1</v>
      </c>
      <c r="D26">
        <v>2</v>
      </c>
      <c r="E26">
        <v>3</v>
      </c>
    </row>
    <row r="27" spans="1:5">
      <c r="A27" t="s">
        <v>1473</v>
      </c>
      <c r="B27" s="28">
        <f>RRImmédiat!C77</f>
        <v>1.2</v>
      </c>
      <c r="C27" s="15">
        <v>1</v>
      </c>
      <c r="D27">
        <v>2</v>
      </c>
      <c r="E27">
        <v>3</v>
      </c>
    </row>
    <row r="28" spans="1:5">
      <c r="A28" t="s">
        <v>253</v>
      </c>
      <c r="B28" s="28">
        <f>RRImmédiat!C78</f>
        <v>0.9</v>
      </c>
      <c r="C28" s="15">
        <v>1</v>
      </c>
      <c r="D28">
        <v>2</v>
      </c>
      <c r="E28">
        <v>3</v>
      </c>
    </row>
    <row r="29" spans="1:5">
      <c r="A29" t="s">
        <v>2382</v>
      </c>
      <c r="B29" s="28">
        <f>RRImmédiat!C79</f>
        <v>3</v>
      </c>
      <c r="C29" s="15">
        <v>1</v>
      </c>
      <c r="D29">
        <v>2</v>
      </c>
      <c r="E29">
        <v>3</v>
      </c>
    </row>
    <row r="30" spans="1:5">
      <c r="A30" t="s">
        <v>2388</v>
      </c>
      <c r="B30" s="28">
        <f>IF(AUTOQUESTIONNAIRE!K153=0,1,AUTOQUESTIONNAIRE!K153)</f>
        <v>1.25</v>
      </c>
      <c r="C30" s="15">
        <v>1</v>
      </c>
      <c r="D30">
        <v>2</v>
      </c>
      <c r="E30">
        <v>3</v>
      </c>
    </row>
    <row r="31" spans="1:5">
      <c r="A31" t="s">
        <v>2707</v>
      </c>
      <c r="B31" s="28">
        <f>MAX(1,B2)</f>
        <v>1</v>
      </c>
      <c r="C31" s="15">
        <v>1</v>
      </c>
      <c r="D31">
        <v>2</v>
      </c>
      <c r="E31">
        <v>3</v>
      </c>
    </row>
    <row r="32" spans="1:5">
      <c r="B32"/>
    </row>
    <row r="33" spans="1:5">
      <c r="B33"/>
    </row>
    <row r="34" spans="1:5">
      <c r="B34"/>
    </row>
    <row r="35" spans="1:5">
      <c r="A35" s="437" t="s">
        <v>2684</v>
      </c>
    </row>
    <row r="36" spans="1:5">
      <c r="A36" s="855" t="s">
        <v>2685</v>
      </c>
      <c r="B36" s="28">
        <f>1-B4</f>
        <v>0.25</v>
      </c>
      <c r="C36" s="15">
        <v>0</v>
      </c>
      <c r="D36">
        <v>0.5</v>
      </c>
      <c r="E36">
        <v>1</v>
      </c>
    </row>
    <row r="37" spans="1:5">
      <c r="A37" t="s">
        <v>2690</v>
      </c>
      <c r="B37" s="28">
        <f>1-B5</f>
        <v>9.9999999999999978E-2</v>
      </c>
      <c r="C37" s="15">
        <v>0</v>
      </c>
      <c r="D37">
        <v>0.5</v>
      </c>
      <c r="E37">
        <v>1</v>
      </c>
    </row>
    <row r="38" spans="1:5">
      <c r="A38" s="855" t="s">
        <v>2686</v>
      </c>
      <c r="B38" s="28">
        <f>1-B6</f>
        <v>5.2631578947368363E-2</v>
      </c>
      <c r="C38" s="15">
        <v>0</v>
      </c>
      <c r="D38">
        <v>0.5</v>
      </c>
      <c r="E38">
        <v>1</v>
      </c>
    </row>
    <row r="39" spans="1:5">
      <c r="A39" t="s">
        <v>75</v>
      </c>
      <c r="B39" s="28">
        <f>1-B7</f>
        <v>0</v>
      </c>
      <c r="C39" s="15">
        <v>0</v>
      </c>
      <c r="D39">
        <v>0.5</v>
      </c>
      <c r="E39">
        <v>1</v>
      </c>
    </row>
    <row r="40" spans="1:5">
      <c r="A40" s="855" t="s">
        <v>2691</v>
      </c>
      <c r="B40" s="28">
        <f>1-B8</f>
        <v>9.9999999999999978E-2</v>
      </c>
      <c r="C40" s="15">
        <v>0</v>
      </c>
      <c r="D40">
        <v>0.5</v>
      </c>
      <c r="E40">
        <v>1</v>
      </c>
    </row>
    <row r="41" spans="1:5">
      <c r="A41" t="s">
        <v>2379</v>
      </c>
      <c r="B41" s="28">
        <f>1-(MIN(B9,B13))</f>
        <v>1</v>
      </c>
      <c r="C41" s="15">
        <v>0</v>
      </c>
      <c r="D41">
        <v>0.5</v>
      </c>
      <c r="E41">
        <v>1</v>
      </c>
    </row>
    <row r="42" spans="1:5">
      <c r="A42" s="855" t="s">
        <v>2687</v>
      </c>
      <c r="B42" s="28">
        <f>1-B10</f>
        <v>0</v>
      </c>
      <c r="C42" s="15">
        <v>0</v>
      </c>
      <c r="D42">
        <v>0.5</v>
      </c>
      <c r="E42">
        <v>1</v>
      </c>
    </row>
    <row r="43" spans="1:5">
      <c r="A43" t="s">
        <v>2688</v>
      </c>
      <c r="B43" s="28">
        <f>1-B11</f>
        <v>0</v>
      </c>
      <c r="C43" s="15">
        <v>0</v>
      </c>
      <c r="D43">
        <v>0.5</v>
      </c>
      <c r="E43">
        <v>1</v>
      </c>
    </row>
    <row r="44" spans="1:5">
      <c r="A44" s="855" t="s">
        <v>1939</v>
      </c>
      <c r="B44" s="28">
        <f>1-B12</f>
        <v>0</v>
      </c>
      <c r="C44" s="15">
        <v>0</v>
      </c>
      <c r="D44">
        <v>0.5</v>
      </c>
      <c r="E44">
        <v>1</v>
      </c>
    </row>
    <row r="45" spans="1:5">
      <c r="A45" s="855" t="s">
        <v>2689</v>
      </c>
      <c r="B45" s="28">
        <f>1-MIN(B14,B15)</f>
        <v>0.22222222222222221</v>
      </c>
      <c r="C45" s="15">
        <v>0</v>
      </c>
      <c r="D45">
        <v>0.5</v>
      </c>
      <c r="E45">
        <v>1</v>
      </c>
    </row>
    <row r="46" spans="1:5">
      <c r="A46" s="855" t="s">
        <v>2738</v>
      </c>
      <c r="B46" s="28">
        <f>1-B16</f>
        <v>1</v>
      </c>
      <c r="C46" s="15">
        <v>0</v>
      </c>
      <c r="D46">
        <v>0.5</v>
      </c>
      <c r="E46">
        <v>1</v>
      </c>
    </row>
    <row r="48" spans="1:5">
      <c r="A48" s="893" t="s">
        <v>206</v>
      </c>
      <c r="B48" s="374">
        <f>AUTOQUESTIONNAIRE!H6/0.25</f>
        <v>1.1019283746556474</v>
      </c>
      <c r="C48" s="149">
        <v>1</v>
      </c>
      <c r="D48" s="366">
        <v>2</v>
      </c>
      <c r="E48" s="366">
        <v>3</v>
      </c>
    </row>
    <row r="49" spans="1:5">
      <c r="A49" s="893" t="s">
        <v>2724</v>
      </c>
      <c r="B49" s="374">
        <f>AUTOQUESTIONNAIRE!F218/140</f>
        <v>0.7857142857142857</v>
      </c>
      <c r="C49" s="149">
        <v>1</v>
      </c>
      <c r="D49" s="366">
        <v>2</v>
      </c>
      <c r="E49" s="366">
        <v>3</v>
      </c>
    </row>
    <row r="50" spans="1:5">
      <c r="A50" s="893" t="s">
        <v>2725</v>
      </c>
      <c r="B50" s="374">
        <f>AUTOQUESTIONNAIRE!F219/90</f>
        <v>0.72222222222222221</v>
      </c>
      <c r="C50" s="149">
        <v>1</v>
      </c>
      <c r="D50" s="366">
        <v>2</v>
      </c>
      <c r="E50" s="366">
        <v>3</v>
      </c>
    </row>
    <row r="51" spans="1:5">
      <c r="A51" s="893" t="s">
        <v>2719</v>
      </c>
      <c r="B51" s="374">
        <f>AUTOQUESTIONNAIRE!F217/80</f>
        <v>0.875</v>
      </c>
      <c r="C51" s="149">
        <v>1</v>
      </c>
      <c r="D51" s="366">
        <v>2</v>
      </c>
      <c r="E51" s="366">
        <v>3</v>
      </c>
    </row>
    <row r="52" spans="1:5">
      <c r="A52" s="893" t="s">
        <v>2720</v>
      </c>
      <c r="B52" s="374">
        <f>AUTOQUESTIONNAIRE!G346/30</f>
        <v>0.33333333333333331</v>
      </c>
      <c r="C52" s="149">
        <v>1</v>
      </c>
      <c r="D52" s="366">
        <v>2</v>
      </c>
      <c r="E52" s="366">
        <v>3</v>
      </c>
    </row>
    <row r="53" spans="1:5">
      <c r="A53" s="893" t="s">
        <v>2726</v>
      </c>
      <c r="B53" s="374">
        <f>AUTOQUESTIONNAIRE!G347/20</f>
        <v>2</v>
      </c>
      <c r="C53" s="149">
        <v>1</v>
      </c>
      <c r="D53" s="366">
        <v>2</v>
      </c>
      <c r="E53" s="366">
        <v>3</v>
      </c>
    </row>
    <row r="54" spans="1:5">
      <c r="A54" s="893" t="s">
        <v>2722</v>
      </c>
      <c r="B54" s="374">
        <f>AUTOQUESTIONNAIRE!F228/95</f>
        <v>1.0421052631578946</v>
      </c>
      <c r="C54" s="149">
        <v>1</v>
      </c>
      <c r="D54" s="366">
        <v>2</v>
      </c>
      <c r="E54" s="366">
        <v>3</v>
      </c>
    </row>
    <row r="55" spans="1:5">
      <c r="A55" s="893" t="s">
        <v>2721</v>
      </c>
      <c r="B55" s="374">
        <f>AUTOQUESTIONNAIRE!F233/20</f>
        <v>1</v>
      </c>
      <c r="C55" s="149">
        <v>1</v>
      </c>
      <c r="D55" s="366">
        <v>2</v>
      </c>
      <c r="E55" s="366">
        <v>3</v>
      </c>
    </row>
    <row r="56" spans="1:5">
      <c r="A56" s="893" t="s">
        <v>2723</v>
      </c>
      <c r="B56" s="374">
        <f>AUTOQUESTIONNAIRE!H236</f>
        <v>1</v>
      </c>
      <c r="C56" s="149">
        <v>1</v>
      </c>
      <c r="D56" s="366">
        <v>2</v>
      </c>
      <c r="E56" s="366">
        <v>3</v>
      </c>
    </row>
    <row r="57" spans="1:5">
      <c r="A57" s="893" t="s">
        <v>759</v>
      </c>
      <c r="B57" s="374">
        <f>AUTOQUESTIONNAIRE!F237</f>
        <v>3</v>
      </c>
      <c r="C57" s="149">
        <v>1</v>
      </c>
      <c r="D57" s="366">
        <v>2</v>
      </c>
      <c r="E57" s="366">
        <v>3</v>
      </c>
    </row>
    <row r="58" spans="1:5">
      <c r="A58" s="893" t="s">
        <v>2727</v>
      </c>
      <c r="B58" s="374">
        <f>AUTOQUESTIONNAIRE!I245</f>
        <v>2.5</v>
      </c>
      <c r="C58" s="149">
        <v>1</v>
      </c>
      <c r="D58" s="366">
        <v>2</v>
      </c>
      <c r="E58" s="366">
        <v>3</v>
      </c>
    </row>
    <row r="59" spans="1:5">
      <c r="C59" s="149">
        <v>1</v>
      </c>
      <c r="D59" s="366">
        <v>2</v>
      </c>
      <c r="E59" s="366">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66FF33"/>
    <pageSetUpPr fitToPage="1"/>
  </sheetPr>
  <dimension ref="A1:H148"/>
  <sheetViews>
    <sheetView topLeftCell="A73" zoomScale="64" zoomScaleNormal="64" workbookViewId="0">
      <selection activeCell="B79" sqref="B79"/>
    </sheetView>
  </sheetViews>
  <sheetFormatPr defaultColWidth="10.88671875" defaultRowHeight="21"/>
  <cols>
    <col min="1" max="1" width="69.88671875" style="451" customWidth="1"/>
    <col min="2" max="2" width="16.5546875" style="452" customWidth="1"/>
    <col min="3" max="3" width="144.44140625" style="453" customWidth="1"/>
    <col min="4" max="4" width="11.88671875" style="470" customWidth="1"/>
    <col min="5" max="5" width="15.77734375" style="451" customWidth="1"/>
    <col min="6" max="6" width="15.5546875" style="451" customWidth="1"/>
    <col min="7" max="7" width="17.109375" style="451" customWidth="1"/>
    <col min="8" max="16384" width="10.88671875" style="451"/>
  </cols>
  <sheetData>
    <row r="1" spans="1:8" ht="35.700000000000003" customHeight="1">
      <c r="A1" s="451" t="s">
        <v>98</v>
      </c>
      <c r="B1" s="452" t="s">
        <v>360</v>
      </c>
      <c r="C1" s="453" t="s">
        <v>300</v>
      </c>
      <c r="D1" s="706" t="s">
        <v>2065</v>
      </c>
      <c r="F1" s="451" t="s">
        <v>361</v>
      </c>
    </row>
    <row r="2" spans="1:8" s="461" customFormat="1">
      <c r="A2" s="454" t="s">
        <v>291</v>
      </c>
      <c r="B2" s="455"/>
      <c r="C2" s="456"/>
      <c r="D2" s="706"/>
      <c r="E2" s="457" t="s">
        <v>362</v>
      </c>
      <c r="F2" s="458" t="s">
        <v>364</v>
      </c>
      <c r="G2" s="459" t="s">
        <v>363</v>
      </c>
      <c r="H2" s="460" t="s">
        <v>502</v>
      </c>
    </row>
    <row r="3" spans="1:8" s="461" customFormat="1" ht="105">
      <c r="A3" s="462" t="s">
        <v>503</v>
      </c>
      <c r="B3" s="455">
        <f>'Import Biologie'!E57</f>
        <v>61.25</v>
      </c>
      <c r="C3" s="463" t="s">
        <v>313</v>
      </c>
      <c r="D3" s="706" t="s">
        <v>2069</v>
      </c>
      <c r="E3" s="451"/>
      <c r="F3" s="451" t="s">
        <v>365</v>
      </c>
      <c r="G3" s="451"/>
      <c r="H3" s="460"/>
    </row>
    <row r="4" spans="1:8" ht="105">
      <c r="A4" s="464" t="s">
        <v>292</v>
      </c>
      <c r="B4" s="452">
        <f>'Import Question'!H77</f>
        <v>0.27548209366391185</v>
      </c>
      <c r="C4" s="453" t="s">
        <v>275</v>
      </c>
      <c r="D4" s="706" t="s">
        <v>2069</v>
      </c>
      <c r="E4" s="457" t="s">
        <v>368</v>
      </c>
      <c r="F4" s="458" t="s">
        <v>367</v>
      </c>
      <c r="G4" s="459" t="s">
        <v>366</v>
      </c>
      <c r="H4" s="460" t="s">
        <v>502</v>
      </c>
    </row>
    <row r="5" spans="1:8" ht="105">
      <c r="A5" s="464" t="s">
        <v>504</v>
      </c>
      <c r="B5" s="452">
        <f>('Import Question'!F79)*'Import Question'!H3</f>
        <v>0</v>
      </c>
      <c r="C5" s="465" t="s">
        <v>375</v>
      </c>
      <c r="D5" s="821" t="s">
        <v>2069</v>
      </c>
      <c r="E5" s="457" t="s">
        <v>371</v>
      </c>
      <c r="F5" s="458" t="s">
        <v>370</v>
      </c>
      <c r="G5" s="459" t="s">
        <v>369</v>
      </c>
      <c r="H5" s="460" t="s">
        <v>502</v>
      </c>
    </row>
    <row r="6" spans="1:8" ht="105">
      <c r="A6" s="464" t="s">
        <v>505</v>
      </c>
      <c r="B6" s="466">
        <f>('Import Question'!F79)*'Import Question'!H4</f>
        <v>0</v>
      </c>
      <c r="C6" s="465" t="s">
        <v>376</v>
      </c>
      <c r="D6" s="822" t="s">
        <v>2069</v>
      </c>
      <c r="E6" s="457" t="s">
        <v>372</v>
      </c>
      <c r="F6" s="458" t="s">
        <v>373</v>
      </c>
      <c r="G6" s="459" t="s">
        <v>374</v>
      </c>
      <c r="H6" s="460" t="s">
        <v>502</v>
      </c>
    </row>
    <row r="7" spans="1:8" ht="84">
      <c r="A7" s="454" t="s">
        <v>506</v>
      </c>
      <c r="B7" s="452">
        <f>'Import Question'!F80</f>
        <v>110</v>
      </c>
      <c r="C7" s="465" t="s">
        <v>276</v>
      </c>
      <c r="D7" s="706" t="s">
        <v>2076</v>
      </c>
      <c r="E7" s="457" t="s">
        <v>377</v>
      </c>
      <c r="F7" s="458" t="s">
        <v>378</v>
      </c>
      <c r="G7" s="459" t="s">
        <v>379</v>
      </c>
      <c r="H7" s="460" t="s">
        <v>502</v>
      </c>
    </row>
    <row r="8" spans="1:8" ht="84">
      <c r="A8" s="454" t="s">
        <v>507</v>
      </c>
      <c r="B8" s="452">
        <f>'Import Question'!F81</f>
        <v>65</v>
      </c>
      <c r="C8" s="465" t="s">
        <v>277</v>
      </c>
      <c r="D8" s="706" t="s">
        <v>2076</v>
      </c>
      <c r="E8" s="457" t="s">
        <v>372</v>
      </c>
      <c r="F8" s="458" t="s">
        <v>380</v>
      </c>
      <c r="G8" s="459" t="s">
        <v>381</v>
      </c>
      <c r="H8" s="460" t="s">
        <v>502</v>
      </c>
    </row>
    <row r="9" spans="1:8" s="471" customFormat="1">
      <c r="A9" s="467" t="s">
        <v>232</v>
      </c>
      <c r="B9" s="468"/>
      <c r="C9" s="469"/>
      <c r="D9" s="470"/>
      <c r="E9" s="451"/>
      <c r="F9" s="451"/>
      <c r="G9" s="451"/>
      <c r="H9" s="470"/>
    </row>
    <row r="10" spans="1:8" ht="105">
      <c r="A10" s="472" t="s">
        <v>594</v>
      </c>
      <c r="B10" s="452">
        <f>'Import Biologie'!H57</f>
        <v>1.53125</v>
      </c>
      <c r="C10" s="463" t="s">
        <v>278</v>
      </c>
      <c r="D10" s="706" t="s">
        <v>2071</v>
      </c>
      <c r="F10" s="451" t="s">
        <v>365</v>
      </c>
      <c r="H10" s="460" t="s">
        <v>502</v>
      </c>
    </row>
    <row r="11" spans="1:8" ht="105">
      <c r="A11" s="472" t="s">
        <v>598</v>
      </c>
      <c r="B11" s="452">
        <f>B10*0.86</f>
        <v>1.316875</v>
      </c>
      <c r="C11" s="463" t="s">
        <v>279</v>
      </c>
      <c r="D11" s="706" t="s">
        <v>2071</v>
      </c>
      <c r="F11" s="451" t="s">
        <v>365</v>
      </c>
      <c r="H11" s="460" t="s">
        <v>502</v>
      </c>
    </row>
    <row r="12" spans="1:8" ht="105">
      <c r="A12" s="472" t="s">
        <v>595</v>
      </c>
      <c r="B12" s="452">
        <f>B10*1.14</f>
        <v>1.7456249999999998</v>
      </c>
      <c r="C12" s="463" t="s">
        <v>280</v>
      </c>
      <c r="D12" s="706" t="s">
        <v>2071</v>
      </c>
      <c r="F12" s="451" t="s">
        <v>365</v>
      </c>
      <c r="H12" s="460" t="s">
        <v>502</v>
      </c>
    </row>
    <row r="13" spans="1:8" ht="84">
      <c r="A13" s="473" t="s">
        <v>293</v>
      </c>
      <c r="B13" s="474">
        <f>'Import Biologie'!C41</f>
        <v>0</v>
      </c>
      <c r="C13" s="453" t="s">
        <v>385</v>
      </c>
      <c r="D13" s="706" t="s">
        <v>2072</v>
      </c>
      <c r="E13" s="457" t="s">
        <v>382</v>
      </c>
      <c r="F13" s="458" t="s">
        <v>384</v>
      </c>
      <c r="G13" s="459" t="s">
        <v>383</v>
      </c>
      <c r="H13" s="460" t="s">
        <v>502</v>
      </c>
    </row>
    <row r="14" spans="1:8" ht="105">
      <c r="A14" s="472" t="s">
        <v>508</v>
      </c>
      <c r="B14" s="474">
        <f>'Import Biologie'!C35</f>
        <v>0</v>
      </c>
      <c r="C14" s="465" t="s">
        <v>389</v>
      </c>
      <c r="D14" s="706" t="s">
        <v>2071</v>
      </c>
      <c r="E14" s="457" t="s">
        <v>386</v>
      </c>
      <c r="F14" s="458" t="s">
        <v>387</v>
      </c>
      <c r="G14" s="459" t="s">
        <v>388</v>
      </c>
      <c r="H14" s="460" t="s">
        <v>502</v>
      </c>
    </row>
    <row r="15" spans="1:8" s="478" customFormat="1">
      <c r="A15" s="475" t="s">
        <v>294</v>
      </c>
      <c r="B15" s="476"/>
      <c r="C15" s="477"/>
      <c r="D15" s="470"/>
      <c r="E15" s="451"/>
      <c r="F15" s="451"/>
      <c r="G15" s="451"/>
      <c r="H15" s="470"/>
    </row>
    <row r="16" spans="1:8" ht="105">
      <c r="A16" s="479" t="s">
        <v>509</v>
      </c>
      <c r="B16" s="452">
        <f>'Import Biologie'!H38/8.5</f>
        <v>0.11764705882352941</v>
      </c>
      <c r="C16" s="480" t="s">
        <v>393</v>
      </c>
      <c r="D16" s="706" t="s">
        <v>2069</v>
      </c>
      <c r="E16" s="457" t="s">
        <v>392</v>
      </c>
      <c r="F16" s="458" t="s">
        <v>391</v>
      </c>
      <c r="G16" s="459" t="s">
        <v>390</v>
      </c>
      <c r="H16" s="460" t="s">
        <v>502</v>
      </c>
    </row>
    <row r="17" spans="1:8" ht="84">
      <c r="A17" s="479" t="s">
        <v>510</v>
      </c>
      <c r="B17" s="452">
        <f>('Import Question'!H140/12)</f>
        <v>0</v>
      </c>
      <c r="C17" s="480" t="s">
        <v>596</v>
      </c>
      <c r="D17" s="706" t="s">
        <v>2073</v>
      </c>
      <c r="E17" s="457" t="s">
        <v>395</v>
      </c>
      <c r="F17" s="458" t="s">
        <v>394</v>
      </c>
      <c r="G17" s="459" t="s">
        <v>390</v>
      </c>
      <c r="H17" s="460" t="s">
        <v>502</v>
      </c>
    </row>
    <row r="18" spans="1:8" s="484" customFormat="1">
      <c r="A18" s="481" t="s">
        <v>295</v>
      </c>
      <c r="B18" s="482"/>
      <c r="C18" s="483"/>
      <c r="D18" s="470"/>
      <c r="E18" s="457"/>
      <c r="F18" s="458"/>
      <c r="G18" s="459"/>
      <c r="H18" s="460" t="s">
        <v>502</v>
      </c>
    </row>
    <row r="19" spans="1:8" ht="147">
      <c r="A19" s="485" t="s">
        <v>511</v>
      </c>
      <c r="B19" s="466">
        <f>'Import Biologie'!C2</f>
        <v>0</v>
      </c>
      <c r="C19" s="480" t="s">
        <v>544</v>
      </c>
      <c r="D19" s="706" t="s">
        <v>2070</v>
      </c>
      <c r="E19" s="457" t="s">
        <v>547</v>
      </c>
      <c r="F19" s="458" t="s">
        <v>548</v>
      </c>
      <c r="G19" s="459" t="s">
        <v>451</v>
      </c>
      <c r="H19" s="460" t="s">
        <v>502</v>
      </c>
    </row>
    <row r="20" spans="1:8" ht="147">
      <c r="A20" s="485" t="s">
        <v>512</v>
      </c>
      <c r="B20" s="486">
        <f>'Import Biologie'!C3</f>
        <v>0</v>
      </c>
      <c r="C20" s="465" t="s">
        <v>397</v>
      </c>
      <c r="D20" s="706" t="s">
        <v>2070</v>
      </c>
      <c r="E20" s="457" t="s">
        <v>398</v>
      </c>
      <c r="F20" s="458"/>
      <c r="G20" s="459"/>
      <c r="H20" s="460" t="s">
        <v>502</v>
      </c>
    </row>
    <row r="21" spans="1:8" ht="147">
      <c r="A21" s="485" t="s">
        <v>513</v>
      </c>
      <c r="B21" s="452">
        <f>'Import Biologie'!C4</f>
        <v>0</v>
      </c>
      <c r="C21" s="465" t="s">
        <v>405</v>
      </c>
      <c r="D21" s="706" t="s">
        <v>2070</v>
      </c>
      <c r="E21" s="457" t="s">
        <v>407</v>
      </c>
      <c r="F21" s="458" t="s">
        <v>408</v>
      </c>
      <c r="G21" s="459" t="s">
        <v>406</v>
      </c>
      <c r="H21" s="460" t="s">
        <v>502</v>
      </c>
    </row>
    <row r="22" spans="1:8" ht="147">
      <c r="A22" s="485" t="s">
        <v>514</v>
      </c>
      <c r="B22" s="452">
        <f>'Import Biologie'!C5</f>
        <v>0</v>
      </c>
      <c r="C22" s="465" t="s">
        <v>281</v>
      </c>
      <c r="D22" s="706" t="s">
        <v>2070</v>
      </c>
      <c r="E22" s="457" t="s">
        <v>399</v>
      </c>
      <c r="F22" s="458" t="s">
        <v>403</v>
      </c>
      <c r="G22" s="459" t="s">
        <v>404</v>
      </c>
      <c r="H22" s="460" t="s">
        <v>502</v>
      </c>
    </row>
    <row r="23" spans="1:8" ht="147">
      <c r="A23" s="485" t="s">
        <v>515</v>
      </c>
      <c r="B23" s="452">
        <f>'Import Biologie'!C6</f>
        <v>0</v>
      </c>
      <c r="C23" s="465" t="s">
        <v>282</v>
      </c>
      <c r="D23" s="706" t="s">
        <v>2070</v>
      </c>
      <c r="E23" s="457" t="s">
        <v>400</v>
      </c>
      <c r="F23" s="458" t="s">
        <v>401</v>
      </c>
      <c r="G23" s="459" t="s">
        <v>402</v>
      </c>
      <c r="H23" s="460" t="s">
        <v>502</v>
      </c>
    </row>
    <row r="24" spans="1:8" ht="126">
      <c r="A24" s="485" t="s">
        <v>516</v>
      </c>
      <c r="B24" s="486">
        <f>'Import Biologie'!C7</f>
        <v>0</v>
      </c>
      <c r="C24" s="465" t="s">
        <v>283</v>
      </c>
      <c r="D24" s="706" t="s">
        <v>1055</v>
      </c>
      <c r="E24" s="457" t="s">
        <v>398</v>
      </c>
      <c r="F24" s="487" t="s">
        <v>413</v>
      </c>
      <c r="G24" s="459" t="s">
        <v>409</v>
      </c>
      <c r="H24" s="460" t="s">
        <v>502</v>
      </c>
    </row>
    <row r="25" spans="1:8" ht="63">
      <c r="A25" s="485" t="s">
        <v>517</v>
      </c>
      <c r="B25" s="466" t="str">
        <f>'Import Biologie'!H27</f>
        <v>L</v>
      </c>
      <c r="C25" s="480" t="s">
        <v>410</v>
      </c>
      <c r="D25" s="706" t="s">
        <v>1055</v>
      </c>
      <c r="E25" s="466" t="s">
        <v>412</v>
      </c>
      <c r="F25" s="458" t="s">
        <v>414</v>
      </c>
      <c r="G25" s="459" t="s">
        <v>411</v>
      </c>
      <c r="H25" s="460" t="s">
        <v>502</v>
      </c>
    </row>
    <row r="26" spans="1:8" ht="63">
      <c r="A26" s="485" t="s">
        <v>518</v>
      </c>
      <c r="B26" s="474">
        <f>'Import Biologie'!H26</f>
        <v>0</v>
      </c>
      <c r="C26" s="453" t="s">
        <v>415</v>
      </c>
      <c r="D26" s="706" t="s">
        <v>1055</v>
      </c>
      <c r="E26" s="457" t="s">
        <v>416</v>
      </c>
      <c r="F26" s="458" t="s">
        <v>417</v>
      </c>
      <c r="G26" s="459" t="s">
        <v>418</v>
      </c>
      <c r="H26" s="460" t="s">
        <v>502</v>
      </c>
    </row>
    <row r="27" spans="1:8" ht="147">
      <c r="A27" s="485" t="s">
        <v>519</v>
      </c>
      <c r="B27" s="474">
        <f>'Import Biologie'!C10</f>
        <v>0</v>
      </c>
      <c r="C27" s="465" t="s">
        <v>284</v>
      </c>
      <c r="D27" s="706" t="s">
        <v>2070</v>
      </c>
      <c r="E27" s="457" t="s">
        <v>419</v>
      </c>
      <c r="F27" s="458" t="s">
        <v>421</v>
      </c>
      <c r="G27" s="459" t="s">
        <v>420</v>
      </c>
      <c r="H27" s="460" t="s">
        <v>502</v>
      </c>
    </row>
    <row r="28" spans="1:8" ht="147">
      <c r="A28" s="473" t="s">
        <v>333</v>
      </c>
      <c r="B28" s="488">
        <f>'Import Biologie'!C9</f>
        <v>0</v>
      </c>
      <c r="C28" s="453" t="s">
        <v>425</v>
      </c>
      <c r="D28" s="706" t="s">
        <v>2070</v>
      </c>
      <c r="E28" s="457" t="s">
        <v>422</v>
      </c>
      <c r="F28" s="458" t="s">
        <v>424</v>
      </c>
      <c r="G28" s="459" t="s">
        <v>423</v>
      </c>
      <c r="H28" s="460" t="s">
        <v>502</v>
      </c>
    </row>
    <row r="29" spans="1:8" ht="105">
      <c r="A29" s="489" t="s">
        <v>1</v>
      </c>
      <c r="B29" s="452">
        <f>'Import Biologie'!C11</f>
        <v>0</v>
      </c>
      <c r="C29" s="480" t="s">
        <v>343</v>
      </c>
      <c r="D29" s="821" t="s">
        <v>1076</v>
      </c>
      <c r="E29" s="457" t="s">
        <v>426</v>
      </c>
      <c r="F29" s="487" t="s">
        <v>428</v>
      </c>
      <c r="G29" s="459" t="s">
        <v>427</v>
      </c>
      <c r="H29" s="460" t="s">
        <v>502</v>
      </c>
    </row>
    <row r="30" spans="1:8" ht="105">
      <c r="A30" s="485" t="s">
        <v>520</v>
      </c>
      <c r="B30" s="474">
        <f>'Import Biologie'!C12</f>
        <v>0</v>
      </c>
      <c r="C30" s="465" t="s">
        <v>430</v>
      </c>
      <c r="D30" s="706" t="s">
        <v>1050</v>
      </c>
      <c r="E30" s="490" t="s">
        <v>429</v>
      </c>
      <c r="F30" s="458" t="s">
        <v>438</v>
      </c>
      <c r="G30" s="459" t="s">
        <v>439</v>
      </c>
      <c r="H30" s="460" t="s">
        <v>502</v>
      </c>
    </row>
    <row r="31" spans="1:8" ht="63">
      <c r="A31" s="473" t="s">
        <v>296</v>
      </c>
      <c r="B31" s="488">
        <f>'Import Biologie'!C13</f>
        <v>0</v>
      </c>
      <c r="C31" s="465" t="s">
        <v>433</v>
      </c>
      <c r="D31" s="706" t="s">
        <v>1050</v>
      </c>
      <c r="E31" s="457" t="s">
        <v>432</v>
      </c>
      <c r="F31" s="458" t="s">
        <v>434</v>
      </c>
      <c r="G31" s="459" t="s">
        <v>431</v>
      </c>
      <c r="H31" s="460" t="s">
        <v>502</v>
      </c>
    </row>
    <row r="32" spans="1:8" ht="63">
      <c r="A32" s="473" t="s">
        <v>297</v>
      </c>
      <c r="B32" s="488">
        <f>'Import Biologie'!C14</f>
        <v>0</v>
      </c>
      <c r="C32" s="465" t="s">
        <v>435</v>
      </c>
      <c r="D32" s="706" t="s">
        <v>1050</v>
      </c>
      <c r="E32" s="457" t="s">
        <v>436</v>
      </c>
      <c r="F32" s="458" t="s">
        <v>437</v>
      </c>
      <c r="G32" s="459"/>
      <c r="H32" s="460" t="s">
        <v>502</v>
      </c>
    </row>
    <row r="33" spans="1:8" ht="63">
      <c r="A33" s="485" t="s">
        <v>1585</v>
      </c>
      <c r="B33" s="474">
        <f>'Import Biologie'!C15</f>
        <v>0</v>
      </c>
      <c r="C33" s="465" t="s">
        <v>441</v>
      </c>
      <c r="D33" s="706" t="s">
        <v>1050</v>
      </c>
      <c r="E33" s="457" t="s">
        <v>440</v>
      </c>
      <c r="F33" s="458" t="s">
        <v>443</v>
      </c>
      <c r="G33" s="459" t="s">
        <v>442</v>
      </c>
      <c r="H33" s="460" t="s">
        <v>502</v>
      </c>
    </row>
    <row r="34" spans="1:8" ht="63">
      <c r="A34" s="485" t="s">
        <v>1586</v>
      </c>
      <c r="B34" s="474">
        <f>'Import Biologie'!C16</f>
        <v>0</v>
      </c>
      <c r="C34" s="465" t="s">
        <v>444</v>
      </c>
      <c r="D34" s="706" t="s">
        <v>1050</v>
      </c>
      <c r="E34" s="457" t="s">
        <v>446</v>
      </c>
      <c r="F34" s="458"/>
      <c r="G34" s="459" t="s">
        <v>450</v>
      </c>
      <c r="H34" s="460" t="s">
        <v>502</v>
      </c>
    </row>
    <row r="35" spans="1:8" ht="63">
      <c r="A35" s="473" t="s">
        <v>1587</v>
      </c>
      <c r="B35" s="488">
        <f>'Import Biologie'!C17</f>
        <v>0</v>
      </c>
      <c r="C35" s="465" t="s">
        <v>445</v>
      </c>
      <c r="D35" s="706" t="s">
        <v>1050</v>
      </c>
      <c r="E35" s="457" t="s">
        <v>447</v>
      </c>
      <c r="F35" s="458"/>
      <c r="G35" s="459" t="s">
        <v>451</v>
      </c>
      <c r="H35" s="460" t="s">
        <v>502</v>
      </c>
    </row>
    <row r="36" spans="1:8" ht="84">
      <c r="A36" s="485" t="s">
        <v>1588</v>
      </c>
      <c r="B36" s="474">
        <f>'Import Biologie'!C18</f>
        <v>0</v>
      </c>
      <c r="C36" s="465" t="s">
        <v>452</v>
      </c>
      <c r="D36" s="706" t="s">
        <v>1050</v>
      </c>
      <c r="E36" s="457" t="s">
        <v>448</v>
      </c>
      <c r="F36" s="458" t="s">
        <v>453</v>
      </c>
      <c r="G36" s="459" t="s">
        <v>454</v>
      </c>
      <c r="H36" s="460" t="s">
        <v>502</v>
      </c>
    </row>
    <row r="37" spans="1:8" ht="63">
      <c r="A37" s="485" t="s">
        <v>1589</v>
      </c>
      <c r="B37" s="474">
        <f>'Import Biologie'!C19</f>
        <v>0</v>
      </c>
      <c r="C37" s="465" t="s">
        <v>455</v>
      </c>
      <c r="D37" s="706" t="s">
        <v>1050</v>
      </c>
      <c r="E37" s="457" t="s">
        <v>449</v>
      </c>
      <c r="F37" s="458" t="s">
        <v>457</v>
      </c>
      <c r="G37" s="459" t="s">
        <v>456</v>
      </c>
      <c r="H37" s="460" t="s">
        <v>502</v>
      </c>
    </row>
    <row r="38" spans="1:8" ht="126">
      <c r="A38" s="485" t="s">
        <v>8</v>
      </c>
      <c r="B38" s="474">
        <f>'Import Biologie'!C21</f>
        <v>0</v>
      </c>
      <c r="C38" s="465" t="s">
        <v>521</v>
      </c>
      <c r="D38" s="706" t="s">
        <v>1050</v>
      </c>
      <c r="E38" s="457" t="s">
        <v>459</v>
      </c>
      <c r="F38" s="458" t="s">
        <v>460</v>
      </c>
      <c r="G38" s="459" t="s">
        <v>461</v>
      </c>
      <c r="H38" s="460" t="s">
        <v>502</v>
      </c>
    </row>
    <row r="39" spans="1:8" ht="126">
      <c r="A39" s="491" t="s">
        <v>17</v>
      </c>
      <c r="B39" s="466">
        <f>'Import Biologie'!C23</f>
        <v>0</v>
      </c>
      <c r="C39" s="465" t="s">
        <v>285</v>
      </c>
      <c r="D39" s="706" t="s">
        <v>1059</v>
      </c>
      <c r="E39" s="490" t="s">
        <v>464</v>
      </c>
      <c r="F39" s="458" t="s">
        <v>466</v>
      </c>
      <c r="G39" s="459" t="s">
        <v>465</v>
      </c>
      <c r="H39" s="460" t="s">
        <v>502</v>
      </c>
    </row>
    <row r="40" spans="1:8" ht="126">
      <c r="A40" s="491" t="s">
        <v>18</v>
      </c>
      <c r="B40" s="466">
        <f>'Import Biologie'!C24</f>
        <v>0</v>
      </c>
      <c r="C40" s="465" t="s">
        <v>286</v>
      </c>
      <c r="D40" s="706" t="s">
        <v>1059</v>
      </c>
      <c r="E40" s="490" t="s">
        <v>464</v>
      </c>
      <c r="F40" s="458" t="s">
        <v>463</v>
      </c>
      <c r="G40" s="459" t="s">
        <v>462</v>
      </c>
      <c r="H40" s="460" t="s">
        <v>502</v>
      </c>
    </row>
    <row r="41" spans="1:8" ht="63">
      <c r="A41" s="491" t="s">
        <v>522</v>
      </c>
      <c r="B41" s="466">
        <f>'Import Biologie'!C25</f>
        <v>0</v>
      </c>
      <c r="C41" s="492" t="s">
        <v>287</v>
      </c>
      <c r="D41" s="706" t="s">
        <v>1059</v>
      </c>
      <c r="E41" s="457" t="s">
        <v>467</v>
      </c>
      <c r="F41" s="458" t="s">
        <v>468</v>
      </c>
      <c r="G41" s="459" t="s">
        <v>469</v>
      </c>
      <c r="H41" s="460" t="s">
        <v>502</v>
      </c>
    </row>
    <row r="42" spans="1:8" ht="63">
      <c r="A42" s="491" t="s">
        <v>593</v>
      </c>
      <c r="B42" s="466" t="e">
        <f>B39/B40</f>
        <v>#DIV/0!</v>
      </c>
      <c r="C42" s="463" t="s">
        <v>328</v>
      </c>
      <c r="D42" s="706" t="s">
        <v>1059</v>
      </c>
      <c r="E42" s="457" t="s">
        <v>472</v>
      </c>
      <c r="F42" s="458" t="s">
        <v>470</v>
      </c>
      <c r="G42" s="459" t="s">
        <v>471</v>
      </c>
      <c r="H42" s="460" t="s">
        <v>502</v>
      </c>
    </row>
    <row r="43" spans="1:8" ht="63">
      <c r="A43" s="491" t="s">
        <v>239</v>
      </c>
      <c r="B43" s="466" t="e">
        <f>'Import Biologie'!H30</f>
        <v>#DIV/0!</v>
      </c>
      <c r="C43" s="453" t="s">
        <v>329</v>
      </c>
      <c r="D43" s="706" t="s">
        <v>1059</v>
      </c>
      <c r="E43" s="457" t="s">
        <v>473</v>
      </c>
      <c r="F43" s="458" t="s">
        <v>474</v>
      </c>
      <c r="G43" s="459" t="s">
        <v>475</v>
      </c>
      <c r="H43" s="460" t="s">
        <v>502</v>
      </c>
    </row>
    <row r="44" spans="1:8" ht="63">
      <c r="A44" s="493" t="s">
        <v>523</v>
      </c>
      <c r="B44" s="474">
        <f>'Import Biologie'!C31</f>
        <v>0</v>
      </c>
      <c r="C44" s="453" t="s">
        <v>1590</v>
      </c>
      <c r="D44" s="706" t="s">
        <v>2068</v>
      </c>
      <c r="E44" s="457" t="s">
        <v>476</v>
      </c>
      <c r="F44" s="458"/>
      <c r="G44" s="459" t="s">
        <v>477</v>
      </c>
      <c r="H44" s="460" t="s">
        <v>502</v>
      </c>
    </row>
    <row r="45" spans="1:8" ht="147">
      <c r="A45" s="481" t="s">
        <v>524</v>
      </c>
      <c r="B45" s="486">
        <f>'Import Biologie'!C33</f>
        <v>0</v>
      </c>
      <c r="C45" s="465" t="s">
        <v>344</v>
      </c>
      <c r="D45" s="706" t="s">
        <v>2072</v>
      </c>
      <c r="E45" s="457" t="s">
        <v>478</v>
      </c>
      <c r="F45" s="458" t="s">
        <v>479</v>
      </c>
      <c r="G45" s="459" t="s">
        <v>480</v>
      </c>
      <c r="H45" s="460" t="s">
        <v>502</v>
      </c>
    </row>
    <row r="46" spans="1:8" ht="84">
      <c r="A46" s="493" t="s">
        <v>525</v>
      </c>
      <c r="B46" s="466">
        <f>'Import Biologie'!C36</f>
        <v>0</v>
      </c>
      <c r="C46" s="465" t="s">
        <v>288</v>
      </c>
      <c r="D46" s="706" t="s">
        <v>2072</v>
      </c>
      <c r="E46" s="457" t="s">
        <v>481</v>
      </c>
      <c r="F46" s="494" t="s">
        <v>569</v>
      </c>
      <c r="G46" s="459" t="s">
        <v>482</v>
      </c>
      <c r="H46" s="460" t="s">
        <v>502</v>
      </c>
    </row>
    <row r="47" spans="1:8" ht="42">
      <c r="A47" s="493" t="s">
        <v>526</v>
      </c>
      <c r="B47" s="452">
        <f>'Import Biologie'!C37</f>
        <v>0</v>
      </c>
      <c r="C47" s="465" t="s">
        <v>289</v>
      </c>
      <c r="D47" s="706" t="s">
        <v>2072</v>
      </c>
      <c r="E47" s="457" t="s">
        <v>483</v>
      </c>
      <c r="F47" s="458" t="s">
        <v>484</v>
      </c>
      <c r="G47" s="459" t="s">
        <v>396</v>
      </c>
      <c r="H47" s="460" t="s">
        <v>502</v>
      </c>
    </row>
    <row r="48" spans="1:8" ht="42">
      <c r="A48" s="484" t="s">
        <v>527</v>
      </c>
      <c r="B48" s="495">
        <f>'Import Biologie'!H35</f>
        <v>1</v>
      </c>
      <c r="C48" s="496" t="s">
        <v>312</v>
      </c>
      <c r="D48" s="706" t="s">
        <v>2072</v>
      </c>
      <c r="E48" s="457" t="s">
        <v>400</v>
      </c>
      <c r="F48" s="458" t="s">
        <v>485</v>
      </c>
      <c r="G48" s="459" t="s">
        <v>471</v>
      </c>
      <c r="H48" s="460" t="s">
        <v>502</v>
      </c>
    </row>
    <row r="49" spans="1:8" ht="63">
      <c r="A49" s="489" t="s">
        <v>528</v>
      </c>
      <c r="B49" s="466" t="e">
        <f>'Import Biologie'!J29</f>
        <v>#DIV/0!</v>
      </c>
      <c r="C49" s="465" t="s">
        <v>332</v>
      </c>
      <c r="D49" s="821" t="s">
        <v>1076</v>
      </c>
      <c r="E49" s="457" t="s">
        <v>492</v>
      </c>
      <c r="F49" s="458" t="s">
        <v>493</v>
      </c>
      <c r="G49" s="459" t="s">
        <v>494</v>
      </c>
      <c r="H49" s="460" t="s">
        <v>502</v>
      </c>
    </row>
    <row r="50" spans="1:8" ht="63">
      <c r="A50" s="489" t="s">
        <v>529</v>
      </c>
      <c r="B50" s="466">
        <f>'Import Biologie'!H32</f>
        <v>0</v>
      </c>
      <c r="C50" s="465" t="s">
        <v>501</v>
      </c>
      <c r="D50" s="821" t="s">
        <v>1076</v>
      </c>
      <c r="E50" s="457" t="s">
        <v>426</v>
      </c>
      <c r="F50" s="487" t="s">
        <v>428</v>
      </c>
      <c r="G50" s="459" t="s">
        <v>427</v>
      </c>
      <c r="H50" s="460" t="s">
        <v>502</v>
      </c>
    </row>
    <row r="51" spans="1:8" ht="63">
      <c r="A51" s="493" t="s">
        <v>530</v>
      </c>
      <c r="B51" s="466" t="e">
        <f>'Import Biologie'!C60</f>
        <v>#DIV/0!</v>
      </c>
      <c r="C51" s="465" t="s">
        <v>290</v>
      </c>
      <c r="D51" s="706" t="s">
        <v>1050</v>
      </c>
      <c r="E51" s="457" t="s">
        <v>495</v>
      </c>
      <c r="F51" s="458" t="s">
        <v>496</v>
      </c>
      <c r="G51" s="459"/>
      <c r="H51" s="460" t="s">
        <v>502</v>
      </c>
    </row>
    <row r="52" spans="1:8" ht="63">
      <c r="A52" s="484" t="s">
        <v>531</v>
      </c>
      <c r="B52" s="486">
        <f>'Import Biologie'!C30</f>
        <v>0</v>
      </c>
      <c r="C52" s="453" t="s">
        <v>498</v>
      </c>
      <c r="D52" s="706" t="s">
        <v>2074</v>
      </c>
      <c r="E52" s="457" t="s">
        <v>499</v>
      </c>
      <c r="F52" s="458" t="s">
        <v>500</v>
      </c>
      <c r="G52" s="459" t="s">
        <v>458</v>
      </c>
      <c r="H52" s="460" t="s">
        <v>502</v>
      </c>
    </row>
    <row r="53" spans="1:8" s="500" customFormat="1">
      <c r="A53" s="497"/>
      <c r="B53" s="498"/>
      <c r="C53" s="499"/>
      <c r="D53" s="706"/>
      <c r="E53" s="457"/>
      <c r="F53" s="458"/>
      <c r="G53" s="459"/>
      <c r="H53" s="501"/>
    </row>
    <row r="54" spans="1:8" s="500" customFormat="1" ht="105">
      <c r="A54" s="497" t="s">
        <v>351</v>
      </c>
      <c r="B54" s="498">
        <f>'Import Biologie'!C38</f>
        <v>0</v>
      </c>
      <c r="C54" s="499" t="s">
        <v>353</v>
      </c>
      <c r="D54" s="706" t="s">
        <v>2072</v>
      </c>
      <c r="E54" s="457" t="s">
        <v>347</v>
      </c>
      <c r="G54" s="459" t="s">
        <v>346</v>
      </c>
      <c r="H54" s="501" t="s">
        <v>502</v>
      </c>
    </row>
    <row r="55" spans="1:8" s="500" customFormat="1" ht="63">
      <c r="A55" s="497" t="s">
        <v>298</v>
      </c>
      <c r="B55" s="498">
        <f>'Import Biologie'!C39</f>
        <v>0</v>
      </c>
      <c r="C55" s="499" t="s">
        <v>352</v>
      </c>
      <c r="D55" s="706" t="s">
        <v>1050</v>
      </c>
      <c r="E55" s="457" t="s">
        <v>347</v>
      </c>
      <c r="G55" s="459" t="s">
        <v>346</v>
      </c>
      <c r="H55" s="501" t="s">
        <v>502</v>
      </c>
    </row>
    <row r="56" spans="1:8" s="500" customFormat="1" ht="105">
      <c r="A56" s="497" t="s">
        <v>354</v>
      </c>
      <c r="B56" s="498">
        <f>'Import Biologie'!C40</f>
        <v>0</v>
      </c>
      <c r="C56" s="499" t="s">
        <v>355</v>
      </c>
      <c r="D56" s="706" t="s">
        <v>2072</v>
      </c>
      <c r="E56" s="457" t="s">
        <v>347</v>
      </c>
      <c r="G56" s="459" t="s">
        <v>346</v>
      </c>
      <c r="H56" s="501" t="s">
        <v>502</v>
      </c>
    </row>
    <row r="57" spans="1:8" s="500" customFormat="1" ht="63">
      <c r="A57" s="497" t="s">
        <v>299</v>
      </c>
      <c r="B57" s="498">
        <f>'Import Biologie'!C45</f>
        <v>0</v>
      </c>
      <c r="C57" s="499" t="s">
        <v>345</v>
      </c>
      <c r="D57" s="706" t="s">
        <v>2072</v>
      </c>
      <c r="E57" s="457" t="s">
        <v>486</v>
      </c>
      <c r="G57" s="459" t="s">
        <v>487</v>
      </c>
      <c r="H57" s="501" t="s">
        <v>502</v>
      </c>
    </row>
    <row r="58" spans="1:8" s="500" customFormat="1" ht="105">
      <c r="A58" s="497" t="s">
        <v>305</v>
      </c>
      <c r="B58" s="498">
        <f>'Import Biologie'!C46</f>
        <v>0</v>
      </c>
      <c r="C58" s="499" t="s">
        <v>491</v>
      </c>
      <c r="D58" s="706" t="s">
        <v>2072</v>
      </c>
      <c r="E58" s="457" t="s">
        <v>490</v>
      </c>
      <c r="F58" s="458" t="s">
        <v>489</v>
      </c>
      <c r="G58" s="459"/>
      <c r="H58" s="501" t="s">
        <v>502</v>
      </c>
    </row>
    <row r="59" spans="1:8" s="500" customFormat="1" ht="84">
      <c r="A59" s="497" t="s">
        <v>356</v>
      </c>
      <c r="B59" s="498">
        <f>'Import Biologie'!C51</f>
        <v>0</v>
      </c>
      <c r="C59" s="499" t="s">
        <v>561</v>
      </c>
      <c r="D59" s="706" t="s">
        <v>2072</v>
      </c>
      <c r="E59" s="457" t="s">
        <v>563</v>
      </c>
      <c r="G59" s="459" t="s">
        <v>565</v>
      </c>
      <c r="H59" s="501" t="s">
        <v>502</v>
      </c>
    </row>
    <row r="60" spans="1:8" s="500" customFormat="1" ht="63">
      <c r="A60" s="497" t="s">
        <v>357</v>
      </c>
      <c r="B60" s="498">
        <f>'Import Biologie'!C52</f>
        <v>0</v>
      </c>
      <c r="C60" s="499" t="s">
        <v>562</v>
      </c>
      <c r="D60" s="706" t="s">
        <v>2072</v>
      </c>
      <c r="E60" s="457" t="s">
        <v>564</v>
      </c>
      <c r="G60" s="459" t="s">
        <v>565</v>
      </c>
      <c r="H60" s="501" t="s">
        <v>502</v>
      </c>
    </row>
    <row r="61" spans="1:8" s="500" customFormat="1" ht="63">
      <c r="A61" s="500" t="s">
        <v>358</v>
      </c>
      <c r="B61" s="498">
        <f>'Import Biologie'!C50</f>
        <v>0</v>
      </c>
      <c r="C61" s="502" t="s">
        <v>359</v>
      </c>
      <c r="D61" s="706" t="s">
        <v>2072</v>
      </c>
      <c r="E61" s="457" t="s">
        <v>564</v>
      </c>
      <c r="G61" s="459" t="s">
        <v>565</v>
      </c>
      <c r="H61" s="501" t="s">
        <v>502</v>
      </c>
    </row>
    <row r="62" spans="1:8" s="500" customFormat="1" ht="168">
      <c r="A62" s="500" t="s">
        <v>532</v>
      </c>
      <c r="B62" s="498">
        <f>'Import Biologie'!C42</f>
        <v>0</v>
      </c>
      <c r="C62" s="499" t="s">
        <v>597</v>
      </c>
      <c r="D62" s="706" t="s">
        <v>2072</v>
      </c>
      <c r="E62" s="457" t="s">
        <v>552</v>
      </c>
      <c r="G62" s="459" t="s">
        <v>551</v>
      </c>
    </row>
    <row r="63" spans="1:8" s="500" customFormat="1" ht="84">
      <c r="A63" s="500" t="s">
        <v>543</v>
      </c>
      <c r="B63" s="498">
        <f>'Import Biologie'!C44</f>
        <v>0</v>
      </c>
      <c r="C63" s="503" t="s">
        <v>546</v>
      </c>
      <c r="D63" s="706" t="s">
        <v>2072</v>
      </c>
      <c r="E63" s="457"/>
      <c r="G63" s="459" t="s">
        <v>553</v>
      </c>
    </row>
    <row r="64" spans="1:8" s="500" customFormat="1" ht="105">
      <c r="A64" s="497" t="s">
        <v>541</v>
      </c>
      <c r="B64" s="498">
        <f>'Import Biologie'!C76</f>
        <v>0</v>
      </c>
      <c r="C64" s="503" t="s">
        <v>591</v>
      </c>
      <c r="D64" s="822" t="s">
        <v>2074</v>
      </c>
      <c r="E64" s="457"/>
      <c r="G64" s="459"/>
    </row>
    <row r="65" spans="1:7" s="500" customFormat="1" ht="105">
      <c r="A65" s="497" t="s">
        <v>542</v>
      </c>
      <c r="B65" s="504">
        <f>'Import Biologie'!C75</f>
        <v>0</v>
      </c>
      <c r="C65" s="503" t="s">
        <v>592</v>
      </c>
      <c r="D65" s="821" t="s">
        <v>2074</v>
      </c>
      <c r="E65" s="457"/>
      <c r="G65" s="459"/>
    </row>
    <row r="66" spans="1:7" s="500" customFormat="1" ht="105">
      <c r="A66" s="497" t="s">
        <v>599</v>
      </c>
      <c r="B66" s="498">
        <f>'Import Biologie'!C69</f>
        <v>0</v>
      </c>
      <c r="C66" s="503" t="s">
        <v>538</v>
      </c>
      <c r="D66" s="706" t="s">
        <v>2071</v>
      </c>
      <c r="E66" s="457"/>
      <c r="G66" s="459" t="s">
        <v>557</v>
      </c>
    </row>
    <row r="67" spans="1:7" s="500" customFormat="1" ht="105">
      <c r="A67" s="497" t="s">
        <v>567</v>
      </c>
      <c r="B67" s="498">
        <f>'Import Biologie'!C70</f>
        <v>0</v>
      </c>
      <c r="C67" s="503" t="s">
        <v>539</v>
      </c>
      <c r="D67" s="706" t="s">
        <v>2071</v>
      </c>
      <c r="E67" s="457"/>
      <c r="G67" s="459"/>
    </row>
    <row r="68" spans="1:7" s="500" customFormat="1" ht="105">
      <c r="A68" s="497" t="s">
        <v>568</v>
      </c>
      <c r="B68" s="498">
        <f>'Import Biologie'!E70</f>
        <v>49</v>
      </c>
      <c r="C68" s="503" t="s">
        <v>540</v>
      </c>
      <c r="D68" s="706" t="s">
        <v>2071</v>
      </c>
      <c r="E68" s="457"/>
      <c r="G68" s="459"/>
    </row>
    <row r="69" spans="1:7" s="500" customFormat="1" ht="84">
      <c r="A69" s="500" t="s">
        <v>566</v>
      </c>
      <c r="B69" s="498">
        <f>'Import Biologie'!C29</f>
        <v>0</v>
      </c>
      <c r="C69" s="503" t="s">
        <v>558</v>
      </c>
      <c r="D69" s="821" t="s">
        <v>2068</v>
      </c>
      <c r="E69" s="457"/>
      <c r="G69" s="459" t="s">
        <v>556</v>
      </c>
    </row>
    <row r="70" spans="1:7" s="500" customFormat="1" ht="63">
      <c r="A70" s="500" t="s">
        <v>209</v>
      </c>
      <c r="B70" s="498" t="e">
        <f>'Import Biologie'!C62</f>
        <v>#DIV/0!</v>
      </c>
      <c r="C70" s="503" t="s">
        <v>536</v>
      </c>
      <c r="D70" s="821" t="s">
        <v>2068</v>
      </c>
      <c r="E70" s="457"/>
      <c r="G70" s="459"/>
    </row>
    <row r="71" spans="1:7" s="500" customFormat="1" ht="63">
      <c r="A71" s="500" t="s">
        <v>534</v>
      </c>
      <c r="B71" s="498" t="e">
        <f>'Import Biologie'!C63</f>
        <v>#DIV/0!</v>
      </c>
      <c r="C71" s="503" t="s">
        <v>537</v>
      </c>
      <c r="D71" s="706" t="s">
        <v>2068</v>
      </c>
      <c r="E71" s="457"/>
      <c r="G71" s="459" t="s">
        <v>555</v>
      </c>
    </row>
    <row r="72" spans="1:7" s="500" customFormat="1" ht="147">
      <c r="A72" s="500" t="s">
        <v>545</v>
      </c>
      <c r="B72" s="498" t="e">
        <f>'Import Biologie'!C87</f>
        <v>#DIV/0!</v>
      </c>
      <c r="C72" s="499" t="s">
        <v>550</v>
      </c>
      <c r="D72" s="706" t="s">
        <v>2070</v>
      </c>
      <c r="E72" s="457"/>
      <c r="G72" s="459" t="s">
        <v>554</v>
      </c>
    </row>
    <row r="73" spans="1:7" s="500" customFormat="1" ht="84">
      <c r="A73" s="500" t="s">
        <v>608</v>
      </c>
      <c r="B73" s="498" t="str">
        <f>'Import Biologie'!N52</f>
        <v>Faible</v>
      </c>
      <c r="C73" s="453" t="s">
        <v>651</v>
      </c>
      <c r="D73" s="706" t="s">
        <v>2076</v>
      </c>
      <c r="E73" s="457" t="s">
        <v>648</v>
      </c>
      <c r="F73" s="458" t="s">
        <v>649</v>
      </c>
      <c r="G73" s="459" t="s">
        <v>650</v>
      </c>
    </row>
    <row r="74" spans="1:7" s="500" customFormat="1" ht="84">
      <c r="A74" s="505" t="s">
        <v>618</v>
      </c>
      <c r="B74" s="498">
        <f>'Import Question'!F244</f>
        <v>99</v>
      </c>
      <c r="C74" s="506" t="s">
        <v>620</v>
      </c>
      <c r="D74" s="706" t="s">
        <v>2076</v>
      </c>
      <c r="E74" s="457" t="s">
        <v>634</v>
      </c>
      <c r="G74" s="459" t="s">
        <v>635</v>
      </c>
    </row>
    <row r="75" spans="1:7" s="500" customFormat="1" ht="84">
      <c r="A75" s="505" t="s">
        <v>619</v>
      </c>
      <c r="B75" s="498">
        <f>'Import Question'!F245</f>
        <v>0</v>
      </c>
      <c r="C75" s="506" t="s">
        <v>620</v>
      </c>
      <c r="D75" s="706" t="s">
        <v>2076</v>
      </c>
      <c r="E75" s="457" t="s">
        <v>634</v>
      </c>
      <c r="G75" s="459" t="s">
        <v>635</v>
      </c>
    </row>
    <row r="76" spans="1:7" s="500" customFormat="1" ht="84">
      <c r="A76" s="461" t="s">
        <v>624</v>
      </c>
      <c r="B76" s="498">
        <f>(('Import Question'!F242-70)+2*('Import Question'!F243-'Import Question'!F240))/10</f>
        <v>1</v>
      </c>
      <c r="C76" s="499" t="s">
        <v>625</v>
      </c>
      <c r="D76" s="706" t="s">
        <v>2076</v>
      </c>
      <c r="E76" s="457" t="s">
        <v>626</v>
      </c>
      <c r="G76" s="459" t="s">
        <v>627</v>
      </c>
    </row>
    <row r="77" spans="1:7" s="500" customFormat="1" ht="84">
      <c r="A77" s="461" t="s">
        <v>629</v>
      </c>
      <c r="B77" s="498">
        <f>'Import Question'!F236-'Import Question'!F80</f>
        <v>-110</v>
      </c>
      <c r="C77" s="465" t="s">
        <v>628</v>
      </c>
      <c r="D77" s="706" t="s">
        <v>2076</v>
      </c>
      <c r="E77" s="457"/>
      <c r="G77" s="459"/>
    </row>
    <row r="78" spans="1:7" s="500" customFormat="1" ht="84">
      <c r="A78" s="461" t="s">
        <v>631</v>
      </c>
      <c r="B78" s="498">
        <f>(('Import Question'!F236-'Import Question'!F237)-('Import Question'!F80-'Import Question'!F81))</f>
        <v>-45</v>
      </c>
      <c r="C78" s="465" t="s">
        <v>630</v>
      </c>
      <c r="D78" s="706" t="s">
        <v>2076</v>
      </c>
      <c r="E78" s="457" t="s">
        <v>632</v>
      </c>
      <c r="G78" s="459" t="s">
        <v>633</v>
      </c>
    </row>
    <row r="79" spans="1:7" s="500" customFormat="1" ht="84">
      <c r="A79" s="461" t="s">
        <v>623</v>
      </c>
      <c r="B79" s="498">
        <f>'Import Question'!F80-'Import Question'!F235</f>
        <v>2</v>
      </c>
      <c r="C79" s="463" t="s">
        <v>636</v>
      </c>
      <c r="D79" s="706" t="s">
        <v>2076</v>
      </c>
      <c r="E79" s="457" t="s">
        <v>638</v>
      </c>
      <c r="F79" s="458" t="s">
        <v>637</v>
      </c>
      <c r="G79" s="459" t="s">
        <v>639</v>
      </c>
    </row>
    <row r="80" spans="1:7" s="500" customFormat="1" ht="84">
      <c r="A80" s="507" t="s">
        <v>641</v>
      </c>
      <c r="B80" s="498">
        <f>'Import Question'!F246</f>
        <v>2</v>
      </c>
      <c r="C80" s="508" t="s">
        <v>640</v>
      </c>
      <c r="D80" s="706" t="s">
        <v>2076</v>
      </c>
      <c r="E80" s="457" t="s">
        <v>645</v>
      </c>
      <c r="G80" s="459" t="s">
        <v>646</v>
      </c>
    </row>
    <row r="81" spans="1:7" s="500" customFormat="1" ht="84">
      <c r="A81" s="507" t="s">
        <v>642</v>
      </c>
      <c r="B81" s="498">
        <f>'Import Question'!F247</f>
        <v>2</v>
      </c>
      <c r="C81" s="508" t="s">
        <v>647</v>
      </c>
      <c r="D81" s="706" t="s">
        <v>2076</v>
      </c>
      <c r="E81" s="457" t="s">
        <v>645</v>
      </c>
      <c r="G81" s="459" t="s">
        <v>646</v>
      </c>
    </row>
    <row r="82" spans="1:7" s="500" customFormat="1" ht="63">
      <c r="A82" s="461" t="s">
        <v>748</v>
      </c>
      <c r="B82" s="498">
        <f>'Import Question'!F248</f>
        <v>0</v>
      </c>
      <c r="C82" s="509" t="s">
        <v>752</v>
      </c>
      <c r="D82" s="706" t="s">
        <v>2073</v>
      </c>
      <c r="E82" s="457" t="s">
        <v>749</v>
      </c>
      <c r="G82" s="459" t="s">
        <v>750</v>
      </c>
    </row>
    <row r="83" spans="1:7" s="500" customFormat="1" ht="63">
      <c r="A83" s="510" t="s">
        <v>789</v>
      </c>
      <c r="B83" s="511">
        <f>'Import Question'!J252</f>
        <v>0.33333333333333331</v>
      </c>
      <c r="C83" s="480" t="s">
        <v>788</v>
      </c>
      <c r="D83" s="706" t="s">
        <v>2075</v>
      </c>
      <c r="E83" s="457" t="s">
        <v>792</v>
      </c>
      <c r="F83" s="458" t="s">
        <v>793</v>
      </c>
      <c r="G83" s="459" t="s">
        <v>791</v>
      </c>
    </row>
    <row r="84" spans="1:7" s="500" customFormat="1" ht="63">
      <c r="A84" s="512" t="s">
        <v>790</v>
      </c>
      <c r="B84" s="511">
        <f>'Import Question'!J254</f>
        <v>0.6</v>
      </c>
      <c r="C84" s="513" t="s">
        <v>787</v>
      </c>
      <c r="D84" s="706" t="s">
        <v>2075</v>
      </c>
      <c r="E84" s="457" t="s">
        <v>792</v>
      </c>
      <c r="F84" s="458" t="s">
        <v>793</v>
      </c>
      <c r="G84" s="459" t="s">
        <v>791</v>
      </c>
    </row>
    <row r="85" spans="1:7" s="500" customFormat="1" ht="84">
      <c r="A85" s="461" t="s">
        <v>1308</v>
      </c>
      <c r="B85" s="500">
        <f>'CLINIQUE&amp;Radiologie'!E12</f>
        <v>70</v>
      </c>
      <c r="C85" s="513" t="s">
        <v>1312</v>
      </c>
      <c r="D85" s="706" t="s">
        <v>2076</v>
      </c>
      <c r="E85" s="457" t="s">
        <v>1313</v>
      </c>
      <c r="F85" s="458" t="s">
        <v>1314</v>
      </c>
      <c r="G85" s="459" t="s">
        <v>1315</v>
      </c>
    </row>
    <row r="86" spans="1:7" s="500" customFormat="1" ht="84">
      <c r="A86" s="461" t="s">
        <v>1306</v>
      </c>
      <c r="B86" s="514">
        <f>207.5-(0.78*'Import Question'!F6)</f>
        <v>167.72</v>
      </c>
      <c r="C86" s="515" t="s">
        <v>1311</v>
      </c>
      <c r="D86" s="821" t="s">
        <v>2076</v>
      </c>
    </row>
    <row r="87" spans="1:7" s="500" customFormat="1" ht="84">
      <c r="A87" s="461" t="s">
        <v>1307</v>
      </c>
      <c r="B87" s="514">
        <f>208.3-(0.74*'Import Question'!F6)</f>
        <v>170.56</v>
      </c>
      <c r="C87" s="515" t="s">
        <v>1310</v>
      </c>
      <c r="D87" s="822" t="s">
        <v>2076</v>
      </c>
    </row>
    <row r="88" spans="1:7" s="500" customFormat="1" ht="84">
      <c r="A88" s="461" t="s">
        <v>1378</v>
      </c>
      <c r="B88" s="514">
        <f>0.7*(B86-B85)+B85</f>
        <v>138.404</v>
      </c>
      <c r="C88" s="465" t="s">
        <v>1309</v>
      </c>
      <c r="D88" s="821" t="s">
        <v>2076</v>
      </c>
    </row>
    <row r="89" spans="1:7" s="500" customFormat="1" ht="84">
      <c r="A89" s="461" t="s">
        <v>1379</v>
      </c>
      <c r="B89" s="514">
        <f>0.7*(B87-B85)+B85</f>
        <v>140.392</v>
      </c>
      <c r="C89" s="499" t="s">
        <v>1309</v>
      </c>
      <c r="D89" s="822" t="s">
        <v>2076</v>
      </c>
    </row>
    <row r="90" spans="1:7" s="500" customFormat="1" ht="147">
      <c r="A90" s="514" t="s">
        <v>1341</v>
      </c>
      <c r="B90" s="516">
        <f>'Import Biologie'!C88</f>
        <v>0</v>
      </c>
      <c r="C90" s="515" t="s">
        <v>1411</v>
      </c>
      <c r="D90" s="706" t="s">
        <v>2070</v>
      </c>
      <c r="E90" s="459" t="s">
        <v>398</v>
      </c>
      <c r="F90" s="490" t="s">
        <v>1441</v>
      </c>
      <c r="G90" s="459" t="s">
        <v>1440</v>
      </c>
    </row>
    <row r="91" spans="1:7" s="500" customFormat="1" ht="147">
      <c r="A91" s="514" t="s">
        <v>1406</v>
      </c>
      <c r="B91" s="516">
        <f>'Import Biologie'!E89</f>
        <v>0</v>
      </c>
      <c r="C91" s="517" t="s">
        <v>1407</v>
      </c>
      <c r="D91" s="706" t="s">
        <v>2070</v>
      </c>
      <c r="G91" s="459" t="s">
        <v>1439</v>
      </c>
    </row>
    <row r="92" spans="1:7" s="500" customFormat="1" ht="63">
      <c r="A92" s="739" t="s">
        <v>1234</v>
      </c>
      <c r="B92" s="518">
        <f>'Import Biologie'!C89</f>
        <v>10</v>
      </c>
      <c r="C92" s="517" t="s">
        <v>1437</v>
      </c>
      <c r="D92" s="706" t="s">
        <v>2068</v>
      </c>
      <c r="G92" s="459" t="s">
        <v>1438</v>
      </c>
    </row>
    <row r="93" spans="1:7" s="500" customFormat="1" ht="63">
      <c r="A93" s="739" t="s">
        <v>1402</v>
      </c>
      <c r="B93" s="518">
        <f>'Import Biologie'!C90</f>
        <v>0</v>
      </c>
      <c r="C93" s="517" t="s">
        <v>1409</v>
      </c>
      <c r="D93" s="822" t="s">
        <v>2068</v>
      </c>
      <c r="G93" s="459" t="s">
        <v>396</v>
      </c>
    </row>
    <row r="94" spans="1:7" s="500" customFormat="1" ht="63">
      <c r="A94" s="739" t="s">
        <v>1262</v>
      </c>
      <c r="B94" s="519">
        <f>'Import Biologie'!C91</f>
        <v>0</v>
      </c>
      <c r="C94" s="517" t="s">
        <v>1408</v>
      </c>
      <c r="D94" s="822" t="s">
        <v>2068</v>
      </c>
      <c r="G94" s="459" t="s">
        <v>1436</v>
      </c>
    </row>
    <row r="95" spans="1:7" s="500" customFormat="1" ht="84">
      <c r="A95" s="514" t="s">
        <v>1404</v>
      </c>
      <c r="B95" s="518">
        <f>'Import Biologie'!C92</f>
        <v>0</v>
      </c>
      <c r="C95" s="515" t="s">
        <v>1410</v>
      </c>
      <c r="D95" s="706" t="s">
        <v>2076</v>
      </c>
      <c r="G95" s="459" t="s">
        <v>462</v>
      </c>
    </row>
    <row r="96" spans="1:7" s="500" customFormat="1" ht="63">
      <c r="A96" s="514" t="s">
        <v>1342</v>
      </c>
      <c r="B96" s="516">
        <f>'Import Biologie'!C94</f>
        <v>0</v>
      </c>
      <c r="C96" s="517" t="s">
        <v>1413</v>
      </c>
      <c r="D96" s="706" t="s">
        <v>2073</v>
      </c>
      <c r="G96" s="459" t="s">
        <v>1435</v>
      </c>
    </row>
    <row r="97" spans="1:7" s="500" customFormat="1" ht="63">
      <c r="A97" s="514" t="s">
        <v>1298</v>
      </c>
      <c r="B97" s="516">
        <f>'Import Biologie'!C95</f>
        <v>0</v>
      </c>
      <c r="C97" s="520" t="s">
        <v>1412</v>
      </c>
      <c r="D97" s="706" t="s">
        <v>1059</v>
      </c>
      <c r="G97" s="459" t="s">
        <v>1434</v>
      </c>
    </row>
    <row r="98" spans="1:7" s="500" customFormat="1" ht="105">
      <c r="A98" s="500" t="s">
        <v>1430</v>
      </c>
      <c r="B98" s="498">
        <f>'Import Biologie'!C34</f>
        <v>0</v>
      </c>
      <c r="C98" s="740" t="s">
        <v>1431</v>
      </c>
      <c r="D98" s="706" t="s">
        <v>2071</v>
      </c>
      <c r="E98" s="459" t="s">
        <v>638</v>
      </c>
      <c r="F98" s="457" t="s">
        <v>1432</v>
      </c>
      <c r="G98" s="459" t="s">
        <v>1433</v>
      </c>
    </row>
    <row r="99" spans="1:7" s="500" customFormat="1" ht="105">
      <c r="A99" s="461" t="s">
        <v>1443</v>
      </c>
      <c r="B99" s="498">
        <f>AUTOQUESTIONNAIRE!F216</f>
        <v>0</v>
      </c>
      <c r="C99" s="740" t="s">
        <v>1446</v>
      </c>
      <c r="D99" s="821" t="s">
        <v>2069</v>
      </c>
      <c r="G99" s="459" t="s">
        <v>1447</v>
      </c>
    </row>
    <row r="100" spans="1:7" s="500" customFormat="1" ht="105">
      <c r="A100" s="461" t="s">
        <v>1444</v>
      </c>
      <c r="B100" s="498"/>
      <c r="C100" s="740" t="s">
        <v>1445</v>
      </c>
      <c r="D100" s="822" t="s">
        <v>2069</v>
      </c>
      <c r="G100" s="459" t="s">
        <v>1448</v>
      </c>
    </row>
    <row r="101" spans="1:7" s="500" customFormat="1" ht="84">
      <c r="A101" s="741" t="s">
        <v>1591</v>
      </c>
      <c r="B101" s="521">
        <f>('Import Biologie'!C96/100)*('Import Biologie'!C15)</f>
        <v>0</v>
      </c>
      <c r="C101" s="522" t="s">
        <v>1579</v>
      </c>
      <c r="D101" s="706" t="s">
        <v>1050</v>
      </c>
      <c r="E101" s="459" t="s">
        <v>1581</v>
      </c>
      <c r="F101" s="457" t="s">
        <v>1582</v>
      </c>
      <c r="G101" s="459" t="s">
        <v>555</v>
      </c>
    </row>
    <row r="102" spans="1:7" s="500" customFormat="1" ht="63">
      <c r="A102" s="741" t="s">
        <v>1592</v>
      </c>
      <c r="B102" s="521">
        <f>'Import Biologie'!C97</f>
        <v>0.1</v>
      </c>
      <c r="C102" s="522" t="s">
        <v>1580</v>
      </c>
      <c r="D102" s="706" t="s">
        <v>1050</v>
      </c>
      <c r="E102" s="459" t="s">
        <v>1583</v>
      </c>
      <c r="F102" s="457" t="s">
        <v>1584</v>
      </c>
      <c r="G102" s="459" t="s">
        <v>418</v>
      </c>
    </row>
    <row r="103" spans="1:7" s="500" customFormat="1">
      <c r="B103" s="498"/>
      <c r="C103" s="499"/>
      <c r="D103" s="501"/>
    </row>
    <row r="104" spans="1:7" s="500" customFormat="1" ht="126">
      <c r="A104" s="736" t="s">
        <v>1647</v>
      </c>
      <c r="B104" s="498">
        <f>AUTOQUESTIONNAIRE!F241</f>
        <v>0</v>
      </c>
      <c r="C104" s="453" t="s">
        <v>2129</v>
      </c>
      <c r="D104" s="821" t="s">
        <v>1076</v>
      </c>
      <c r="G104" s="459" t="s">
        <v>2140</v>
      </c>
    </row>
    <row r="105" spans="1:7" s="500" customFormat="1" ht="105">
      <c r="A105" s="736" t="s">
        <v>1946</v>
      </c>
      <c r="B105" s="498">
        <f>AUTOQUESTIONNAIRE!F214</f>
        <v>0</v>
      </c>
      <c r="C105" s="515" t="s">
        <v>2130</v>
      </c>
      <c r="D105" s="706" t="s">
        <v>2069</v>
      </c>
    </row>
    <row r="106" spans="1:7" s="500" customFormat="1" ht="63">
      <c r="A106" s="737" t="s">
        <v>2141</v>
      </c>
      <c r="B106" s="498">
        <f>AUTOQUESTIONNAIRE!F242</f>
        <v>0</v>
      </c>
      <c r="C106" s="742" t="s">
        <v>2133</v>
      </c>
      <c r="D106" s="706" t="s">
        <v>2074</v>
      </c>
    </row>
    <row r="107" spans="1:7" s="500" customFormat="1" ht="63">
      <c r="A107" s="737" t="s">
        <v>1116</v>
      </c>
      <c r="B107" s="498">
        <f>AUTOQUESTIONNAIRE!F243</f>
        <v>0</v>
      </c>
      <c r="C107" s="743" t="s">
        <v>2132</v>
      </c>
      <c r="D107" s="706" t="s">
        <v>2074</v>
      </c>
    </row>
    <row r="108" spans="1:7" ht="63">
      <c r="A108" s="737" t="s">
        <v>1117</v>
      </c>
      <c r="B108" s="498">
        <f>AUTOQUESTIONNAIRE!F244</f>
        <v>0</v>
      </c>
      <c r="C108" s="742" t="s">
        <v>2138</v>
      </c>
      <c r="D108" s="706" t="s">
        <v>2074</v>
      </c>
      <c r="G108" s="500"/>
    </row>
    <row r="109" spans="1:7" ht="63">
      <c r="A109" s="738" t="s">
        <v>1482</v>
      </c>
      <c r="B109" s="498">
        <f>AUTOQUESTIONNAIRE!F245</f>
        <v>1</v>
      </c>
      <c r="C109" s="742" t="s">
        <v>2134</v>
      </c>
      <c r="D109" s="706" t="s">
        <v>2074</v>
      </c>
      <c r="G109" s="500"/>
    </row>
    <row r="110" spans="1:7" ht="63">
      <c r="A110" s="541" t="s">
        <v>2219</v>
      </c>
      <c r="B110" s="498">
        <f>AUTOQUESTIONNAIRE!F246</f>
        <v>0</v>
      </c>
      <c r="C110" s="453" t="s">
        <v>2131</v>
      </c>
      <c r="D110" s="706" t="s">
        <v>2074</v>
      </c>
      <c r="G110" s="459" t="s">
        <v>2158</v>
      </c>
    </row>
    <row r="111" spans="1:7" ht="84">
      <c r="A111" s="451" t="s">
        <v>1951</v>
      </c>
      <c r="B111" s="452">
        <f>'Import Biologie'!C8</f>
        <v>0</v>
      </c>
      <c r="C111" s="453" t="s">
        <v>2135</v>
      </c>
      <c r="D111" s="706" t="s">
        <v>2074</v>
      </c>
      <c r="E111" s="459" t="s">
        <v>2142</v>
      </c>
      <c r="F111" s="457" t="s">
        <v>2143</v>
      </c>
      <c r="G111" s="459" t="s">
        <v>2144</v>
      </c>
    </row>
    <row r="112" spans="1:7" ht="84">
      <c r="A112" s="514" t="s">
        <v>2136</v>
      </c>
      <c r="B112" s="452">
        <f>'Import Biologie'!C93</f>
        <v>0</v>
      </c>
      <c r="C112" s="453" t="s">
        <v>2136</v>
      </c>
      <c r="D112" s="706" t="s">
        <v>2076</v>
      </c>
      <c r="F112" s="457" t="s">
        <v>2145</v>
      </c>
    </row>
    <row r="113" spans="1:7" ht="63">
      <c r="A113" s="451" t="s">
        <v>2159</v>
      </c>
      <c r="B113" s="452">
        <f>'Import Biologie'!C116</f>
        <v>60</v>
      </c>
      <c r="C113" s="742" t="s">
        <v>2139</v>
      </c>
      <c r="D113" s="706" t="s">
        <v>1050</v>
      </c>
      <c r="G113" s="459" t="s">
        <v>2147</v>
      </c>
    </row>
    <row r="114" spans="1:7" ht="63">
      <c r="A114" s="211" t="s">
        <v>2160</v>
      </c>
      <c r="B114" s="452">
        <f>'Import Biologie'!C117</f>
        <v>1</v>
      </c>
      <c r="C114" s="453" t="s">
        <v>2137</v>
      </c>
      <c r="D114" s="706" t="s">
        <v>1050</v>
      </c>
      <c r="G114" s="459" t="s">
        <v>2146</v>
      </c>
    </row>
    <row r="115" spans="1:7" ht="105">
      <c r="A115" s="451" t="s">
        <v>1967</v>
      </c>
      <c r="B115" s="452">
        <f>'Import Biologie'!C57-('Import Biologie'!C57-'Import Biologie'!E57)*0.4</f>
        <v>69.5</v>
      </c>
      <c r="C115" s="453" t="s">
        <v>1969</v>
      </c>
      <c r="D115" s="706" t="s">
        <v>2069</v>
      </c>
    </row>
    <row r="116" spans="1:7" ht="105">
      <c r="A116" s="522" t="s">
        <v>1648</v>
      </c>
      <c r="B116" s="522">
        <f>'Import Biologie'!C108</f>
        <v>0</v>
      </c>
      <c r="C116" s="451" t="s">
        <v>2183</v>
      </c>
      <c r="D116" s="706" t="s">
        <v>2069</v>
      </c>
      <c r="E116" s="820"/>
    </row>
    <row r="117" spans="1:7" ht="105">
      <c r="A117" s="522" t="s">
        <v>2163</v>
      </c>
      <c r="B117" s="522">
        <f>'Import Biologie'!C109</f>
        <v>0</v>
      </c>
      <c r="C117" s="451" t="s">
        <v>2194</v>
      </c>
      <c r="D117" s="706" t="s">
        <v>2071</v>
      </c>
      <c r="E117" s="820"/>
    </row>
    <row r="118" spans="1:7" ht="105">
      <c r="A118" s="522" t="s">
        <v>1650</v>
      </c>
      <c r="B118" s="522">
        <f>'Import Biologie'!C110</f>
        <v>0</v>
      </c>
      <c r="C118" s="451" t="s">
        <v>2184</v>
      </c>
      <c r="D118" s="706" t="s">
        <v>2071</v>
      </c>
      <c r="E118" s="820"/>
    </row>
    <row r="119" spans="1:7" ht="105">
      <c r="A119" s="522" t="s">
        <v>2164</v>
      </c>
      <c r="B119" s="522">
        <f>'Import Biologie'!C111</f>
        <v>0</v>
      </c>
      <c r="C119" s="451" t="s">
        <v>2185</v>
      </c>
      <c r="D119" s="706" t="s">
        <v>2071</v>
      </c>
      <c r="E119" s="820"/>
    </row>
    <row r="120" spans="1:7" ht="42">
      <c r="A120" s="522" t="s">
        <v>1656</v>
      </c>
      <c r="B120" s="522">
        <f>'Import Biologie'!C112</f>
        <v>0</v>
      </c>
      <c r="C120" s="451" t="s">
        <v>2195</v>
      </c>
      <c r="D120" s="706" t="s">
        <v>2072</v>
      </c>
      <c r="E120" s="820"/>
    </row>
    <row r="121" spans="1:7" ht="63">
      <c r="A121" s="522" t="s">
        <v>2165</v>
      </c>
      <c r="B121" s="522">
        <f>'Import Biologie'!C114</f>
        <v>0</v>
      </c>
      <c r="C121" s="451" t="s">
        <v>2186</v>
      </c>
      <c r="D121" s="706" t="s">
        <v>1059</v>
      </c>
      <c r="E121" s="820"/>
    </row>
    <row r="122" spans="1:7" ht="63">
      <c r="A122" s="522" t="s">
        <v>2166</v>
      </c>
      <c r="B122" s="522">
        <f>'Import Biologie'!C115</f>
        <v>0</v>
      </c>
      <c r="C122" s="451" t="s">
        <v>2187</v>
      </c>
      <c r="D122" s="706" t="s">
        <v>1059</v>
      </c>
      <c r="E122" s="820"/>
    </row>
    <row r="123" spans="1:7" ht="84">
      <c r="A123" s="522" t="s">
        <v>2167</v>
      </c>
      <c r="B123" s="522">
        <f>'Import Biologie'!C118</f>
        <v>0</v>
      </c>
      <c r="C123" s="451" t="s">
        <v>2196</v>
      </c>
      <c r="D123" s="706" t="s">
        <v>2083</v>
      </c>
      <c r="E123" s="820"/>
    </row>
    <row r="124" spans="1:7" ht="63">
      <c r="A124" s="522" t="s">
        <v>2168</v>
      </c>
      <c r="B124" s="522">
        <f>'Import Biologie'!C119</f>
        <v>0</v>
      </c>
      <c r="C124" s="451" t="s">
        <v>2191</v>
      </c>
      <c r="D124" s="706" t="s">
        <v>1059</v>
      </c>
      <c r="E124" s="820"/>
    </row>
    <row r="125" spans="1:7" ht="63">
      <c r="A125" s="522" t="s">
        <v>2169</v>
      </c>
      <c r="B125" s="522">
        <f>'Import Biologie'!C120</f>
        <v>0</v>
      </c>
      <c r="C125" s="451" t="s">
        <v>2192</v>
      </c>
      <c r="D125" s="706" t="s">
        <v>2068</v>
      </c>
      <c r="E125" s="820"/>
    </row>
    <row r="126" spans="1:7" ht="63">
      <c r="A126" s="522" t="s">
        <v>2170</v>
      </c>
      <c r="B126" s="522">
        <f>'Import Biologie'!C121</f>
        <v>0</v>
      </c>
      <c r="C126" s="451" t="s">
        <v>2193</v>
      </c>
      <c r="D126" s="706" t="s">
        <v>2068</v>
      </c>
      <c r="E126" s="820"/>
    </row>
    <row r="127" spans="1:7" ht="105">
      <c r="A127" s="522" t="s">
        <v>2171</v>
      </c>
      <c r="B127" s="522">
        <f>'Import Biologie'!C122</f>
        <v>0</v>
      </c>
      <c r="C127" s="451" t="s">
        <v>2188</v>
      </c>
      <c r="D127" s="706" t="s">
        <v>2071</v>
      </c>
      <c r="E127" s="820"/>
    </row>
    <row r="128" spans="1:7" ht="105">
      <c r="A128" s="522" t="s">
        <v>1669</v>
      </c>
      <c r="B128" s="522">
        <f>'Import Biologie'!C123</f>
        <v>0</v>
      </c>
      <c r="C128" s="451" t="s">
        <v>2197</v>
      </c>
      <c r="D128" s="706" t="s">
        <v>2071</v>
      </c>
      <c r="E128" s="820"/>
    </row>
    <row r="129" spans="1:5" ht="105">
      <c r="A129" s="522" t="s">
        <v>2172</v>
      </c>
      <c r="B129" s="522">
        <f>'Import Biologie'!C124</f>
        <v>0</v>
      </c>
      <c r="C129" s="451" t="s">
        <v>2198</v>
      </c>
      <c r="D129" s="706" t="s">
        <v>2071</v>
      </c>
      <c r="E129" s="820"/>
    </row>
    <row r="130" spans="1:5" ht="105">
      <c r="A130" s="522" t="s">
        <v>2173</v>
      </c>
      <c r="B130" s="522">
        <f>'Import Biologie'!C125</f>
        <v>0</v>
      </c>
      <c r="C130" s="451" t="s">
        <v>2189</v>
      </c>
      <c r="D130" s="706" t="s">
        <v>2071</v>
      </c>
      <c r="E130" s="820"/>
    </row>
    <row r="131" spans="1:5" ht="105">
      <c r="A131" s="522" t="s">
        <v>1673</v>
      </c>
      <c r="B131" s="522">
        <f>'Import Biologie'!C126</f>
        <v>0</v>
      </c>
      <c r="C131" s="451" t="s">
        <v>2199</v>
      </c>
      <c r="D131" s="706" t="s">
        <v>2071</v>
      </c>
      <c r="E131" s="820"/>
    </row>
    <row r="132" spans="1:5" ht="105">
      <c r="A132" s="522" t="s">
        <v>1675</v>
      </c>
      <c r="B132" s="522">
        <f>'Import Biologie'!C127</f>
        <v>0</v>
      </c>
      <c r="C132" s="451" t="s">
        <v>2200</v>
      </c>
      <c r="D132" s="706" t="s">
        <v>2071</v>
      </c>
      <c r="E132" s="820"/>
    </row>
    <row r="133" spans="1:5" ht="42">
      <c r="A133" s="522" t="s">
        <v>2174</v>
      </c>
      <c r="B133" s="522" t="str">
        <f>'Import Biologie'!C128</f>
        <v xml:space="preserve">Negative </v>
      </c>
      <c r="C133" s="451" t="s">
        <v>2201</v>
      </c>
      <c r="D133" s="823" t="s">
        <v>2359</v>
      </c>
      <c r="E133" s="820"/>
    </row>
    <row r="134" spans="1:5" ht="42">
      <c r="A134" s="522" t="s">
        <v>2175</v>
      </c>
      <c r="B134" s="522" t="str">
        <f>'Import Biologie'!C129</f>
        <v xml:space="preserve">Negative </v>
      </c>
      <c r="C134" s="451" t="s">
        <v>2190</v>
      </c>
      <c r="D134" s="823" t="s">
        <v>2359</v>
      </c>
      <c r="E134" s="820"/>
    </row>
    <row r="135" spans="1:5" ht="42">
      <c r="A135" s="522" t="s">
        <v>1678</v>
      </c>
      <c r="B135" s="522" t="str">
        <f>'Import Biologie'!C130</f>
        <v xml:space="preserve">Negative </v>
      </c>
      <c r="C135" s="451" t="s">
        <v>2202</v>
      </c>
      <c r="D135" s="823" t="s">
        <v>2359</v>
      </c>
      <c r="E135" s="820"/>
    </row>
    <row r="136" spans="1:5" ht="42">
      <c r="A136" s="522" t="s">
        <v>2176</v>
      </c>
      <c r="B136" s="522" t="str">
        <f>'Import Biologie'!C131</f>
        <v xml:space="preserve">Negative </v>
      </c>
      <c r="C136" s="451" t="s">
        <v>2203</v>
      </c>
      <c r="D136" s="823" t="s">
        <v>2359</v>
      </c>
      <c r="E136" s="820"/>
    </row>
    <row r="137" spans="1:5" ht="42">
      <c r="A137" s="522" t="s">
        <v>2177</v>
      </c>
      <c r="B137" s="522" t="str">
        <f>'Import Biologie'!C132</f>
        <v xml:space="preserve">Negative </v>
      </c>
      <c r="C137" s="451" t="s">
        <v>2204</v>
      </c>
      <c r="D137" s="823" t="s">
        <v>2360</v>
      </c>
      <c r="E137" s="820"/>
    </row>
    <row r="138" spans="1:5" ht="105">
      <c r="A138" s="522" t="s">
        <v>2178</v>
      </c>
      <c r="B138" s="522">
        <f>'Import Biologie'!C133</f>
        <v>0</v>
      </c>
      <c r="C138" s="451" t="s">
        <v>2205</v>
      </c>
      <c r="D138" s="706" t="s">
        <v>2071</v>
      </c>
      <c r="E138" s="820"/>
    </row>
    <row r="139" spans="1:5" ht="105">
      <c r="A139" s="522" t="s">
        <v>2179</v>
      </c>
      <c r="B139" s="522">
        <f>'Import Biologie'!C134</f>
        <v>0</v>
      </c>
      <c r="C139" s="451" t="s">
        <v>2206</v>
      </c>
      <c r="D139" s="706" t="s">
        <v>2071</v>
      </c>
      <c r="E139" s="820"/>
    </row>
    <row r="140" spans="1:5" ht="42">
      <c r="A140" s="522" t="s">
        <v>2180</v>
      </c>
      <c r="B140" s="522" t="str">
        <f>'Import Biologie'!C135</f>
        <v xml:space="preserve">Negative </v>
      </c>
      <c r="C140" s="451" t="s">
        <v>2207</v>
      </c>
      <c r="D140" s="823" t="s">
        <v>2360</v>
      </c>
      <c r="E140" s="820"/>
    </row>
    <row r="141" spans="1:5" ht="42">
      <c r="A141" s="522" t="s">
        <v>2181</v>
      </c>
      <c r="B141" s="827">
        <f>'Import Biologie'!C136</f>
        <v>0</v>
      </c>
      <c r="C141" s="451" t="s">
        <v>2214</v>
      </c>
      <c r="D141" s="823" t="s">
        <v>2360</v>
      </c>
      <c r="E141" s="820"/>
    </row>
    <row r="142" spans="1:5" ht="63">
      <c r="A142" s="522" t="s">
        <v>2182</v>
      </c>
      <c r="B142" s="522" t="str">
        <f>'Import Biologie'!C137</f>
        <v xml:space="preserve">Negative </v>
      </c>
      <c r="C142" s="451" t="s">
        <v>2215</v>
      </c>
      <c r="D142" s="821" t="s">
        <v>1076</v>
      </c>
      <c r="E142" s="820"/>
    </row>
    <row r="143" spans="1:5" ht="42">
      <c r="A143" s="522" t="s">
        <v>1981</v>
      </c>
      <c r="B143" s="828" t="str">
        <f>'Import Biologie'!C137</f>
        <v xml:space="preserve">Negative </v>
      </c>
      <c r="C143" s="451" t="s">
        <v>2216</v>
      </c>
      <c r="D143" s="823" t="s">
        <v>2360</v>
      </c>
      <c r="E143" s="820"/>
    </row>
    <row r="144" spans="1:5" ht="42">
      <c r="A144" s="541" t="s">
        <v>1729</v>
      </c>
      <c r="B144" s="824">
        <f>AUTOQUESTIONNAIRE!F247</f>
        <v>0</v>
      </c>
      <c r="C144" s="742" t="s">
        <v>2220</v>
      </c>
      <c r="D144" s="706" t="s">
        <v>2072</v>
      </c>
    </row>
    <row r="145" spans="1:4" ht="42">
      <c r="A145" s="541" t="s">
        <v>1730</v>
      </c>
      <c r="B145" s="452">
        <f>AUTOQUESTIONNAIRE!F248</f>
        <v>0</v>
      </c>
      <c r="C145" s="453" t="s">
        <v>2221</v>
      </c>
      <c r="D145" s="706" t="s">
        <v>2072</v>
      </c>
    </row>
    <row r="146" spans="1:4" ht="63">
      <c r="A146" s="331" t="s">
        <v>2376</v>
      </c>
      <c r="B146" s="852">
        <f>AUTOQUESTIONNAIRE!K187</f>
        <v>1.0857310133318625E-2</v>
      </c>
      <c r="C146" s="453" t="s">
        <v>2377</v>
      </c>
    </row>
    <row r="147" spans="1:4" ht="63">
      <c r="A147" s="316" t="s">
        <v>2709</v>
      </c>
      <c r="B147" s="452">
        <f>AUTOQUESTIONNAIRE!H249</f>
        <v>7.5</v>
      </c>
      <c r="C147" s="889" t="s">
        <v>2710</v>
      </c>
    </row>
    <row r="148" spans="1:4">
      <c r="A148" s="316" t="s">
        <v>2715</v>
      </c>
      <c r="B148" s="452">
        <f>AUTOQUESTIONNAIRE!G346</f>
        <v>10</v>
      </c>
      <c r="C148" s="892" t="s">
        <v>2718</v>
      </c>
    </row>
  </sheetData>
  <autoFilter ref="A1:H115" xr:uid="{FCD48571-2A71-4440-ACFB-DEC2D9C6D01A}"/>
  <conditionalFormatting sqref="B4">
    <cfRule type="cellIs" dxfId="74" priority="163" operator="lessThan">
      <formula>0.185</formula>
    </cfRule>
    <cfRule type="cellIs" dxfId="73" priority="162" operator="greaterThan">
      <formula>0.29</formula>
    </cfRule>
    <cfRule type="cellIs" dxfId="72" priority="160" operator="between">
      <formula>0.25</formula>
      <formula>0.3</formula>
    </cfRule>
    <cfRule type="cellIs" dxfId="71"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0" priority="142" operator="greaterThan">
      <formula>93.1</formula>
    </cfRule>
    <cfRule type="cellIs" dxfId="69" priority="145" operator="equal">
      <formula>0</formula>
    </cfRule>
    <cfRule type="cellIs" dxfId="68"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7"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6" priority="124" operator="between">
      <formula>600</formula>
      <formula>3000</formula>
    </cfRule>
    <cfRule type="cellIs" dxfId="65" priority="127" operator="equal">
      <formula>0</formula>
    </cfRule>
  </conditionalFormatting>
  <conditionalFormatting sqref="B14">
    <cfRule type="cellIs" dxfId="64"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3" priority="178" operator="between">
      <formula>0.1</formula>
      <formula>0.3</formula>
    </cfRule>
    <cfRule type="cellIs" dxfId="62"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1"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0" priority="170" operator="lessThan">
      <formula>2</formula>
    </cfRule>
  </conditionalFormatting>
  <conditionalFormatting sqref="B24">
    <cfRule type="cellIs" dxfId="59" priority="38" operator="greaterThan">
      <formula>10</formula>
    </cfRule>
  </conditionalFormatting>
  <conditionalFormatting sqref="B25">
    <cfRule type="cellIs" dxfId="58" priority="41" operator="equal">
      <formula>"H"</formula>
    </cfRule>
    <cfRule type="cellIs" dxfId="57" priority="23" operator="equal">
      <formula>"L"</formula>
    </cfRule>
  </conditionalFormatting>
  <conditionalFormatting sqref="B27">
    <cfRule type="cellIs" dxfId="56"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5" priority="94" operator="between">
      <formula>11.6</formula>
      <formula>16.6</formula>
    </cfRule>
  </conditionalFormatting>
  <conditionalFormatting sqref="B33">
    <cfRule type="cellIs" dxfId="54" priority="97" operator="between">
      <formula>3.4</formula>
      <formula>9.6</formula>
    </cfRule>
  </conditionalFormatting>
  <conditionalFormatting sqref="B34">
    <cfRule type="cellIs" dxfId="53" priority="96" operator="between">
      <formula>1.5</formula>
      <formula>6.5</formula>
    </cfRule>
  </conditionalFormatting>
  <conditionalFormatting sqref="B36">
    <cfRule type="cellIs" dxfId="52" priority="93" operator="between">
      <formula>0.95</formula>
      <formula>3.1</formula>
    </cfRule>
  </conditionalFormatting>
  <conditionalFormatting sqref="B37">
    <cfRule type="cellIs" dxfId="51" priority="92" operator="between">
      <formula>135</formula>
      <formula>371</formula>
    </cfRule>
  </conditionalFormatting>
  <conditionalFormatting sqref="B38">
    <cfRule type="cellIs" dxfId="50" priority="90" operator="between">
      <formula>11</formula>
      <formula>340</formula>
    </cfRule>
  </conditionalFormatting>
  <conditionalFormatting sqref="B39:B40">
    <cfRule type="cellIs" dxfId="49" priority="88" operator="greaterThan">
      <formula>60</formula>
    </cfRule>
  </conditionalFormatting>
  <conditionalFormatting sqref="B42">
    <cfRule type="cellIs" dxfId="48" priority="37" operator="greaterThan">
      <formula>2</formula>
    </cfRule>
  </conditionalFormatting>
  <conditionalFormatting sqref="B43">
    <cfRule type="cellIs" dxfId="47" priority="87" operator="greaterThan">
      <formula>70</formula>
    </cfRule>
  </conditionalFormatting>
  <conditionalFormatting sqref="B44">
    <cfRule type="cellIs" dxfId="46" priority="35" operator="between">
      <formula>0.4</formula>
      <formula>4</formula>
    </cfRule>
  </conditionalFormatting>
  <conditionalFormatting sqref="B45">
    <cfRule type="cellIs" dxfId="45" priority="34" operator="lessThan">
      <formula>500</formula>
    </cfRule>
    <cfRule type="cellIs" dxfId="44" priority="60" operator="greaterThan">
      <formula>700</formula>
    </cfRule>
  </conditionalFormatting>
  <conditionalFormatting sqref="B46">
    <cfRule type="cellIs" dxfId="43" priority="59" operator="greaterThan">
      <formula>80</formula>
    </cfRule>
  </conditionalFormatting>
  <conditionalFormatting sqref="B47">
    <cfRule type="cellIs" dxfId="42" priority="57" operator="between">
      <formula>60</formula>
      <formula>80</formula>
    </cfRule>
    <cfRule type="cellIs" dxfId="41" priority="56" operator="lessThan">
      <formula>60</formula>
    </cfRule>
  </conditionalFormatting>
  <conditionalFormatting sqref="B48">
    <cfRule type="cellIs" dxfId="40" priority="55" operator="between">
      <formula>1</formula>
      <formula>2</formula>
    </cfRule>
    <cfRule type="cellIs" dxfId="39" priority="54" operator="between">
      <formula>0.1</formula>
      <formula>1</formula>
    </cfRule>
  </conditionalFormatting>
  <conditionalFormatting sqref="B49">
    <cfRule type="cellIs" dxfId="38" priority="32" operator="greaterThan">
      <formula>0.16</formula>
    </cfRule>
    <cfRule type="cellIs" dxfId="37" priority="33" operator="between">
      <formula>0.12</formula>
      <formula>0.16</formula>
    </cfRule>
  </conditionalFormatting>
  <conditionalFormatting sqref="B50">
    <cfRule type="cellIs" dxfId="36" priority="31" operator="between">
      <formula>3</formula>
      <formula>6</formula>
    </cfRule>
    <cfRule type="cellIs" dxfId="35" priority="159" operator="greaterThan">
      <formula>6</formula>
    </cfRule>
  </conditionalFormatting>
  <conditionalFormatting sqref="B51">
    <cfRule type="cellIs" dxfId="34" priority="158" operator="greaterThan">
      <formula>2.5</formula>
    </cfRule>
  </conditionalFormatting>
  <conditionalFormatting sqref="B52">
    <cfRule type="cellIs" dxfId="33" priority="22" operator="lessThan">
      <formula>200</formula>
    </cfRule>
    <cfRule type="cellIs" dxfId="32" priority="21" operator="greaterThan">
      <formula>1000</formula>
    </cfRule>
  </conditionalFormatting>
  <conditionalFormatting sqref="B53">
    <cfRule type="cellIs" dxfId="31" priority="17" operator="equal">
      <formula>0</formula>
    </cfRule>
    <cfRule type="cellIs" dxfId="30" priority="16" operator="between">
      <formula>600</formula>
      <formula>3000</formula>
    </cfRule>
  </conditionalFormatting>
  <conditionalFormatting sqref="B54:B56">
    <cfRule type="cellIs" dxfId="29" priority="19" operator="equal">
      <formula>"Positive"</formula>
    </cfRule>
  </conditionalFormatting>
  <conditionalFormatting sqref="B59:B61">
    <cfRule type="cellIs" dxfId="28" priority="18" operator="equal">
      <formula>"Positive"</formula>
    </cfRule>
  </conditionalFormatting>
  <conditionalFormatting sqref="B62">
    <cfRule type="cellIs" dxfId="27" priority="14" operator="greaterThan">
      <formula>250</formula>
    </cfRule>
  </conditionalFormatting>
  <conditionalFormatting sqref="B62:B63">
    <cfRule type="cellIs" dxfId="26" priority="15" operator="equal">
      <formula>0</formula>
    </cfRule>
  </conditionalFormatting>
  <conditionalFormatting sqref="B63">
    <cfRule type="cellIs" dxfId="25" priority="13" operator="greaterThan">
      <formula>750</formula>
    </cfRule>
  </conditionalFormatting>
  <conditionalFormatting sqref="B64">
    <cfRule type="containsErrors" dxfId="24" priority="10">
      <formula>ISERROR(B64)</formula>
    </cfRule>
    <cfRule type="cellIs" dxfId="23" priority="11" operator="equal">
      <formula>0</formula>
    </cfRule>
  </conditionalFormatting>
  <conditionalFormatting sqref="B65">
    <cfRule type="containsBlanks" dxfId="22"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1" priority="8" operator="greaterThan">
      <formula>6</formula>
    </cfRule>
    <cfRule type="cellIs" dxfId="20" priority="7" operator="equal">
      <formula>0</formula>
    </cfRule>
  </conditionalFormatting>
  <conditionalFormatting sqref="B69">
    <cfRule type="cellIs" dxfId="19" priority="6" operator="equal">
      <formula>0</formula>
    </cfRule>
    <cfRule type="cellIs" dxfId="18" priority="5" operator="between">
      <formula>0.01</formula>
      <formula>0.3</formula>
    </cfRule>
    <cfRule type="cellIs" dxfId="17" priority="4" operator="between">
      <formula>0.31</formula>
      <formula>0.7</formula>
    </cfRule>
  </conditionalFormatting>
  <conditionalFormatting sqref="B70:B71">
    <cfRule type="containsErrors" dxfId="16" priority="1">
      <formula>ISERROR(B70)</formula>
    </cfRule>
    <cfRule type="cellIs" dxfId="15"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J3" sqref="J3"/>
    </sheetView>
  </sheetViews>
  <sheetFormatPr defaultColWidth="11.5546875" defaultRowHeight="14.4"/>
  <cols>
    <col min="5" max="5" width="11.5546875" style="28"/>
    <col min="6" max="6" width="15.44140625" customWidth="1"/>
    <col min="7" max="7" width="31.88671875" bestFit="1" customWidth="1"/>
    <col min="8" max="8" width="10.88671875" style="14"/>
    <col min="9" max="10" width="10.88671875" style="15"/>
    <col min="11" max="11" width="26.21875" customWidth="1"/>
    <col min="13" max="13" width="10.88671875" style="20"/>
    <col min="22" max="22" width="11.5546875" style="28"/>
  </cols>
  <sheetData>
    <row r="2" spans="4:14">
      <c r="D2" s="17" t="s">
        <v>55</v>
      </c>
      <c r="E2" s="28" t="s">
        <v>796</v>
      </c>
      <c r="F2" s="256" t="s">
        <v>795</v>
      </c>
      <c r="G2" s="17" t="s">
        <v>55</v>
      </c>
      <c r="H2" s="19" t="s">
        <v>34</v>
      </c>
      <c r="I2" s="254" t="s">
        <v>80</v>
      </c>
      <c r="J2" s="254" t="s">
        <v>127</v>
      </c>
      <c r="M2" s="20" t="s">
        <v>88</v>
      </c>
      <c r="N2" t="s">
        <v>89</v>
      </c>
    </row>
    <row r="3" spans="4:14">
      <c r="D3" s="843" t="s">
        <v>54</v>
      </c>
      <c r="E3" s="28">
        <f>IF(F3&gt;1,1,F3)</f>
        <v>0.48668730650154796</v>
      </c>
      <c r="F3" s="28">
        <f>(J3/I3)</f>
        <v>0.48668730650154796</v>
      </c>
      <c r="G3" s="843" t="s">
        <v>54</v>
      </c>
      <c r="H3" s="257">
        <f>calculRISKS!U2</f>
        <v>3.1473118881119186E-2</v>
      </c>
      <c r="I3" s="255">
        <f>calculRISKS!$V2</f>
        <v>2.9070000000000002E-2</v>
      </c>
      <c r="J3" s="255">
        <f>calculRISKS!W2</f>
        <v>1.4148000000000001E-2</v>
      </c>
      <c r="K3" s="29" t="s">
        <v>109</v>
      </c>
      <c r="L3" s="30" t="s">
        <v>88</v>
      </c>
    </row>
    <row r="4" spans="4:14">
      <c r="D4" s="844" t="s">
        <v>35</v>
      </c>
      <c r="E4" s="28">
        <f t="shared" ref="E4:E23" si="0">IF(F4&gt;1,1,F4)</f>
        <v>0.66666666666666674</v>
      </c>
      <c r="F4" s="28">
        <f t="shared" ref="F4:F23" si="1">(J4/I4)</f>
        <v>0.66666666666666674</v>
      </c>
      <c r="G4" s="844" t="s">
        <v>35</v>
      </c>
      <c r="H4" s="257">
        <f>calculRISKS!U3</f>
        <v>9.3381818181815401E-2</v>
      </c>
      <c r="I4" s="255">
        <f>calculRISKS!$V3</f>
        <v>0.13446981818181417</v>
      </c>
      <c r="J4" s="255">
        <f>calculRISKS!W3</f>
        <v>8.9646545454542786E-2</v>
      </c>
      <c r="K4" s="29" t="s">
        <v>111</v>
      </c>
      <c r="L4" s="30" t="s">
        <v>89</v>
      </c>
    </row>
    <row r="5" spans="4:14">
      <c r="D5" s="18" t="s">
        <v>36</v>
      </c>
      <c r="E5" s="28">
        <f t="shared" si="0"/>
        <v>0.83333333333333326</v>
      </c>
      <c r="F5" s="28">
        <f t="shared" si="1"/>
        <v>0.83333333333333326</v>
      </c>
      <c r="G5" s="18" t="s">
        <v>36</v>
      </c>
      <c r="H5" s="257">
        <f>calculRISKS!U4</f>
        <v>1.4801714285714251E-2</v>
      </c>
      <c r="I5" s="255">
        <f>calculRISKS!$V4</f>
        <v>1.7762057142857102E-2</v>
      </c>
      <c r="J5" s="255">
        <f>calculRISKS!W4</f>
        <v>1.4801714285714251E-2</v>
      </c>
      <c r="K5" s="29" t="s">
        <v>112</v>
      </c>
      <c r="L5" s="30" t="s">
        <v>89</v>
      </c>
    </row>
    <row r="6" spans="4:14">
      <c r="D6" s="18" t="s">
        <v>37</v>
      </c>
      <c r="E6" s="28">
        <f t="shared" si="0"/>
        <v>0.66666666666666663</v>
      </c>
      <c r="F6" s="28">
        <f t="shared" si="1"/>
        <v>0.66666666666666663</v>
      </c>
      <c r="G6" s="18" t="s">
        <v>37</v>
      </c>
      <c r="H6" s="257">
        <f>calculRISKS!U5</f>
        <v>8.4000000000001629E-2</v>
      </c>
      <c r="I6" s="255">
        <f>calculRISKS!$V5</f>
        <v>9.0720000000001771E-2</v>
      </c>
      <c r="J6" s="255">
        <f>calculRISKS!W5</f>
        <v>6.0480000000001179E-2</v>
      </c>
      <c r="K6" s="29" t="s">
        <v>110</v>
      </c>
      <c r="L6" s="30" t="s">
        <v>88</v>
      </c>
    </row>
    <row r="7" spans="4:14">
      <c r="D7" s="18" t="s">
        <v>38</v>
      </c>
      <c r="E7" s="28">
        <f t="shared" si="0"/>
        <v>1</v>
      </c>
      <c r="F7" s="28">
        <f t="shared" si="1"/>
        <v>1</v>
      </c>
      <c r="G7" s="18" t="s">
        <v>38</v>
      </c>
      <c r="H7" s="257">
        <f>calculRISKS!U6</f>
        <v>1.0105714285714247E-2</v>
      </c>
      <c r="I7" s="255">
        <f>calculRISKS!$V6</f>
        <v>8.0845714285713976E-3</v>
      </c>
      <c r="J7" s="255">
        <f>calculRISKS!W6</f>
        <v>8.0845714285713976E-3</v>
      </c>
      <c r="K7" s="29" t="s">
        <v>113</v>
      </c>
      <c r="L7" s="30" t="s">
        <v>88</v>
      </c>
    </row>
    <row r="8" spans="4:14">
      <c r="D8" s="18" t="s">
        <v>39</v>
      </c>
      <c r="E8" s="28">
        <f t="shared" si="0"/>
        <v>0.6</v>
      </c>
      <c r="F8" s="28">
        <f t="shared" si="1"/>
        <v>0.6</v>
      </c>
      <c r="G8" s="18" t="s">
        <v>39</v>
      </c>
      <c r="H8" s="257">
        <f>calculRISKS!U7</f>
        <v>3.7557049869292453E-3</v>
      </c>
      <c r="I8" s="255">
        <f>calculRISKS!$V7</f>
        <v>4.0561613858835855E-3</v>
      </c>
      <c r="J8" s="255">
        <f>calculRISKS!W7</f>
        <v>2.4336968315301511E-3</v>
      </c>
      <c r="K8" s="29" t="s">
        <v>125</v>
      </c>
      <c r="L8" s="30" t="s">
        <v>89</v>
      </c>
    </row>
    <row r="9" spans="4:14">
      <c r="D9" s="18" t="s">
        <v>250</v>
      </c>
      <c r="E9" s="28" t="e">
        <f t="shared" si="0"/>
        <v>#DIV/0!</v>
      </c>
      <c r="F9" s="28" t="e">
        <f t="shared" si="1"/>
        <v>#DIV/0!</v>
      </c>
      <c r="G9" s="18" t="s">
        <v>250</v>
      </c>
      <c r="H9" s="257">
        <f>calculRISKS!U8</f>
        <v>0.17640000000000003</v>
      </c>
      <c r="I9" s="255" t="e">
        <f>calculRISKS!$V8</f>
        <v>#DIV/0!</v>
      </c>
      <c r="J9" s="255">
        <f>calculRISKS!W8</f>
        <v>0.11289600000000004</v>
      </c>
    </row>
    <row r="10" spans="4:14">
      <c r="D10" s="18" t="s">
        <v>41</v>
      </c>
      <c r="E10" s="28">
        <f t="shared" si="0"/>
        <v>1</v>
      </c>
      <c r="F10" s="28">
        <f t="shared" si="1"/>
        <v>1</v>
      </c>
      <c r="G10" s="18" t="s">
        <v>41</v>
      </c>
      <c r="H10" s="257">
        <f>calculRISKS!U9</f>
        <v>5.2000000000000005E-2</v>
      </c>
      <c r="I10" s="255">
        <f>calculRISKS!$V9</f>
        <v>5.2000000000000005E-2</v>
      </c>
      <c r="J10" s="255">
        <f>calculRISKS!W9</f>
        <v>5.2000000000000005E-2</v>
      </c>
    </row>
    <row r="11" spans="4:14">
      <c r="D11" s="18" t="s">
        <v>42</v>
      </c>
      <c r="E11" s="28">
        <f t="shared" si="0"/>
        <v>1</v>
      </c>
      <c r="F11" s="28">
        <f t="shared" si="1"/>
        <v>1</v>
      </c>
      <c r="G11" s="18" t="s">
        <v>42</v>
      </c>
      <c r="H11" s="257">
        <f>calculRISKS!U10</f>
        <v>0.16000000000000003</v>
      </c>
      <c r="I11" s="255">
        <f>calculRISKS!$V10</f>
        <v>1</v>
      </c>
      <c r="J11" s="255">
        <f>calculRISKS!W10</f>
        <v>1</v>
      </c>
    </row>
    <row r="12" spans="4:14">
      <c r="D12" s="18" t="s">
        <v>43</v>
      </c>
      <c r="E12" s="28">
        <f t="shared" si="0"/>
        <v>0.53333333333333344</v>
      </c>
      <c r="F12" s="28">
        <f t="shared" si="1"/>
        <v>0.53333333333333344</v>
      </c>
      <c r="G12" s="18" t="s">
        <v>43</v>
      </c>
      <c r="H12" s="257">
        <f>calculRISKS!U11</f>
        <v>1.8657142857142851E-2</v>
      </c>
      <c r="I12" s="255">
        <f>calculRISKS!$V11</f>
        <v>2.0149714285714281E-2</v>
      </c>
      <c r="J12" s="255">
        <f>calculRISKS!W11</f>
        <v>1.0746514285714286E-2</v>
      </c>
    </row>
    <row r="13" spans="4:14">
      <c r="D13" s="18" t="s">
        <v>44</v>
      </c>
      <c r="E13" s="28">
        <f t="shared" si="0"/>
        <v>0.64000000000000012</v>
      </c>
      <c r="F13" s="28">
        <f t="shared" si="1"/>
        <v>0.64000000000000012</v>
      </c>
      <c r="G13" s="18" t="s">
        <v>44</v>
      </c>
      <c r="H13" s="257">
        <f>calculRISKS!U12</f>
        <v>0.1472857142857143</v>
      </c>
      <c r="I13" s="255">
        <f>calculRISKS!$V12</f>
        <v>7.3642857142857149E-2</v>
      </c>
      <c r="J13" s="255">
        <f>calculRISKS!W12</f>
        <v>4.7131428571428581E-2</v>
      </c>
    </row>
    <row r="14" spans="4:14">
      <c r="D14" s="18" t="s">
        <v>45</v>
      </c>
      <c r="E14" s="28">
        <f t="shared" si="0"/>
        <v>0.8</v>
      </c>
      <c r="F14" s="28">
        <f t="shared" si="1"/>
        <v>0.8</v>
      </c>
      <c r="G14" s="18" t="s">
        <v>45</v>
      </c>
      <c r="H14" s="257">
        <f>calculRISKS!U13</f>
        <v>0.02</v>
      </c>
      <c r="I14" s="255">
        <f>calculRISKS!$V13</f>
        <v>1.8000000000000002E-2</v>
      </c>
      <c r="J14" s="255">
        <f>calculRISKS!W13</f>
        <v>1.4400000000000003E-2</v>
      </c>
    </row>
    <row r="15" spans="4:14">
      <c r="D15" s="18" t="s">
        <v>46</v>
      </c>
      <c r="E15" s="28">
        <f t="shared" si="0"/>
        <v>0.66666666666666674</v>
      </c>
      <c r="F15" s="28">
        <f t="shared" si="1"/>
        <v>0.66666666666666674</v>
      </c>
      <c r="G15" s="18" t="s">
        <v>46</v>
      </c>
      <c r="H15" s="257">
        <f>calculRISKS!U14</f>
        <v>0.04</v>
      </c>
      <c r="I15" s="255">
        <f>calculRISKS!$V14</f>
        <v>4.3200000000000002E-2</v>
      </c>
      <c r="J15" s="255">
        <f>calculRISKS!W14</f>
        <v>2.8800000000000006E-2</v>
      </c>
    </row>
    <row r="16" spans="4:14">
      <c r="D16" s="18" t="s">
        <v>47</v>
      </c>
      <c r="E16" s="28">
        <f t="shared" si="0"/>
        <v>1</v>
      </c>
      <c r="F16" s="28">
        <f t="shared" si="1"/>
        <v>1</v>
      </c>
      <c r="G16" s="18" t="s">
        <v>47</v>
      </c>
      <c r="H16" s="257">
        <f>calculRISKS!U15</f>
        <v>3.6097825167146297E-2</v>
      </c>
      <c r="I16" s="255">
        <f>calculRISKS!$V15</f>
        <v>7.3186666666666721E-3</v>
      </c>
      <c r="J16" s="255">
        <f>calculRISKS!W15</f>
        <v>7.3186666666666721E-3</v>
      </c>
    </row>
    <row r="17" spans="3:10">
      <c r="D17" s="18" t="s">
        <v>48</v>
      </c>
      <c r="E17" s="28">
        <f t="shared" si="0"/>
        <v>0.64000000000000012</v>
      </c>
      <c r="F17" s="28">
        <f t="shared" si="1"/>
        <v>0.64000000000000012</v>
      </c>
      <c r="G17" s="18" t="s">
        <v>48</v>
      </c>
      <c r="H17" s="257">
        <f>calculRISKS!U16</f>
        <v>6.5412121212121116E-2</v>
      </c>
      <c r="I17" s="255">
        <f>calculRISKS!$V16</f>
        <v>2.1956000000000017E-2</v>
      </c>
      <c r="J17" s="255">
        <f>calculRISKS!W16</f>
        <v>1.4051840000000013E-2</v>
      </c>
    </row>
    <row r="18" spans="3:10">
      <c r="D18" s="18" t="s">
        <v>49</v>
      </c>
      <c r="E18" s="28">
        <f t="shared" si="0"/>
        <v>1</v>
      </c>
      <c r="F18" s="28">
        <f t="shared" si="1"/>
        <v>1</v>
      </c>
      <c r="G18" s="18" t="s">
        <v>49</v>
      </c>
      <c r="H18" s="257">
        <f>calculRISKS!U17</f>
        <v>1E-3</v>
      </c>
      <c r="I18" s="255">
        <f>calculRISKS!$V17</f>
        <v>1.0000000000000001E-5</v>
      </c>
      <c r="J18" s="255">
        <f>calculRISKS!W17</f>
        <v>1.0000000000000001E-5</v>
      </c>
    </row>
    <row r="19" spans="3:10">
      <c r="D19" s="18" t="s">
        <v>50</v>
      </c>
      <c r="E19" s="28">
        <f t="shared" si="0"/>
        <v>1</v>
      </c>
      <c r="F19" s="28">
        <f t="shared" si="1"/>
        <v>10</v>
      </c>
      <c r="G19" s="18" t="s">
        <v>50</v>
      </c>
      <c r="H19" s="257">
        <f>calculRISKS!U18</f>
        <v>1.0276969368271925E-2</v>
      </c>
      <c r="I19" s="255">
        <f>calculRISKS!$V18</f>
        <v>1.0276969368271926E-4</v>
      </c>
      <c r="J19" s="255">
        <f>calculRISKS!W18</f>
        <v>1.0276969368271927E-3</v>
      </c>
    </row>
    <row r="20" spans="3:10">
      <c r="D20" s="18" t="s">
        <v>51</v>
      </c>
      <c r="E20" s="28">
        <f t="shared" si="0"/>
        <v>1</v>
      </c>
      <c r="F20" s="28">
        <f t="shared" si="1"/>
        <v>1</v>
      </c>
      <c r="G20" s="18" t="s">
        <v>51</v>
      </c>
      <c r="H20" s="257">
        <f>calculRISKS!U19</f>
        <v>0.06</v>
      </c>
      <c r="I20" s="255">
        <f>calculRISKS!$V19</f>
        <v>5.3999999999999999E-2</v>
      </c>
      <c r="J20" s="255">
        <f>calculRISKS!W19</f>
        <v>5.3999999999999999E-2</v>
      </c>
    </row>
    <row r="21" spans="3:10">
      <c r="D21" s="18" t="s">
        <v>52</v>
      </c>
      <c r="E21" s="28">
        <f t="shared" si="0"/>
        <v>1</v>
      </c>
      <c r="F21" s="28">
        <f t="shared" si="1"/>
        <v>1</v>
      </c>
      <c r="G21" s="18" t="s">
        <v>52</v>
      </c>
      <c r="H21" s="257">
        <f>calculRISKS!U20</f>
        <v>2.3673391337022207E-3</v>
      </c>
      <c r="I21" s="255">
        <f>calculRISKS!$V20</f>
        <v>2.1306052203319986E-3</v>
      </c>
      <c r="J21" s="255">
        <f>calculRISKS!W20</f>
        <v>2.1306052203319986E-3</v>
      </c>
    </row>
    <row r="22" spans="3:10">
      <c r="D22" s="18" t="s">
        <v>2056</v>
      </c>
      <c r="E22" s="28">
        <f t="shared" si="0"/>
        <v>0.66666666666666663</v>
      </c>
      <c r="F22" s="28">
        <f t="shared" si="1"/>
        <v>0.66666666666666663</v>
      </c>
      <c r="G22" s="18" t="s">
        <v>2056</v>
      </c>
      <c r="H22" s="257">
        <f>calculRISKS!U21</f>
        <v>2.1187411255411376E-4</v>
      </c>
      <c r="I22" s="255">
        <f>calculRISKS!$V21</f>
        <v>2.2882404155844289E-4</v>
      </c>
      <c r="J22" s="255">
        <f>calculRISKS!W21</f>
        <v>1.5254936103896192E-4</v>
      </c>
    </row>
    <row r="23" spans="3:10">
      <c r="D23" s="23" t="s">
        <v>604</v>
      </c>
      <c r="E23" s="28">
        <f t="shared" si="0"/>
        <v>1</v>
      </c>
      <c r="F23" s="28">
        <f t="shared" si="1"/>
        <v>1</v>
      </c>
      <c r="G23" s="23" t="s">
        <v>604</v>
      </c>
      <c r="H23" s="257">
        <f>calculRISKS!U22</f>
        <v>1.2731104413709129E-3</v>
      </c>
      <c r="I23" s="255">
        <f>calculRISKS!$V22</f>
        <v>1.1457993972338216E-4</v>
      </c>
      <c r="J23" s="255">
        <f>calculRISKS!W22</f>
        <v>1.1457993972338216E-4</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AUTOQUESTIONNAIRE</vt:lpstr>
      <vt:lpstr>Options Réponses</vt:lpstr>
      <vt:lpstr>Import Biologie</vt:lpstr>
      <vt:lpstr>A FAIRE</vt:lpstr>
      <vt:lpstr>RapportPharmacie</vt:lpstr>
      <vt:lpstr>RRImmédiat</vt:lpstr>
      <vt:lpstr>Analyse Globale Q</vt:lpstr>
      <vt:lpstr>Commentaires analyses</vt:lpstr>
      <vt:lpstr>SIMULATEUR</vt:lpstr>
      <vt:lpstr>Import Question</vt:lpstr>
      <vt:lpstr>calculRISKS</vt:lpstr>
      <vt:lpstr>Systemes</vt:lpstr>
      <vt:lpstr>CLINIQUE&amp;Radiologie</vt:lpstr>
      <vt:lpstr>BIOLOGIE</vt:lpstr>
      <vt:lpstr>ANOMALIEBIOLOGIQUE</vt:lpstr>
      <vt:lpstr>RESULTATS</vt:lpstr>
      <vt:lpstr>Commentaires résultats</vt:lpstr>
      <vt:lpstr>ACTIONS</vt:lpstr>
      <vt:lpstr>'Commentaires analyses'!Print_Area</vt:lpstr>
      <vt:lpstr>'Commentaires résultats'!Print_Area</vt:lpstr>
      <vt:lpstr>RESULTATS!Print_Area</vt:lpstr>
      <vt:lpstr>SIMULATEUR!Print_Area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Emilie Dumas</cp:lastModifiedBy>
  <cp:lastPrinted>2026-01-19T17:06:50Z</cp:lastPrinted>
  <dcterms:created xsi:type="dcterms:W3CDTF">2019-02-17T19:36:08Z</dcterms:created>
  <dcterms:modified xsi:type="dcterms:W3CDTF">2026-04-14T07:17:27Z</dcterms:modified>
</cp:coreProperties>
</file>