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d.docs.live.net/af973cd9758d8a62/Documents/Bureau13012024/Bureau23032023/IHM/DerniéreVersion/"/>
    </mc:Choice>
  </mc:AlternateContent>
  <xr:revisionPtr revIDLastSave="17" documentId="8_{D4AF7C9F-0D75-4DA2-AD3E-1C3DD315F730}" xr6:coauthVersionLast="47" xr6:coauthVersionMax="47" xr10:uidLastSave="{E4E4865F-30AA-4A84-A2A9-DBFC9CAA72DE}"/>
  <bookViews>
    <workbookView xWindow="-98" yWindow="-98" windowWidth="22695" windowHeight="14476" tabRatio="746" activeTab="4" xr2:uid="{00000000-000D-0000-FFFF-FFFF00000000}"/>
  </bookViews>
  <sheets>
    <sheet name="Import Question" sheetId="21" r:id="rId1"/>
    <sheet name="Import Biologie" sheetId="22" r:id="rId2"/>
    <sheet name="calculRISKS" sheetId="2" r:id="rId3"/>
    <sheet name="RESULTATS" sheetId="20" r:id="rId4"/>
    <sheet name="Commentaires analyses" sheetId="28" r:id="rId5"/>
    <sheet name="Commentaires résultats" sheetId="27" r:id="rId6"/>
    <sheet name="ACTIONS" sheetId="24" r:id="rId7"/>
    <sheet name="SIMULATEUR" sheetId="25" r:id="rId8"/>
    <sheet name="Feuil3" sheetId="31" r:id="rId9"/>
  </sheets>
  <definedNames>
    <definedName name="_xlnm.Print_Area" localSheetId="4">'Commentaires analyses'!$A$1:$H$52</definedName>
    <definedName name="_xlnm.Print_Area" localSheetId="5">'Commentaires résultats'!$A$1:$C$42</definedName>
    <definedName name="_xlnm.Print_Area" localSheetId="3">RESULTATS!$A$1:$N$23</definedName>
    <definedName name="_xlnm.Print_Area" localSheetId="7">SIMULATEUR!$A$1:$H$40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7" i="28" l="1"/>
  <c r="B89" i="28" s="1"/>
  <c r="B86" i="28"/>
  <c r="B88" i="28" s="1"/>
  <c r="B85" i="28"/>
  <c r="B94" i="28"/>
  <c r="B93" i="28"/>
  <c r="B92" i="28"/>
  <c r="B91" i="28"/>
  <c r="B90" i="28"/>
  <c r="B95" i="28"/>
  <c r="B96" i="28"/>
  <c r="B97" i="28"/>
  <c r="B98" i="28"/>
  <c r="E89" i="22"/>
  <c r="D39" i="22"/>
  <c r="D38" i="22"/>
  <c r="H47" i="22" s="1"/>
  <c r="D32" i="22"/>
  <c r="C63" i="22" s="1"/>
  <c r="S17" i="2"/>
  <c r="S21" i="2"/>
  <c r="D44" i="22"/>
  <c r="AU9" i="2"/>
  <c r="AT9" i="2"/>
  <c r="AS9" i="2"/>
  <c r="AR9" i="2"/>
  <c r="AQ9" i="2"/>
  <c r="AP9" i="2"/>
  <c r="AO9" i="2"/>
  <c r="AL9" i="2"/>
  <c r="AK9" i="2"/>
  <c r="AJ9" i="2"/>
  <c r="AI9" i="2"/>
  <c r="AH9" i="2"/>
  <c r="AG9" i="2"/>
  <c r="AF9" i="2"/>
  <c r="AE9" i="2"/>
  <c r="AD9" i="2"/>
  <c r="AC9" i="2"/>
  <c r="AB9" i="2"/>
  <c r="AA9" i="2"/>
  <c r="Z9" i="2"/>
  <c r="AR12" i="2"/>
  <c r="AG12" i="2"/>
  <c r="AU19" i="2"/>
  <c r="AT19" i="2"/>
  <c r="AS19" i="2"/>
  <c r="AR19" i="2"/>
  <c r="AQ19" i="2"/>
  <c r="AP19" i="2"/>
  <c r="AO19" i="2"/>
  <c r="AL19" i="2"/>
  <c r="AK19" i="2"/>
  <c r="AJ19" i="2"/>
  <c r="AI19" i="2"/>
  <c r="AH19" i="2"/>
  <c r="AG19" i="2"/>
  <c r="AF19" i="2"/>
  <c r="AE19" i="2"/>
  <c r="AD19" i="2"/>
  <c r="AC19" i="2"/>
  <c r="AB19" i="2"/>
  <c r="AA19" i="2"/>
  <c r="Z19" i="2"/>
  <c r="AU18" i="2"/>
  <c r="AT18" i="2"/>
  <c r="AS18" i="2"/>
  <c r="AR18" i="2"/>
  <c r="AQ18" i="2"/>
  <c r="AP18" i="2"/>
  <c r="AO18" i="2"/>
  <c r="AN18" i="2"/>
  <c r="AM18" i="2"/>
  <c r="AL18" i="2"/>
  <c r="AK18" i="2"/>
  <c r="AJ18" i="2"/>
  <c r="AI18" i="2"/>
  <c r="AH18" i="2"/>
  <c r="AG18" i="2"/>
  <c r="AG20" i="2" s="1"/>
  <c r="AF18" i="2"/>
  <c r="AE18" i="2"/>
  <c r="AC18" i="2"/>
  <c r="AB18" i="2"/>
  <c r="AA18" i="2"/>
  <c r="Z18" i="2"/>
  <c r="AU17" i="2"/>
  <c r="AT17" i="2"/>
  <c r="AR17" i="2"/>
  <c r="AR20" i="2" s="1"/>
  <c r="AQ17" i="2"/>
  <c r="AP17" i="2"/>
  <c r="AO17" i="2"/>
  <c r="AL17" i="2"/>
  <c r="AK17" i="2"/>
  <c r="AH17" i="2"/>
  <c r="AG17" i="2"/>
  <c r="AD17" i="2"/>
  <c r="AU16" i="2"/>
  <c r="AT16" i="2"/>
  <c r="AS16" i="2"/>
  <c r="AR16" i="2"/>
  <c r="AQ16" i="2"/>
  <c r="AP16" i="2"/>
  <c r="AO16" i="2"/>
  <c r="AN16" i="2"/>
  <c r="AM16" i="2"/>
  <c r="AL16" i="2"/>
  <c r="AK16" i="2"/>
  <c r="AJ16" i="2"/>
  <c r="AI16" i="2"/>
  <c r="AH16" i="2"/>
  <c r="AG16" i="2"/>
  <c r="AF16" i="2"/>
  <c r="AE16" i="2"/>
  <c r="AD16" i="2"/>
  <c r="AC16" i="2"/>
  <c r="AB16" i="2"/>
  <c r="AA16" i="2"/>
  <c r="Z16" i="2"/>
  <c r="AU15" i="2"/>
  <c r="AS15" i="2"/>
  <c r="AR15" i="2"/>
  <c r="AQ15" i="2"/>
  <c r="AO15" i="2"/>
  <c r="AN15" i="2"/>
  <c r="AM15" i="2"/>
  <c r="AL15" i="2"/>
  <c r="AK15" i="2"/>
  <c r="AJ15" i="2"/>
  <c r="AI15" i="2"/>
  <c r="AH15" i="2"/>
  <c r="AG15" i="2"/>
  <c r="AD15" i="2"/>
  <c r="AC15" i="2"/>
  <c r="AB15" i="2"/>
  <c r="AA15" i="2"/>
  <c r="Z15" i="2"/>
  <c r="AS14" i="2"/>
  <c r="AR14" i="2"/>
  <c r="AJ14" i="2"/>
  <c r="AI14" i="2"/>
  <c r="AH14" i="2"/>
  <c r="AG14" i="2"/>
  <c r="AF14" i="2"/>
  <c r="AE14" i="2"/>
  <c r="AC14" i="2"/>
  <c r="AA14" i="2"/>
  <c r="Z14" i="2"/>
  <c r="AU13" i="2"/>
  <c r="AT13" i="2"/>
  <c r="AR13" i="2"/>
  <c r="AQ13" i="2"/>
  <c r="AP13" i="2"/>
  <c r="AO13" i="2"/>
  <c r="AK13" i="2"/>
  <c r="AG13" i="2"/>
  <c r="AD7" i="2"/>
  <c r="AC7" i="2"/>
  <c r="N23" i="21"/>
  <c r="AD18" i="2" s="1"/>
  <c r="AO7" i="2"/>
  <c r="AP7" i="2"/>
  <c r="AR7" i="2"/>
  <c r="AT7" i="2"/>
  <c r="AU7" i="2"/>
  <c r="AQ7" i="2"/>
  <c r="AL7" i="2"/>
  <c r="AK7" i="2"/>
  <c r="AH7" i="2"/>
  <c r="AG7" i="2"/>
  <c r="M22" i="21"/>
  <c r="AC17" i="2" s="1"/>
  <c r="L22" i="21"/>
  <c r="AB7" i="2" s="1"/>
  <c r="K22" i="21"/>
  <c r="AA17" i="2" s="1"/>
  <c r="J22" i="21"/>
  <c r="Z17" i="2" s="1"/>
  <c r="AO6" i="2"/>
  <c r="AP6" i="2"/>
  <c r="AQ6" i="2"/>
  <c r="AR6" i="2"/>
  <c r="AT6" i="2"/>
  <c r="AU6" i="2"/>
  <c r="AH6" i="2"/>
  <c r="AG6" i="2"/>
  <c r="AB6" i="2"/>
  <c r="J21" i="21"/>
  <c r="Z6" i="2" s="1"/>
  <c r="Z5" i="2"/>
  <c r="AS4" i="2"/>
  <c r="AA4" i="2"/>
  <c r="AM5" i="2"/>
  <c r="M21" i="21"/>
  <c r="AC6" i="2" s="1"/>
  <c r="I44" i="20"/>
  <c r="I43" i="20"/>
  <c r="I38" i="20"/>
  <c r="J35" i="20"/>
  <c r="I35" i="20"/>
  <c r="K35" i="20" s="1"/>
  <c r="L35" i="20" s="1"/>
  <c r="I34" i="20"/>
  <c r="I32" i="20"/>
  <c r="I30" i="20"/>
  <c r="I29" i="20"/>
  <c r="N42" i="2"/>
  <c r="N41" i="2"/>
  <c r="N36" i="2"/>
  <c r="O33" i="2"/>
  <c r="N33" i="2"/>
  <c r="Q33" i="2" s="1"/>
  <c r="N32" i="2"/>
  <c r="N30" i="2"/>
  <c r="N28" i="2"/>
  <c r="N27" i="2"/>
  <c r="AD8" i="2" l="1"/>
  <c r="Z7" i="2"/>
  <c r="AA7" i="2"/>
  <c r="AB17" i="2"/>
  <c r="D6" i="22"/>
  <c r="H3" i="22"/>
  <c r="G265" i="21" l="1"/>
  <c r="G262" i="21"/>
  <c r="B30" i="27" s="1"/>
  <c r="B31" i="27"/>
  <c r="G274" i="21"/>
  <c r="G271" i="21"/>
  <c r="B28" i="27" s="1"/>
  <c r="G268" i="21"/>
  <c r="B25" i="27" s="1"/>
  <c r="G259" i="21"/>
  <c r="G143" i="21"/>
  <c r="H184" i="21" l="1"/>
  <c r="H176" i="21"/>
  <c r="H172" i="21"/>
  <c r="Z20" i="21"/>
  <c r="Z19" i="21"/>
  <c r="Y19" i="21"/>
  <c r="J254" i="21"/>
  <c r="B84" i="28" s="1"/>
  <c r="H252" i="21"/>
  <c r="H251" i="21"/>
  <c r="H250" i="21"/>
  <c r="B82" i="28"/>
  <c r="AP15" i="2" l="1"/>
  <c r="AP5" i="2"/>
  <c r="AP14" i="2"/>
  <c r="AP4" i="2"/>
  <c r="AO4" i="2"/>
  <c r="AO14" i="2"/>
  <c r="AO20" i="2" s="1"/>
  <c r="AO12" i="2" s="1"/>
  <c r="J252" i="21"/>
  <c r="B83" i="28" s="1"/>
  <c r="B81" i="28"/>
  <c r="B80" i="28"/>
  <c r="B79" i="28"/>
  <c r="B78" i="28"/>
  <c r="B77" i="28"/>
  <c r="B76" i="28"/>
  <c r="B75" i="28"/>
  <c r="B74" i="28"/>
  <c r="AP20" i="2" l="1"/>
  <c r="AP12" i="2" s="1"/>
  <c r="L51" i="22"/>
  <c r="L50" i="22"/>
  <c r="H232" i="21" l="1"/>
  <c r="H7" i="24" l="1"/>
  <c r="AU8" i="2"/>
  <c r="AU5" i="2"/>
  <c r="AU3" i="2"/>
  <c r="AE19" i="21"/>
  <c r="E22" i="2"/>
  <c r="D22" i="2"/>
  <c r="AU4" i="2" l="1"/>
  <c r="AU10" i="2" s="1"/>
  <c r="AU14" i="2"/>
  <c r="AU20" i="2" s="1"/>
  <c r="AU12" i="2" s="1"/>
  <c r="P22" i="2"/>
  <c r="AE25" i="21"/>
  <c r="O22" i="2" s="1"/>
  <c r="L19" i="21"/>
  <c r="H231" i="21"/>
  <c r="K22" i="2"/>
  <c r="AB14" i="2" l="1"/>
  <c r="AB4" i="2"/>
  <c r="O46" i="2"/>
  <c r="J48" i="20"/>
  <c r="A22" i="2"/>
  <c r="D48" i="22"/>
  <c r="D47" i="22"/>
  <c r="H27" i="22"/>
  <c r="C72" i="22"/>
  <c r="D42" i="22"/>
  <c r="B62" i="28"/>
  <c r="Q22" i="2" l="1"/>
  <c r="T22" i="2"/>
  <c r="R22" i="2" s="1"/>
  <c r="B71" i="28"/>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B8" i="28"/>
  <c r="B7" i="28"/>
  <c r="H5" i="22"/>
  <c r="D8" i="22"/>
  <c r="H180" i="21"/>
  <c r="G118" i="21"/>
  <c r="G120" i="21"/>
  <c r="F2" i="21"/>
  <c r="H28" i="22"/>
  <c r="P9" i="2" s="1"/>
  <c r="F37" i="22"/>
  <c r="P4" i="2" s="1"/>
  <c r="H10" i="22"/>
  <c r="H7" i="22"/>
  <c r="B28" i="28"/>
  <c r="D9" i="22"/>
  <c r="U22" i="2" l="1"/>
  <c r="H23" i="20"/>
  <c r="C66" i="22"/>
  <c r="C67" i="22"/>
  <c r="B46" i="28"/>
  <c r="B44" i="28"/>
  <c r="B27" i="27"/>
  <c r="B26" i="27"/>
  <c r="J4" i="22" l="1"/>
  <c r="J3" i="22"/>
  <c r="E57" i="22"/>
  <c r="B65" i="22"/>
  <c r="C65" i="22" s="1"/>
  <c r="K32" i="22"/>
  <c r="O4" i="22"/>
  <c r="B25" i="28"/>
  <c r="H26" i="22"/>
  <c r="B26" i="28" s="1"/>
  <c r="B19" i="28"/>
  <c r="B3" i="28" l="1"/>
  <c r="E70" i="22"/>
  <c r="B68" i="28" s="1"/>
  <c r="E73" i="22"/>
  <c r="B20" i="28"/>
  <c r="G122" i="21"/>
  <c r="H4" i="21"/>
  <c r="H3" i="21"/>
  <c r="L49" i="22" s="1"/>
  <c r="B40" i="28"/>
  <c r="B39" i="28"/>
  <c r="B38" i="28"/>
  <c r="B37" i="28"/>
  <c r="B36" i="28"/>
  <c r="B35" i="28"/>
  <c r="B34" i="28"/>
  <c r="B33" i="28"/>
  <c r="B32" i="28"/>
  <c r="B31" i="28"/>
  <c r="B30" i="28"/>
  <c r="B29" i="28"/>
  <c r="B27" i="28"/>
  <c r="B24" i="28"/>
  <c r="B23" i="28"/>
  <c r="B22" i="28"/>
  <c r="B21" i="28"/>
  <c r="B14" i="28"/>
  <c r="B13" i="28"/>
  <c r="O5" i="22"/>
  <c r="B33" i="27" l="1"/>
  <c r="B32" i="27"/>
  <c r="O8" i="22"/>
  <c r="B42" i="28"/>
  <c r="I1" i="21"/>
  <c r="C56" i="22" s="1"/>
  <c r="L48" i="22" s="1"/>
  <c r="G119" i="21"/>
  <c r="J42" i="22"/>
  <c r="H10" i="24"/>
  <c r="H9" i="24"/>
  <c r="O3" i="22" l="1"/>
  <c r="C73" i="22"/>
  <c r="C75" i="22" s="1"/>
  <c r="C74" i="22"/>
  <c r="C76" i="22" s="1"/>
  <c r="H58" i="22"/>
  <c r="H57" i="22"/>
  <c r="B10" i="28" l="1"/>
  <c r="B11" i="28" s="1"/>
  <c r="H53" i="21"/>
  <c r="P13" i="2" s="1"/>
  <c r="H14" i="22"/>
  <c r="P6" i="2" s="1"/>
  <c r="C87" i="22"/>
  <c r="B72" i="28" s="1"/>
  <c r="D36" i="22"/>
  <c r="H16" i="22" s="1"/>
  <c r="H13" i="22"/>
  <c r="H11" i="22"/>
  <c r="D5" i="22"/>
  <c r="D4" i="22"/>
  <c r="H8" i="22" s="1"/>
  <c r="O7" i="22" s="1"/>
  <c r="D3" i="22"/>
  <c r="H6" i="22" s="1"/>
  <c r="H25" i="22"/>
  <c r="H24" i="22"/>
  <c r="H22" i="22"/>
  <c r="H21" i="22"/>
  <c r="H20" i="22"/>
  <c r="H19" i="22"/>
  <c r="H18" i="22"/>
  <c r="H17" i="22"/>
  <c r="H12" i="22"/>
  <c r="H9" i="22"/>
  <c r="H34" i="22" s="1"/>
  <c r="H4" i="22"/>
  <c r="H35" i="22" s="1"/>
  <c r="P5" i="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S5" i="2"/>
  <c r="AR5" i="2"/>
  <c r="AQ5" i="2"/>
  <c r="AO5" i="2"/>
  <c r="AN5" i="2"/>
  <c r="AL5" i="2"/>
  <c r="AK5" i="2"/>
  <c r="AJ5" i="2"/>
  <c r="AI5" i="2"/>
  <c r="AH5" i="2"/>
  <c r="AG5" i="2"/>
  <c r="AD5" i="2"/>
  <c r="AC5" i="2"/>
  <c r="AB5" i="2"/>
  <c r="AA5" i="2"/>
  <c r="AR4" i="2"/>
  <c r="AJ4" i="2"/>
  <c r="AI4" i="2"/>
  <c r="AH4" i="2"/>
  <c r="AG4" i="2"/>
  <c r="AF4" i="2"/>
  <c r="AE4" i="2"/>
  <c r="AC4" i="2"/>
  <c r="Z4" i="2"/>
  <c r="AT8" i="2"/>
  <c r="AS8" i="2"/>
  <c r="AQ8" i="2"/>
  <c r="Z8" i="2"/>
  <c r="AA8" i="2"/>
  <c r="AB8" i="2"/>
  <c r="AC8" i="2"/>
  <c r="AE8" i="2"/>
  <c r="AF8" i="2"/>
  <c r="AG8" i="2"/>
  <c r="AH8" i="2"/>
  <c r="AI8" i="2"/>
  <c r="AJ8" i="2"/>
  <c r="AK8" i="2"/>
  <c r="AL8" i="2"/>
  <c r="AM8" i="2"/>
  <c r="AN8" i="2"/>
  <c r="AO8" i="2"/>
  <c r="AP8" i="2"/>
  <c r="H30" i="22" l="1"/>
  <c r="L52" i="22"/>
  <c r="L59" i="22" s="1"/>
  <c r="N48" i="22" s="1"/>
  <c r="I14" i="22"/>
  <c r="H33" i="22"/>
  <c r="J29" i="22"/>
  <c r="B49" i="28" s="1"/>
  <c r="O6" i="22"/>
  <c r="B12" i="28"/>
  <c r="B5" i="28"/>
  <c r="B6" i="28"/>
  <c r="B64" i="28"/>
  <c r="C86" i="22"/>
  <c r="AG10" i="2"/>
  <c r="AO10" i="2"/>
  <c r="Q25" i="21"/>
  <c r="A21" i="2"/>
  <c r="A20" i="2"/>
  <c r="A19" i="2"/>
  <c r="A18" i="2"/>
  <c r="A17" i="2"/>
  <c r="A16" i="2"/>
  <c r="A15" i="2"/>
  <c r="A14" i="2"/>
  <c r="A13" i="2"/>
  <c r="A12" i="2"/>
  <c r="A11" i="2"/>
  <c r="A10" i="2"/>
  <c r="A9" i="2"/>
  <c r="A8" i="2"/>
  <c r="A7" i="2"/>
  <c r="A6" i="2"/>
  <c r="A5" i="2"/>
  <c r="A4" i="2"/>
  <c r="A3" i="2"/>
  <c r="A2" i="2"/>
  <c r="H8" i="24"/>
  <c r="M19" i="22"/>
  <c r="L19" i="22"/>
  <c r="L43" i="22"/>
  <c r="J39" i="22"/>
  <c r="P11" i="2"/>
  <c r="L29" i="22"/>
  <c r="H37" i="22" s="1"/>
  <c r="M25" i="22"/>
  <c r="L25" i="22"/>
  <c r="N49" i="22" l="1"/>
  <c r="N52" i="22" s="1"/>
  <c r="B73" i="28" s="1"/>
  <c r="N50" i="22"/>
  <c r="B43" i="28"/>
  <c r="P8" i="2"/>
  <c r="B65" i="28"/>
  <c r="K45" i="22"/>
  <c r="I30" i="22"/>
  <c r="J21" i="2"/>
  <c r="U24" i="21"/>
  <c r="G146" i="21"/>
  <c r="G145" i="21"/>
  <c r="G144" i="21"/>
  <c r="G142" i="21"/>
  <c r="G141" i="21"/>
  <c r="N24" i="21"/>
  <c r="G117" i="21"/>
  <c r="AB23" i="21" s="1"/>
  <c r="AC22" i="21"/>
  <c r="X22" i="21"/>
  <c r="W22" i="21"/>
  <c r="T22" i="21"/>
  <c r="S22" i="21"/>
  <c r="P22" i="21"/>
  <c r="O22" i="21"/>
  <c r="V21" i="21"/>
  <c r="AL6" i="2" s="1"/>
  <c r="P21" i="21"/>
  <c r="AF6" i="2" s="1"/>
  <c r="AC21" i="21"/>
  <c r="AS6" i="2" s="1"/>
  <c r="X21" i="21"/>
  <c r="AN6" i="2" s="1"/>
  <c r="W21" i="21"/>
  <c r="AM6" i="2" s="1"/>
  <c r="U21" i="21"/>
  <c r="AK6" i="2" s="1"/>
  <c r="T21" i="21"/>
  <c r="AJ6" i="2" s="1"/>
  <c r="S21" i="21"/>
  <c r="AI6" i="2" s="1"/>
  <c r="O21" i="21"/>
  <c r="AE6" i="2" s="1"/>
  <c r="N21" i="21"/>
  <c r="AD6" i="2" s="1"/>
  <c r="K21" i="21"/>
  <c r="AA6" i="2" s="1"/>
  <c r="AD20" i="21"/>
  <c r="P20" i="21"/>
  <c r="O20" i="21"/>
  <c r="AD19" i="21"/>
  <c r="AA19" i="21"/>
  <c r="X19" i="21"/>
  <c r="W19" i="21"/>
  <c r="V19" i="21"/>
  <c r="U19" i="21"/>
  <c r="N19" i="2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AE17" i="2" l="1"/>
  <c r="AE7" i="2"/>
  <c r="AI17" i="2"/>
  <c r="AI7" i="2"/>
  <c r="AJ17" i="2"/>
  <c r="AJ7" i="2"/>
  <c r="AM7" i="2"/>
  <c r="AM17" i="2"/>
  <c r="AN7" i="2"/>
  <c r="AN17" i="2"/>
  <c r="AF7" i="2"/>
  <c r="AF17" i="2"/>
  <c r="AS7" i="2"/>
  <c r="AS17" i="2"/>
  <c r="AT5" i="2"/>
  <c r="AT15" i="2"/>
  <c r="AE5" i="2"/>
  <c r="AE15" i="2"/>
  <c r="AF15" i="2"/>
  <c r="AF5" i="2"/>
  <c r="AL14" i="2"/>
  <c r="AL4" i="2"/>
  <c r="AT4" i="2"/>
  <c r="AT14" i="2"/>
  <c r="AN14" i="2"/>
  <c r="AN4" i="2"/>
  <c r="AD4" i="2"/>
  <c r="AD14" i="2"/>
  <c r="AK4" i="2"/>
  <c r="AK14" i="2"/>
  <c r="AK20" i="2" s="1"/>
  <c r="AK12" i="2" s="1"/>
  <c r="AM14" i="2"/>
  <c r="AM4" i="2"/>
  <c r="AQ14" i="2"/>
  <c r="AQ20" i="2" s="1"/>
  <c r="AQ12" i="2" s="1"/>
  <c r="AQ4" i="2"/>
  <c r="AQ10" i="2" s="1"/>
  <c r="U150" i="21"/>
  <c r="H163" i="21"/>
  <c r="V150" i="21" s="1"/>
  <c r="S150" i="21"/>
  <c r="R150" i="21"/>
  <c r="Q150" i="21"/>
  <c r="M150" i="21"/>
  <c r="W150" i="21" s="1"/>
  <c r="AA25" i="21"/>
  <c r="O19" i="2" s="1"/>
  <c r="AP10" i="2"/>
  <c r="H147" i="21"/>
  <c r="AK10" i="2"/>
  <c r="AD25" i="21"/>
  <c r="Z25" i="21"/>
  <c r="O18" i="2" s="1"/>
  <c r="U25" i="21"/>
  <c r="O13" i="2" s="1"/>
  <c r="H140" i="21"/>
  <c r="X24" i="21" s="1"/>
  <c r="J41" i="22"/>
  <c r="P10" i="2"/>
  <c r="M21" i="22"/>
  <c r="M20" i="22"/>
  <c r="M18" i="22"/>
  <c r="M17" i="22"/>
  <c r="M16" i="22"/>
  <c r="M13" i="22" s="1"/>
  <c r="L17" i="22"/>
  <c r="L21" i="22"/>
  <c r="L20" i="22"/>
  <c r="J40" i="22" s="1"/>
  <c r="L18" i="22"/>
  <c r="L16" i="22"/>
  <c r="L13" i="22" s="1"/>
  <c r="L10" i="22"/>
  <c r="AT10" i="2" l="1"/>
  <c r="AN19" i="2"/>
  <c r="AN9" i="2"/>
  <c r="AT20" i="2"/>
  <c r="AT12" i="2" s="1"/>
  <c r="O43" i="2"/>
  <c r="J45" i="20"/>
  <c r="O42" i="2"/>
  <c r="Q42" i="2" s="1"/>
  <c r="J44" i="20"/>
  <c r="K44" i="20" s="1"/>
  <c r="L44" i="20" s="1"/>
  <c r="O37" i="2"/>
  <c r="J39" i="20"/>
  <c r="K150" i="21"/>
  <c r="L26" i="22"/>
  <c r="M26" i="22"/>
  <c r="M27" i="22" s="1"/>
  <c r="B17" i="28"/>
  <c r="B29" i="27"/>
  <c r="W24" i="21"/>
  <c r="AB25" i="21"/>
  <c r="O20" i="2" s="1"/>
  <c r="AR8" i="2"/>
  <c r="AR10" i="2" s="1"/>
  <c r="M22" i="22"/>
  <c r="M23" i="22" s="1"/>
  <c r="L22" i="22"/>
  <c r="L23" i="22" s="1"/>
  <c r="H31" i="22" s="1"/>
  <c r="AM19" i="2" l="1"/>
  <c r="AM9" i="2"/>
  <c r="J46" i="20"/>
  <c r="O44" i="2"/>
  <c r="P16" i="2"/>
  <c r="L10" i="2" l="1"/>
  <c r="L11" i="2"/>
  <c r="H50" i="21"/>
  <c r="L19" i="2" s="1"/>
  <c r="H47" i="21"/>
  <c r="L13" i="2" s="1"/>
  <c r="H44" i="21"/>
  <c r="L5" i="2" s="1"/>
  <c r="H41" i="21"/>
  <c r="L16" i="2" s="1"/>
  <c r="H38" i="21"/>
  <c r="H35" i="21"/>
  <c r="L14" i="2" s="1"/>
  <c r="H29" i="21"/>
  <c r="L18" i="2" s="1"/>
  <c r="K21" i="2"/>
  <c r="K20" i="2"/>
  <c r="K19" i="2"/>
  <c r="K18" i="2"/>
  <c r="K17" i="2"/>
  <c r="K16" i="2"/>
  <c r="T16" i="2" s="1"/>
  <c r="K15" i="2"/>
  <c r="K14" i="2"/>
  <c r="K13" i="2"/>
  <c r="K12" i="2"/>
  <c r="K11" i="2"/>
  <c r="K10" i="2"/>
  <c r="K9" i="2"/>
  <c r="K8" i="2"/>
  <c r="K7" i="2"/>
  <c r="K6" i="2"/>
  <c r="K5" i="2"/>
  <c r="K4" i="2"/>
  <c r="K3" i="2"/>
  <c r="K2" i="2"/>
  <c r="J3" i="2"/>
  <c r="J2" i="2"/>
  <c r="H26" i="21"/>
  <c r="L21" i="2" s="1"/>
  <c r="H23" i="21"/>
  <c r="L17" i="2" s="1"/>
  <c r="H20" i="21"/>
  <c r="L20" i="2" s="1"/>
  <c r="H17" i="21"/>
  <c r="L7" i="2" s="1"/>
  <c r="H14" i="21"/>
  <c r="R16" i="2" l="1"/>
  <c r="Q16" i="2" s="1"/>
  <c r="U16" i="2" s="1"/>
  <c r="T19" i="2"/>
  <c r="R19" i="2" s="1"/>
  <c r="Q19" i="2"/>
  <c r="T10" i="2"/>
  <c r="R10" i="2" s="1"/>
  <c r="Q10" i="2"/>
  <c r="Q13" i="2"/>
  <c r="T13" i="2"/>
  <c r="R13" i="2" s="1"/>
  <c r="T14" i="2"/>
  <c r="R14" i="2" s="1"/>
  <c r="Q14" i="2"/>
  <c r="Q15" i="2"/>
  <c r="T15" i="2"/>
  <c r="R15" i="2" s="1"/>
  <c r="L15" i="2"/>
  <c r="L2" i="2"/>
  <c r="U19" i="2" l="1"/>
  <c r="U10" i="2"/>
  <c r="U14" i="2"/>
  <c r="U15" i="2"/>
  <c r="U13" i="2"/>
  <c r="H125" i="21"/>
  <c r="B24" i="27" s="1"/>
  <c r="P3" i="2" l="1"/>
  <c r="H77" i="21"/>
  <c r="S18" i="21" l="1"/>
  <c r="X18" i="21"/>
  <c r="T18" i="21"/>
  <c r="H6" i="24"/>
  <c r="J38" i="22"/>
  <c r="H38" i="22" s="1"/>
  <c r="B4" i="28"/>
  <c r="G40" i="22"/>
  <c r="J18" i="21"/>
  <c r="N18" i="21"/>
  <c r="AD13" i="2" s="1"/>
  <c r="AD20" i="2" s="1"/>
  <c r="AD12" i="2" s="1"/>
  <c r="R18" i="21"/>
  <c r="AC18" i="21"/>
  <c r="P18" i="21"/>
  <c r="O18" i="21"/>
  <c r="M18" i="21"/>
  <c r="W18" i="21"/>
  <c r="L18" i="21"/>
  <c r="V18" i="21"/>
  <c r="K18" i="21"/>
  <c r="N19" i="2"/>
  <c r="N10" i="2"/>
  <c r="N11" i="2"/>
  <c r="N13" i="2"/>
  <c r="N5" i="2"/>
  <c r="N16" i="2"/>
  <c r="S16" i="2" s="1"/>
  <c r="H188" i="21"/>
  <c r="H160" i="21"/>
  <c r="AA3" i="2" l="1"/>
  <c r="AA10" i="2" s="1"/>
  <c r="AA13" i="2"/>
  <c r="AA20" i="2" s="1"/>
  <c r="AA12" i="2" s="1"/>
  <c r="AL3" i="2"/>
  <c r="AL10" i="2" s="1"/>
  <c r="AL13" i="2"/>
  <c r="AL20" i="2" s="1"/>
  <c r="AL12" i="2" s="1"/>
  <c r="AF3" i="2"/>
  <c r="AF13" i="2"/>
  <c r="AF20" i="2" s="1"/>
  <c r="AF12" i="2" s="1"/>
  <c r="AS3" i="2"/>
  <c r="AS10" i="2" s="1"/>
  <c r="AS13" i="2"/>
  <c r="AS20" i="2" s="1"/>
  <c r="AS12" i="2" s="1"/>
  <c r="AH3" i="2"/>
  <c r="AH10" i="2" s="1"/>
  <c r="AH13" i="2"/>
  <c r="AH20" i="2" s="1"/>
  <c r="AH12" i="2" s="1"/>
  <c r="Z3" i="2"/>
  <c r="Z10" i="2" s="1"/>
  <c r="Z13" i="2"/>
  <c r="Z20" i="2" s="1"/>
  <c r="Z12" i="2" s="1"/>
  <c r="AB3" i="2"/>
  <c r="AB10" i="2" s="1"/>
  <c r="AB13" i="2"/>
  <c r="AB20" i="2" s="1"/>
  <c r="AB12" i="2" s="1"/>
  <c r="AM3" i="2"/>
  <c r="AM10" i="2" s="1"/>
  <c r="AM13" i="2"/>
  <c r="AM20" i="2" s="1"/>
  <c r="AM12" i="2" s="1"/>
  <c r="AJ3" i="2"/>
  <c r="AJ13" i="2"/>
  <c r="AJ20" i="2" s="1"/>
  <c r="AJ12" i="2" s="1"/>
  <c r="AC3" i="2"/>
  <c r="AC10" i="2" s="1"/>
  <c r="AC13" i="2"/>
  <c r="AC20" i="2" s="1"/>
  <c r="AC12" i="2" s="1"/>
  <c r="AN3" i="2"/>
  <c r="AN10" i="2" s="1"/>
  <c r="AN13" i="2"/>
  <c r="AN20" i="2" s="1"/>
  <c r="AN12" i="2" s="1"/>
  <c r="AE3" i="2"/>
  <c r="AE10" i="2" s="1"/>
  <c r="AE13" i="2"/>
  <c r="AE20" i="2" s="1"/>
  <c r="AE12" i="2" s="1"/>
  <c r="AI3" i="2"/>
  <c r="AI10" i="2" s="1"/>
  <c r="AI13" i="2"/>
  <c r="AI20" i="2" s="1"/>
  <c r="AI12" i="2" s="1"/>
  <c r="I37" i="20"/>
  <c r="N35" i="2"/>
  <c r="I31" i="20"/>
  <c r="N29" i="2"/>
  <c r="I39" i="20"/>
  <c r="K39" i="20" s="1"/>
  <c r="L39" i="20" s="1"/>
  <c r="N37" i="2"/>
  <c r="Q37" i="2" s="1"/>
  <c r="N43" i="2"/>
  <c r="Q43" i="2" s="1"/>
  <c r="I45" i="20"/>
  <c r="K45" i="20" s="1"/>
  <c r="L45" i="20" s="1"/>
  <c r="I36" i="20"/>
  <c r="N34" i="2"/>
  <c r="S15" i="2"/>
  <c r="I42" i="20"/>
  <c r="N40" i="2"/>
  <c r="S25" i="21"/>
  <c r="O11" i="2" s="1"/>
  <c r="W25" i="21"/>
  <c r="O15" i="2" s="1"/>
  <c r="R25" i="21"/>
  <c r="O10" i="2" s="1"/>
  <c r="V25" i="21"/>
  <c r="O14" i="2" s="1"/>
  <c r="L25" i="21"/>
  <c r="O4" i="2" s="1"/>
  <c r="N25" i="21"/>
  <c r="O6" i="2" s="1"/>
  <c r="S6" i="2" s="1"/>
  <c r="AD3" i="2"/>
  <c r="AD10" i="2" s="1"/>
  <c r="M25" i="21"/>
  <c r="O5" i="2" s="1"/>
  <c r="J25" i="21"/>
  <c r="O2" i="2" s="1"/>
  <c r="X25" i="21"/>
  <c r="O16" i="2" s="1"/>
  <c r="T25" i="21"/>
  <c r="O12" i="2" s="1"/>
  <c r="AJ10" i="2"/>
  <c r="P25" i="21"/>
  <c r="O8" i="2" s="1"/>
  <c r="AF10" i="2"/>
  <c r="K25" i="21"/>
  <c r="O3" i="2" s="1"/>
  <c r="AC25" i="21"/>
  <c r="O21" i="2" s="1"/>
  <c r="H32" i="22"/>
  <c r="P12" i="2"/>
  <c r="B16" i="28"/>
  <c r="O25" i="21"/>
  <c r="O7" i="2" s="1"/>
  <c r="N21" i="2"/>
  <c r="N20" i="2"/>
  <c r="N14" i="2"/>
  <c r="N15" i="2"/>
  <c r="N2" i="2"/>
  <c r="N45" i="2" l="1"/>
  <c r="I47" i="20"/>
  <c r="I41" i="20"/>
  <c r="N39" i="2"/>
  <c r="I40" i="20"/>
  <c r="N38" i="2"/>
  <c r="I46" i="20"/>
  <c r="K46" i="20" s="1"/>
  <c r="L46" i="20" s="1"/>
  <c r="N44" i="2"/>
  <c r="Q44" i="2" s="1"/>
  <c r="I28" i="20"/>
  <c r="N26" i="2"/>
  <c r="J38" i="20"/>
  <c r="K38" i="20" s="1"/>
  <c r="L38" i="20" s="1"/>
  <c r="O36" i="2"/>
  <c r="Q36" i="2" s="1"/>
  <c r="O26" i="2"/>
  <c r="J28" i="20"/>
  <c r="J47" i="20"/>
  <c r="O45" i="2"/>
  <c r="Q45" i="2" s="1"/>
  <c r="J37" i="20"/>
  <c r="K37" i="20" s="1"/>
  <c r="L37" i="20" s="1"/>
  <c r="O35" i="2"/>
  <c r="Q35" i="2" s="1"/>
  <c r="J32" i="20"/>
  <c r="K32" i="20" s="1"/>
  <c r="L32" i="20" s="1"/>
  <c r="O30" i="2"/>
  <c r="Q30" i="2" s="1"/>
  <c r="J34" i="20"/>
  <c r="K34" i="20" s="1"/>
  <c r="L34" i="20" s="1"/>
  <c r="O32" i="2"/>
  <c r="Q32" i="2" s="1"/>
  <c r="O31" i="2"/>
  <c r="J33" i="20"/>
  <c r="O34" i="2"/>
  <c r="Q34" i="2" s="1"/>
  <c r="J36" i="20"/>
  <c r="K36" i="20" s="1"/>
  <c r="L36" i="20" s="1"/>
  <c r="B50" i="28"/>
  <c r="H36" i="22"/>
  <c r="P2" i="2" s="1"/>
  <c r="S2" i="2" s="1"/>
  <c r="J41" i="20"/>
  <c r="O39" i="2"/>
  <c r="O29" i="2"/>
  <c r="Q29" i="2" s="1"/>
  <c r="J31" i="20"/>
  <c r="K31" i="20" s="1"/>
  <c r="L31" i="20" s="1"/>
  <c r="J29" i="20"/>
  <c r="K29" i="20" s="1"/>
  <c r="L29" i="20" s="1"/>
  <c r="O27" i="2"/>
  <c r="Q27" i="2" s="1"/>
  <c r="J30" i="20"/>
  <c r="K30" i="20" s="1"/>
  <c r="L30" i="20" s="1"/>
  <c r="O28" i="2"/>
  <c r="Q28" i="2" s="1"/>
  <c r="O38" i="2"/>
  <c r="J40" i="20"/>
  <c r="J42" i="20"/>
  <c r="K42" i="20" s="1"/>
  <c r="L42" i="20" s="1"/>
  <c r="O40" i="2"/>
  <c r="Q40" i="2" s="1"/>
  <c r="N7" i="2"/>
  <c r="N22" i="2"/>
  <c r="J36" i="22"/>
  <c r="K47" i="20" l="1"/>
  <c r="L47" i="20" s="1"/>
  <c r="Q38" i="2"/>
  <c r="K41" i="20"/>
  <c r="L41" i="20" s="1"/>
  <c r="K40" i="20"/>
  <c r="L40" i="20" s="1"/>
  <c r="Q39" i="2"/>
  <c r="Q26" i="2"/>
  <c r="K28" i="20"/>
  <c r="L28" i="20" s="1"/>
  <c r="N31" i="2"/>
  <c r="Q31" i="2" s="1"/>
  <c r="I33" i="20"/>
  <c r="K33" i="20" s="1"/>
  <c r="L33" i="20" s="1"/>
  <c r="N46" i="2"/>
  <c r="Q46" i="2" s="1"/>
  <c r="I48" i="20"/>
  <c r="K48" i="20" s="1"/>
  <c r="L48" i="20" s="1"/>
  <c r="V2" i="2"/>
  <c r="W22" i="2"/>
  <c r="S22" i="2"/>
  <c r="V22" i="2" s="1"/>
  <c r="W2" i="2"/>
  <c r="I17" i="20"/>
  <c r="D21" i="2"/>
  <c r="E20" i="2"/>
  <c r="D20" i="2"/>
  <c r="E18" i="2"/>
  <c r="D18" i="2"/>
  <c r="E17" i="2"/>
  <c r="D17" i="2"/>
  <c r="E12" i="2"/>
  <c r="D12" i="2"/>
  <c r="E11" i="2"/>
  <c r="D11" i="2"/>
  <c r="D9" i="2"/>
  <c r="C9" i="2"/>
  <c r="D8" i="2"/>
  <c r="E7" i="2"/>
  <c r="D7" i="2"/>
  <c r="E6" i="2"/>
  <c r="D6" i="2"/>
  <c r="E5" i="2"/>
  <c r="D5" i="2"/>
  <c r="E4" i="2"/>
  <c r="D4" i="2"/>
  <c r="D3" i="2"/>
  <c r="E2" i="2"/>
  <c r="D2" i="2"/>
  <c r="Y43" i="2" l="1"/>
  <c r="X43" i="2"/>
  <c r="B2" i="27"/>
  <c r="Y23" i="2"/>
  <c r="X23" i="2"/>
  <c r="Q17" i="2"/>
  <c r="T17" i="2"/>
  <c r="R17" i="2" s="1"/>
  <c r="Q6" i="2"/>
  <c r="T6" i="2"/>
  <c r="R6" i="2" s="1"/>
  <c r="Q18" i="2"/>
  <c r="T18" i="2"/>
  <c r="R18" i="2" s="1"/>
  <c r="S18" i="2" s="1"/>
  <c r="Q7" i="2"/>
  <c r="T7" i="2"/>
  <c r="R7" i="2" s="1"/>
  <c r="S7" i="2" s="1"/>
  <c r="Q20" i="2"/>
  <c r="T20" i="2"/>
  <c r="R20" i="2" s="1"/>
  <c r="S20" i="2" s="1"/>
  <c r="Q8" i="2"/>
  <c r="T8" i="2"/>
  <c r="R8" i="2" s="1"/>
  <c r="T2" i="2"/>
  <c r="R2" i="2" s="1"/>
  <c r="Q2" i="2"/>
  <c r="Q9" i="2"/>
  <c r="T9" i="2"/>
  <c r="R9" i="2" s="1"/>
  <c r="S9" i="2" s="1"/>
  <c r="T21" i="2"/>
  <c r="R21" i="2" s="1"/>
  <c r="Q21" i="2"/>
  <c r="T3" i="2"/>
  <c r="R3" i="2" s="1"/>
  <c r="S3" i="2" s="1"/>
  <c r="Q3" i="2"/>
  <c r="Q11" i="2"/>
  <c r="T11" i="2"/>
  <c r="R11" i="2" s="1"/>
  <c r="S11" i="2" s="1"/>
  <c r="Q4" i="2"/>
  <c r="T4" i="2"/>
  <c r="Q12" i="2"/>
  <c r="T12" i="2"/>
  <c r="R12" i="2" s="1"/>
  <c r="Q5" i="2"/>
  <c r="T5" i="2"/>
  <c r="R5" i="2" s="1"/>
  <c r="S5" i="2" s="1"/>
  <c r="I23" i="20"/>
  <c r="S10" i="2"/>
  <c r="S14" i="2"/>
  <c r="S13" i="2"/>
  <c r="P15" i="2"/>
  <c r="Z23" i="2" l="1"/>
  <c r="AB23" i="2" s="1"/>
  <c r="E3" i="25" s="1"/>
  <c r="Z43" i="2"/>
  <c r="AB43" i="2" s="1"/>
  <c r="E23" i="25" s="1"/>
  <c r="I12" i="20"/>
  <c r="U21" i="2"/>
  <c r="W21" i="2" s="1"/>
  <c r="R4" i="2"/>
  <c r="S4" i="2" s="1"/>
  <c r="U3" i="2"/>
  <c r="W3" i="2" s="1"/>
  <c r="U2" i="2"/>
  <c r="U8" i="2"/>
  <c r="U11" i="2"/>
  <c r="U20" i="2"/>
  <c r="U7" i="2"/>
  <c r="V7" i="2" s="1"/>
  <c r="U18" i="2"/>
  <c r="U5" i="2"/>
  <c r="W5" i="2" s="1"/>
  <c r="U9" i="2"/>
  <c r="W9" i="2" s="1"/>
  <c r="U6" i="2"/>
  <c r="U12" i="2"/>
  <c r="U17" i="2"/>
  <c r="W17" i="2" s="1"/>
  <c r="W13" i="2"/>
  <c r="W14" i="2"/>
  <c r="W10" i="2"/>
  <c r="W19" i="2"/>
  <c r="B22" i="27"/>
  <c r="J23" i="20"/>
  <c r="K23" i="20" s="1"/>
  <c r="V14" i="2"/>
  <c r="V13" i="2"/>
  <c r="V10" i="2"/>
  <c r="I22" i="20"/>
  <c r="S19" i="2"/>
  <c r="V19" i="2" s="1"/>
  <c r="I16" i="20"/>
  <c r="H7" i="20"/>
  <c r="H15" i="20"/>
  <c r="H18" i="20"/>
  <c r="H6" i="20"/>
  <c r="H16" i="20"/>
  <c r="H21" i="20"/>
  <c r="H11" i="20"/>
  <c r="H14" i="20"/>
  <c r="H19" i="20"/>
  <c r="H10" i="20"/>
  <c r="H12" i="20"/>
  <c r="H13" i="20"/>
  <c r="H9" i="20"/>
  <c r="H8" i="20"/>
  <c r="H17" i="20"/>
  <c r="H3" i="20"/>
  <c r="H4" i="20"/>
  <c r="H22" i="20"/>
  <c r="H20" i="20"/>
  <c r="J14" i="22"/>
  <c r="J15" i="22" s="1"/>
  <c r="H11" i="24" s="1"/>
  <c r="S8" i="2"/>
  <c r="S12" i="2"/>
  <c r="Y40" i="2" l="1"/>
  <c r="X40" i="2"/>
  <c r="Y31" i="2"/>
  <c r="X31" i="2"/>
  <c r="Y28" i="2"/>
  <c r="X28" i="2"/>
  <c r="Y34" i="2"/>
  <c r="X34" i="2"/>
  <c r="Y35" i="2"/>
  <c r="X35" i="2"/>
  <c r="W18" i="2"/>
  <c r="W11" i="2"/>
  <c r="W6" i="2"/>
  <c r="V11" i="2"/>
  <c r="V3" i="2"/>
  <c r="U4" i="2"/>
  <c r="W4" i="2" s="1"/>
  <c r="H5" i="20"/>
  <c r="V5" i="2"/>
  <c r="V20" i="2"/>
  <c r="W20" i="2"/>
  <c r="V8" i="2"/>
  <c r="V12" i="2"/>
  <c r="V9" i="2"/>
  <c r="V6" i="2"/>
  <c r="W7" i="2"/>
  <c r="V18" i="2"/>
  <c r="W8" i="2"/>
  <c r="R23" i="20"/>
  <c r="B10" i="27"/>
  <c r="B7" i="27"/>
  <c r="B14" i="27"/>
  <c r="B19" i="27"/>
  <c r="B13" i="27"/>
  <c r="V21" i="2"/>
  <c r="I11" i="20"/>
  <c r="I15" i="20"/>
  <c r="I9" i="20"/>
  <c r="I19" i="20"/>
  <c r="I21" i="20"/>
  <c r="I13" i="20"/>
  <c r="I10" i="20"/>
  <c r="I14" i="20"/>
  <c r="I20" i="20"/>
  <c r="I7" i="20"/>
  <c r="I6" i="20"/>
  <c r="I5" i="20"/>
  <c r="I4" i="20"/>
  <c r="I8" i="20"/>
  <c r="J20" i="20"/>
  <c r="J11" i="20"/>
  <c r="J14" i="20"/>
  <c r="J8" i="20"/>
  <c r="J15" i="20"/>
  <c r="Z28" i="2" l="1"/>
  <c r="AB28" i="2" s="1"/>
  <c r="E8" i="25" s="1"/>
  <c r="Z31" i="2"/>
  <c r="AB31" i="2" s="1"/>
  <c r="E11" i="25" s="1"/>
  <c r="Z40" i="2"/>
  <c r="AB40" i="2" s="1"/>
  <c r="E20" i="25" s="1"/>
  <c r="Z35" i="2"/>
  <c r="AB35" i="2" s="1"/>
  <c r="E15" i="25" s="1"/>
  <c r="Z34" i="2"/>
  <c r="AB34" i="2" s="1"/>
  <c r="E14" i="25" s="1"/>
  <c r="J12" i="20"/>
  <c r="R12" i="20" s="1"/>
  <c r="Y32" i="2"/>
  <c r="X32" i="2"/>
  <c r="Z32" i="2" s="1"/>
  <c r="AB32" i="2" s="1"/>
  <c r="E12" i="25" s="1"/>
  <c r="Y42" i="2"/>
  <c r="X42" i="2"/>
  <c r="Y39" i="2"/>
  <c r="X39" i="2"/>
  <c r="J21" i="20"/>
  <c r="K21" i="20" s="1"/>
  <c r="Y41" i="2"/>
  <c r="X41" i="2"/>
  <c r="J6" i="20"/>
  <c r="R6" i="20" s="1"/>
  <c r="Y26" i="2"/>
  <c r="X26" i="2"/>
  <c r="B3" i="27"/>
  <c r="Y24" i="2"/>
  <c r="X24" i="2"/>
  <c r="Y33" i="2"/>
  <c r="X33" i="2"/>
  <c r="Z33" i="2" s="1"/>
  <c r="AB33" i="2" s="1"/>
  <c r="E13" i="25" s="1"/>
  <c r="J7" i="20"/>
  <c r="K7" i="20" s="1"/>
  <c r="Y27" i="2"/>
  <c r="X27" i="2"/>
  <c r="B8" i="27"/>
  <c r="Y29" i="2"/>
  <c r="X29" i="2"/>
  <c r="J10" i="20"/>
  <c r="Y30" i="2"/>
  <c r="X30" i="2"/>
  <c r="Z30" i="2" s="1"/>
  <c r="AB30" i="2" s="1"/>
  <c r="E10" i="25" s="1"/>
  <c r="W12" i="2"/>
  <c r="J4" i="20"/>
  <c r="K4" i="20" s="1"/>
  <c r="V4" i="2"/>
  <c r="B20" i="27"/>
  <c r="J9" i="20"/>
  <c r="K9" i="20" s="1"/>
  <c r="B9" i="27"/>
  <c r="B5" i="27"/>
  <c r="R14" i="20"/>
  <c r="R8" i="20"/>
  <c r="J13" i="20"/>
  <c r="R13" i="20" s="1"/>
  <c r="B12" i="27"/>
  <c r="B11" i="27"/>
  <c r="R10" i="20"/>
  <c r="B18" i="27"/>
  <c r="J19" i="20"/>
  <c r="K19" i="20" s="1"/>
  <c r="R20" i="20"/>
  <c r="B6" i="27"/>
  <c r="R15" i="20"/>
  <c r="R11" i="20"/>
  <c r="T23" i="20"/>
  <c r="F26" i="24"/>
  <c r="K12" i="20"/>
  <c r="K15" i="20"/>
  <c r="K11" i="20"/>
  <c r="K10" i="20"/>
  <c r="K8" i="20"/>
  <c r="K20" i="20"/>
  <c r="K14" i="20"/>
  <c r="J22" i="20"/>
  <c r="R22" i="20" s="1"/>
  <c r="B21" i="27"/>
  <c r="I3" i="20"/>
  <c r="Z39" i="2" l="1"/>
  <c r="AB39" i="2" s="1"/>
  <c r="E19" i="25" s="1"/>
  <c r="Z29" i="2"/>
  <c r="AB29" i="2" s="1"/>
  <c r="E9" i="25" s="1"/>
  <c r="Z41" i="2"/>
  <c r="AB41" i="2" s="1"/>
  <c r="E21" i="25" s="1"/>
  <c r="Z42" i="2"/>
  <c r="AB42" i="2" s="1"/>
  <c r="E22" i="25" s="1"/>
  <c r="Z24" i="2"/>
  <c r="AB24" i="2" s="1"/>
  <c r="E4" i="25" s="1"/>
  <c r="R7" i="20"/>
  <c r="F10" i="24" s="1"/>
  <c r="Z27" i="2"/>
  <c r="AB27" i="2" s="1"/>
  <c r="E7" i="25" s="1"/>
  <c r="K6" i="20"/>
  <c r="R21" i="20"/>
  <c r="T21" i="20" s="1"/>
  <c r="Z26" i="2"/>
  <c r="AB26" i="2" s="1"/>
  <c r="E6" i="25" s="1"/>
  <c r="Y25" i="2"/>
  <c r="X25" i="2"/>
  <c r="R4" i="20"/>
  <c r="T4" i="20" s="1"/>
  <c r="B4" i="27"/>
  <c r="J5" i="20"/>
  <c r="R5" i="20" s="1"/>
  <c r="T5" i="20" s="1"/>
  <c r="R9" i="20"/>
  <c r="F12" i="24" s="1"/>
  <c r="R19" i="20"/>
  <c r="T19" i="20" s="1"/>
  <c r="K13" i="20"/>
  <c r="T14" i="20"/>
  <c r="F17" i="24"/>
  <c r="T15" i="20"/>
  <c r="F18" i="24"/>
  <c r="T12" i="20"/>
  <c r="F15" i="24"/>
  <c r="T20" i="20"/>
  <c r="F23" i="24"/>
  <c r="T8" i="20"/>
  <c r="F11" i="24"/>
  <c r="T10" i="20"/>
  <c r="F13" i="24"/>
  <c r="T11" i="20"/>
  <c r="F14" i="24"/>
  <c r="T6" i="20"/>
  <c r="F9" i="24"/>
  <c r="T13" i="20"/>
  <c r="F16" i="24"/>
  <c r="T22" i="20"/>
  <c r="F25" i="24"/>
  <c r="K22" i="20"/>
  <c r="J3" i="20"/>
  <c r="R3" i="20" s="1"/>
  <c r="L27" i="22"/>
  <c r="J31" i="22" s="1"/>
  <c r="V16" i="2" s="1"/>
  <c r="Z25" i="2" l="1"/>
  <c r="AB25" i="2" s="1"/>
  <c r="E5" i="25" s="1"/>
  <c r="T7" i="20"/>
  <c r="F24" i="24"/>
  <c r="Y37" i="2"/>
  <c r="X37" i="2"/>
  <c r="F7" i="24"/>
  <c r="W15" i="2"/>
  <c r="K5" i="20"/>
  <c r="F8" i="24"/>
  <c r="F22" i="24"/>
  <c r="T9" i="20"/>
  <c r="K3" i="20"/>
  <c r="V15" i="2"/>
  <c r="B16" i="27"/>
  <c r="J17" i="20"/>
  <c r="R17" i="20" s="1"/>
  <c r="W16" i="2"/>
  <c r="Z37" i="2" l="1"/>
  <c r="AB37" i="2" s="1"/>
  <c r="E17" i="25" s="1"/>
  <c r="Y36" i="2"/>
  <c r="X36" i="2"/>
  <c r="T3" i="20"/>
  <c r="F6" i="24"/>
  <c r="K17" i="20"/>
  <c r="B15" i="27"/>
  <c r="J16" i="20"/>
  <c r="R16" i="20" s="1"/>
  <c r="Z36" i="2" l="1"/>
  <c r="AB36" i="2" s="1"/>
  <c r="E16" i="25" s="1"/>
  <c r="T16" i="20"/>
  <c r="F19" i="24"/>
  <c r="T17" i="20"/>
  <c r="F20" i="24"/>
  <c r="K16" i="20"/>
  <c r="Y25" i="21"/>
  <c r="O17" i="2" s="1"/>
  <c r="J43" i="20" l="1"/>
  <c r="K43" i="20" s="1"/>
  <c r="L43" i="20" s="1"/>
  <c r="O41" i="2"/>
  <c r="Q41" i="2" s="1"/>
  <c r="V17" i="2"/>
  <c r="Y38" i="2" l="1"/>
  <c r="X38" i="2"/>
  <c r="I18" i="20"/>
  <c r="B17" i="27"/>
  <c r="J18" i="20"/>
  <c r="Z38" i="2" l="1"/>
  <c r="AB38" i="2" s="1"/>
  <c r="E18" i="25" s="1"/>
  <c r="R18" i="20"/>
  <c r="K18" i="20"/>
  <c r="T18" i="20" l="1"/>
  <c r="F21" i="24"/>
</calcChain>
</file>

<file path=xl/sharedStrings.xml><?xml version="1.0" encoding="utf-8"?>
<sst xmlns="http://schemas.openxmlformats.org/spreadsheetml/2006/main" count="1646" uniqueCount="880">
  <si>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</si>
  <si>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</si>
  <si>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</si>
  <si>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</si>
  <si>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</si>
  <si>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</si>
  <si>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</si>
  <si>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</si>
  <si>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</si>
  <si>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</si>
  <si>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</si>
  <si>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</si>
  <si>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</si>
  <si>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</si>
  <si>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</si>
  <si>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</si>
  <si>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</si>
  <si>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</si>
  <si>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</si>
  <si>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</si>
  <si>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</si>
  <si>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</si>
  <si>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</si>
  <si>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</si>
  <si>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</si>
  <si>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</si>
  <si>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</si>
  <si>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</si>
  <si>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</si>
  <si>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</si>
  <si>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</si>
  <si>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</si>
  <si>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</si>
  <si>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</si>
  <si>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</si>
  <si>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</si>
  <si>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</si>
  <si>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</si>
  <si>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</si>
  <si>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</si>
  <si>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</si>
  <si>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</si>
  <si>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</si>
  <si>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</si>
  <si>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</si>
  <si>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</si>
  <si>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</si>
  <si>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</si>
  <si>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</si>
  <si>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</si>
  <si>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</si>
  <si>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</si>
  <si>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</si>
  <si>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</si>
  <si>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</si>
  <si>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</si>
  <si>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</si>
  <si>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</si>
  <si>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</si>
  <si>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</si>
  <si>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</si>
  <si>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</si>
  <si>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</si>
  <si>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</si>
  <si>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</si>
  <si>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</si>
  <si>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</si>
  <si>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</si>
  <si>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</si>
  <si>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</si>
  <si>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</si>
  <si>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</si>
  <si>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</si>
  <si>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</si>
  <si>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</si>
  <si>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</si>
  <si>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</si>
  <si>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</si>
  <si>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</si>
  <si>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</si>
  <si>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Hépatopathie dysmétabolique</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</si>
  <si>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</si>
  <si>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</si>
  <si>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</si>
  <si>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</si>
  <si>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</si>
  <si>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</si>
  <si>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</si>
  <si>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</si>
  <si>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</si>
  <si>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</si>
  <si>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</si>
  <si>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</si>
  <si>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</si>
  <si>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</si>
  <si>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</si>
  <si>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</si>
  <si>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</si>
  <si>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</si>
  <si>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</si>
  <si>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</si>
  <si>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</si>
  <si>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</si>
  <si>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</si>
  <si>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</si>
  <si>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</si>
  <si>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</si>
  <si>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</si>
  <si>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</si>
  <si>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</si>
  <si>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</si>
  <si>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</si>
  <si>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</si>
  <si>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</si>
  <si>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</si>
  <si>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</si>
  <si>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</si>
  <si>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</si>
  <si>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</si>
  <si>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</si>
  <si>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</si>
  <si>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</si>
  <si>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</si>
  <si>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</si>
  <si>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</si>
  <si>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</si>
  <si>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</si>
  <si>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</si>
  <si>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</si>
  <si>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</si>
  <si>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</si>
  <si>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</si>
  <si>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</si>
  <si>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</si>
  <si>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</si>
  <si>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</si>
  <si>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</si>
  <si>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</si>
  <si>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</si>
  <si>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</si>
  <si>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</si>
  <si>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</si>
  <si>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</si>
  <si>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</si>
  <si>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</si>
  <si>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</si>
  <si>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</si>
  <si>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</si>
  <si>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</si>
  <si>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</si>
  <si>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</si>
  <si>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</si>
  <si>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</si>
  <si>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</si>
  <si>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</si>
  <si>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</si>
  <si>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</si>
  <si>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</si>
  <si>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</si>
  <si>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</si>
  <si>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</si>
  <si>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</si>
  <si>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</si>
  <si>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</si>
  <si>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</si>
  <si>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</si>
  <si>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</si>
  <si>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</si>
  <si>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</si>
  <si>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</si>
  <si>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</si>
  <si>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</si>
  <si>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</si>
  <si>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</si>
  <si>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</si>
  <si>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</si>
  <si>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</si>
  <si>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</si>
  <si>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</si>
  <si>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</si>
  <si>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</si>
  <si>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</si>
  <si>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</si>
  <si>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</si>
  <si>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</si>
  <si>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</si>
  <si>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</si>
  <si>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</si>
  <si>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</si>
  <si>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</si>
  <si>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</si>
  <si>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</si>
  <si>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</si>
  <si>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</si>
  <si>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</si>
  <si>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</si>
  <si>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</si>
  <si>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</si>
  <si>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</si>
  <si>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</si>
  <si>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</si>
  <si>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</si>
  <si>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</si>
  <si>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</si>
  <si>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</si>
  <si>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</si>
  <si>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</si>
  <si>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</si>
  <si>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</si>
  <si>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</si>
  <si>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</si>
  <si>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</si>
  <si>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</si>
  <si>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</si>
  <si>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</si>
  <si>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</si>
  <si>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</si>
  <si>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</si>
  <si>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</si>
  <si>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</si>
  <si>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</si>
  <si>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</si>
  <si>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</si>
  <si>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mmol/l</t>
  </si>
  <si>
    <t>Ratio Cholesterol Total/HDL</t>
  </si>
  <si>
    <t>faible&lt;3,4</t>
  </si>
  <si>
    <t>Moyen&lt;5</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</si>
  <si>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</si>
  <si>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</si>
  <si>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</si>
  <si>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</si>
  <si>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</si>
  <si>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</si>
  <si>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</si>
  <si>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</si>
  <si>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</si>
  <si>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</si>
  <si>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</si>
  <si>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</si>
  <si>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</si>
  <si>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</si>
  <si>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</si>
  <si>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</si>
  <si>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</si>
  <si>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</si>
  <si>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</si>
  <si>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</si>
  <si>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</si>
  <si>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</si>
  <si>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</si>
  <si>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</si>
  <si>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</si>
  <si>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</si>
  <si>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</si>
  <si>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</si>
  <si>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</si>
  <si>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</si>
  <si>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</si>
  <si>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</si>
  <si>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</si>
  <si>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</si>
  <si>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</si>
  <si>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</si>
  <si>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</si>
  <si>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</si>
  <si>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</si>
  <si>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</si>
  <si>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</si>
  <si>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</si>
  <si>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</si>
  <si>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</si>
  <si>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</si>
  <si>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</si>
  <si>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</si>
  <si>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</si>
  <si>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</si>
  <si>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</si>
  <si>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</si>
  <si>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</si>
  <si>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</si>
  <si>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</si>
  <si>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</si>
  <si>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</si>
  <si>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</si>
  <si>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</si>
  <si>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</si>
  <si>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</si>
  <si>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</si>
  <si>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</si>
  <si>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</si>
  <si>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</si>
  <si>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</si>
  <si>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</si>
  <si>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</si>
  <si>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</si>
  <si>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</si>
  <si>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</si>
  <si>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</si>
  <si>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</si>
  <si>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</si>
  <si>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</si>
  <si>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</si>
  <si>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</si>
  <si>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</si>
  <si>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</si>
  <si>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</si>
  <si>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</si>
  <si>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</si>
  <si>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</si>
  <si>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</si>
  <si>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</si>
  <si>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</si>
  <si>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</si>
  <si>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</si>
  <si>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</si>
  <si>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</si>
  <si>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</si>
  <si>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</si>
  <si>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</si>
  <si>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</si>
  <si>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</si>
  <si>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</si>
  <si>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</si>
  <si>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</si>
  <si>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</si>
  <si>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</si>
  <si>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</si>
  <si>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</si>
  <si>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</si>
  <si>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</si>
  <si>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</si>
  <si>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</si>
  <si>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</si>
  <si>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</si>
  <si>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</si>
  <si>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</si>
  <si>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</si>
  <si>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</si>
  <si>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</si>
  <si>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</si>
  <si>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</si>
  <si>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</si>
  <si>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</si>
  <si>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</si>
  <si>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</si>
  <si>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</si>
  <si>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</si>
  <si>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</si>
  <si>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</si>
  <si>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</si>
  <si>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</si>
  <si>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</si>
  <si>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</si>
  <si>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</si>
  <si>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</si>
  <si>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</si>
  <si>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</si>
  <si>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</si>
  <si>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</si>
  <si>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</si>
  <si>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</si>
  <si>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</si>
  <si>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</si>
  <si>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</si>
  <si>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</si>
  <si>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</si>
  <si>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</si>
  <si>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</si>
  <si>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</si>
  <si>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</si>
  <si>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</si>
  <si>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</si>
  <si>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</si>
  <si>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</si>
  <si>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</si>
  <si>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</si>
  <si>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</si>
  <si>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</si>
  <si>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</si>
  <si>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</si>
  <si>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</si>
  <si>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</si>
  <si>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</si>
  <si>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</si>
  <si>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</si>
  <si>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</si>
  <si>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</si>
  <si>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</si>
  <si>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</si>
  <si>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</si>
  <si>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</si>
  <si>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</si>
  <si>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</si>
  <si>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</si>
  <si>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</si>
  <si>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</si>
  <si>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</si>
  <si>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</si>
  <si>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</si>
  <si>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</si>
  <si>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</si>
  <si>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</si>
  <si>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</si>
  <si>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</si>
  <si>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</si>
  <si>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</si>
  <si>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</si>
  <si>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</si>
  <si>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</si>
  <si>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</si>
  <si>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</si>
  <si>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</si>
  <si>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</si>
  <si>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</si>
  <si>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</si>
  <si>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</si>
  <si>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</si>
  <si>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</si>
  <si>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</si>
  <si>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</si>
  <si>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</si>
  <si>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</si>
  <si>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</si>
  <si>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</si>
  <si>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</si>
  <si>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</si>
  <si>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</si>
  <si>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</si>
  <si>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</si>
  <si>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</si>
  <si>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</si>
  <si>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</si>
  <si>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</si>
  <si>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</si>
  <si>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</si>
  <si>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</si>
  <si>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</si>
  <si>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</si>
  <si>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</si>
  <si>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</si>
  <si>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</si>
  <si>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</si>
  <si>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</si>
  <si>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</si>
  <si>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</si>
  <si>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</si>
  <si>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</si>
  <si>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</si>
  <si>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</si>
  <si>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</si>
  <si>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</si>
  <si>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</si>
  <si>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</si>
  <si>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</si>
  <si>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</si>
  <si>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</si>
  <si>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</si>
  <si>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</si>
  <si>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</si>
  <si>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</si>
  <si>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</si>
  <si>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</si>
  <si>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</si>
  <si>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</si>
  <si>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</si>
  <si>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</si>
  <si>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</si>
  <si>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</si>
  <si>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</si>
  <si>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</si>
  <si>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</si>
  <si>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</si>
  <si>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</si>
  <si>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</si>
  <si>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</si>
  <si>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</si>
  <si>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</si>
  <si>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</si>
  <si>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</si>
  <si>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</si>
  <si>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</si>
  <si>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</si>
  <si>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</si>
  <si>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</si>
  <si>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</si>
  <si>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</si>
  <si>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</si>
  <si>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</si>
  <si>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</si>
  <si>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</si>
  <si>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</si>
  <si>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</si>
  <si>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</si>
  <si>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</si>
  <si>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</si>
  <si>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</si>
  <si>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</si>
  <si>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</si>
  <si>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</si>
  <si>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</si>
  <si>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</si>
  <si>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</si>
  <si>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</si>
  <si>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</si>
  <si>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</si>
  <si>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</si>
  <si>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</si>
  <si>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</si>
  <si>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</si>
  <si>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</si>
  <si>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</si>
  <si>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</si>
  <si>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</si>
  <si>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</si>
  <si>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</si>
  <si>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</si>
  <si>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</si>
  <si>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r>
      <t>Leucocytes (10</t>
    </r>
    <r>
      <rPr>
        <b/>
        <vertAlign val="superscript"/>
        <sz val="18"/>
        <color rgb="FF000000"/>
        <rFont val="Calibri"/>
        <family val="2"/>
        <scheme val="minor"/>
      </rPr>
      <t>9</t>
    </r>
    <r>
      <rPr>
        <b/>
        <sz val="18"/>
        <color rgb="FF000000"/>
        <rFont val="Calibri"/>
        <family val="2"/>
        <scheme val="minor"/>
      </rPr>
      <t>/l)</t>
    </r>
  </si>
  <si>
    <r>
      <t>Neutrophiles (10</t>
    </r>
    <r>
      <rPr>
        <b/>
        <vertAlign val="superscript"/>
        <sz val="18"/>
        <color rgb="FF000000"/>
        <rFont val="Calibri"/>
        <family val="2"/>
        <scheme val="minor"/>
      </rPr>
      <t>9</t>
    </r>
    <r>
      <rPr>
        <b/>
        <sz val="18"/>
        <color rgb="FF000000"/>
        <rFont val="Calibri"/>
        <family val="2"/>
        <scheme val="minor"/>
      </rPr>
      <t>/l)</t>
    </r>
  </si>
  <si>
    <r>
      <t>Éosinophiles (10</t>
    </r>
    <r>
      <rPr>
        <b/>
        <vertAlign val="superscript"/>
        <sz val="18"/>
        <color rgb="FF000000"/>
        <rFont val="Calibri"/>
        <family val="2"/>
        <scheme val="minor"/>
      </rPr>
      <t>9</t>
    </r>
    <r>
      <rPr>
        <b/>
        <sz val="18"/>
        <color rgb="FF000000"/>
        <rFont val="Calibri"/>
        <family val="2"/>
        <scheme val="minor"/>
      </rPr>
      <t>/l)</t>
    </r>
  </si>
  <si>
    <r>
      <t>Lymphocytes (10</t>
    </r>
    <r>
      <rPr>
        <b/>
        <vertAlign val="superscript"/>
        <sz val="18"/>
        <color rgb="FF000000"/>
        <rFont val="Calibri"/>
        <family val="2"/>
        <scheme val="minor"/>
      </rPr>
      <t>9</t>
    </r>
    <r>
      <rPr>
        <b/>
        <sz val="18"/>
        <color rgb="FF000000"/>
        <rFont val="Calibri"/>
        <family val="2"/>
        <scheme val="minor"/>
      </rPr>
      <t>/l)</t>
    </r>
  </si>
  <si>
    <r>
      <t>Plaquettes (10</t>
    </r>
    <r>
      <rPr>
        <b/>
        <vertAlign val="superscript"/>
        <sz val="18"/>
        <color rgb="FF000000"/>
        <rFont val="Calibri"/>
        <family val="2"/>
        <scheme val="minor"/>
      </rPr>
      <t>9</t>
    </r>
    <r>
      <rPr>
        <b/>
        <sz val="18"/>
        <color rgb="FF000000"/>
        <rFont val="Calibri"/>
        <family val="2"/>
        <scheme val="minor"/>
      </rPr>
      <t>/l)</t>
    </r>
  </si>
  <si>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</si>
  <si>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</si>
  <si>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</si>
  <si>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</si>
  <si>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</si>
  <si>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</si>
  <si>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</si>
  <si>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</si>
  <si>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</si>
  <si>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</si>
  <si>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</si>
  <si>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</si>
  <si>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</si>
  <si>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</si>
  <si>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</si>
  <si>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</si>
  <si>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</si>
  <si>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</si>
  <si>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</si>
  <si>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</si>
  <si>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r>
      <t>La TSH est une hormone qui stimule la synthèse et la libération des hormones thyroïdiennes </t>
    </r>
    <r>
      <rPr>
        <b/>
        <u/>
        <sz val="18"/>
        <rFont val="Calibri"/>
        <family val="2"/>
        <scheme val="minor"/>
      </rPr>
      <t>T3</t>
    </r>
    <r>
      <rPr>
        <b/>
        <sz val="18"/>
        <rFont val="Calibri"/>
        <family val="2"/>
        <scheme val="minor"/>
      </rPr>
      <t> et </t>
    </r>
    <r>
      <rPr>
        <b/>
        <u/>
        <sz val="18"/>
        <rFont val="Calibri"/>
        <family val="2"/>
        <scheme val="minor"/>
      </rPr>
      <t>T4</t>
    </r>
    <r>
      <rPr>
        <b/>
        <sz val="18"/>
        <rFont val="Calibri"/>
        <family val="2"/>
        <scheme val="minor"/>
      </rPr>
      <t> dans le sang. (TSH &gt; 4.0 mUI/L suspicion d' hypothyroïdie: TSH &lt; 0.4 mUI/L suscipcion d' hyperthyroïdie</t>
    </r>
  </si>
  <si>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</si>
  <si>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</si>
  <si>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</si>
  <si>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</si>
  <si>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</si>
  <si>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</si>
  <si>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</si>
  <si>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</si>
  <si>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</si>
  <si>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</si>
  <si>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</si>
  <si>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</si>
  <si>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</si>
  <si>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</si>
  <si>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</si>
  <si>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</si>
  <si>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</si>
  <si>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</si>
  <si>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</si>
  <si>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</si>
  <si>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</si>
  <si>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</si>
  <si>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</si>
  <si>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</si>
  <si>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</si>
  <si>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</si>
  <si>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</si>
  <si>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</si>
  <si>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</si>
  <si>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</si>
  <si>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</si>
  <si>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</si>
  <si>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</si>
  <si>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</si>
  <si>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</si>
  <si>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</si>
  <si>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</si>
  <si>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</si>
  <si>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</si>
  <si>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</si>
  <si>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</si>
  <si>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</si>
  <si>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</si>
  <si>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</si>
  <si>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</si>
  <si>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</si>
  <si>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</si>
  <si>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</si>
  <si>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</si>
  <si>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</si>
  <si>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</si>
  <si>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</si>
  <si>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</si>
  <si>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</si>
  <si>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</si>
  <si>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</si>
  <si>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</si>
  <si>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</si>
  <si>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</si>
  <si>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 Vie excrétrice urinaire</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</si>
  <si>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</si>
  <si>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</si>
  <si>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</si>
  <si>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</si>
  <si>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</si>
  <si>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</si>
  <si>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</si>
  <si>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</si>
  <si>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</si>
  <si>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</si>
  <si>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</si>
  <si>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</si>
  <si>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</si>
  <si>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</si>
  <si>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</si>
  <si>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</si>
  <si>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</si>
  <si>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</si>
  <si>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</si>
  <si>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</si>
  <si>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</si>
  <si>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</si>
  <si>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</si>
  <si>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</si>
  <si>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Test d'aptitude fréquence cardiaqueà l'effort</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</si>
  <si>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</si>
  <si>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</si>
  <si>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</si>
  <si>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</si>
  <si>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</si>
  <si>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</si>
  <si>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</si>
  <si>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</si>
  <si>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</si>
  <si>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</si>
  <si>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</si>
  <si>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</si>
  <si>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</si>
  <si>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</si>
  <si>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</si>
  <si>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</si>
  <si>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</si>
  <si>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</si>
  <si>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</si>
  <si>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</si>
  <si>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</si>
  <si>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</si>
  <si>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</si>
  <si>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</si>
  <si>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</si>
  <si>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</si>
  <si>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</si>
  <si>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</si>
  <si>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</si>
  <si>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</si>
  <si>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</si>
  <si>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</si>
  <si>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</si>
  <si>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</si>
  <si>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</si>
  <si>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</si>
  <si>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t xml:space="preserve">Conditionnel? </t>
  </si>
  <si>
    <t>Inverser: F et H</t>
  </si>
  <si>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</si>
  <si>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</si>
  <si>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</si>
  <si>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t>double question?</t>
  </si>
  <si>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</si>
  <si>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</si>
  <si>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</si>
  <si>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</si>
  <si>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</si>
  <si>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</si>
  <si>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</si>
  <si>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</si>
  <si>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</si>
  <si>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</si>
  <si>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</si>
  <si>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</si>
  <si>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</si>
  <si>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</si>
  <si>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</si>
  <si>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</si>
  <si>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</si>
  <si>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</si>
  <si>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</si>
  <si>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</si>
  <si>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</si>
  <si>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</si>
  <si>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</si>
  <si>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</si>
  <si>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</si>
  <si>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</si>
  <si>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</si>
  <si>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</si>
  <si>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</si>
  <si>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</si>
  <si>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</si>
  <si>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</si>
  <si>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</si>
  <si>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</si>
  <si>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</si>
  <si>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</si>
  <si>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</si>
  <si>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</si>
  <si>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</si>
  <si>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</si>
  <si>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</si>
  <si>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</si>
  <si>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</si>
  <si>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</si>
  <si>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</si>
  <si>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</si>
  <si>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</si>
  <si>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</si>
  <si>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</si>
  <si>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</si>
  <si>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</si>
  <si>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</si>
  <si>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</si>
  <si>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</si>
  <si>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</si>
  <si>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</si>
  <si>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</si>
  <si>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</si>
  <si>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</si>
  <si>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</si>
  <si>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</si>
  <si>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</si>
  <si>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t xml:space="preserve">Question? </t>
  </si>
  <si>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</si>
  <si>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</si>
  <si>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</si>
  <si>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</si>
  <si>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</si>
  <si>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</si>
  <si>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</si>
  <si>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</si>
  <si>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</si>
  <si>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</si>
  <si>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</si>
  <si>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</si>
  <si>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</si>
  <si>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</si>
  <si>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</si>
  <si>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</si>
  <si>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</si>
  <si>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</si>
  <si>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</si>
  <si>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</si>
  <si>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 xml:space="preserve">Autre option que type? </t>
  </si>
  <si>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</si>
  <si>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</si>
  <si>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</si>
  <si>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</si>
  <si>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</si>
  <si>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</si>
  <si>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</si>
  <si>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</si>
  <si>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</si>
  <si>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</si>
  <si>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</si>
  <si>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</si>
  <si>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</si>
  <si>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</si>
  <si>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</si>
  <si>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</si>
  <si>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</si>
  <si>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</si>
  <si>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</si>
  <si>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</si>
  <si>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</si>
  <si>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</si>
  <si>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</si>
  <si>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</si>
  <si>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</si>
  <si>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</si>
  <si>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</si>
  <si>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</si>
  <si>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</si>
  <si>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</si>
  <si>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</si>
  <si>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</si>
  <si>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</si>
  <si>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</si>
  <si>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</si>
  <si>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</si>
  <si>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</si>
  <si>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</si>
  <si>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</si>
  <si>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</si>
  <si>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</si>
  <si>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</si>
  <si>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</si>
  <si>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</si>
  <si>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</si>
  <si>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</si>
  <si>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</si>
  <si>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</si>
  <si>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</si>
  <si>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HF</t>
  </si>
  <si>
    <t>HF car sein existe chez homme</t>
  </si>
  <si>
    <t>Avec action colonne a utiliser</t>
  </si>
  <si>
    <t>Non fait</t>
  </si>
  <si>
    <t>ReferenceCurrentcalcul inteemediare</t>
  </si>
  <si>
    <t>RisquesRefa5ansIntermediare</t>
  </si>
  <si>
    <t>Cancer de l'ovaire</t>
  </si>
  <si>
    <t>Cancer de l'endométre</t>
  </si>
  <si>
    <t>Cancer du col de l'utérus</t>
  </si>
  <si>
    <t>Endométriose</t>
  </si>
  <si>
    <t>Synd Ovaires polykystiques</t>
  </si>
  <si>
    <t>Incontinence urinaire</t>
  </si>
  <si>
    <t>Dysfonction erectile</t>
  </si>
  <si>
    <t>Depression</t>
  </si>
  <si>
    <t>Burn out</t>
  </si>
  <si>
    <t>Attention</t>
  </si>
  <si>
    <t>Graphe</t>
  </si>
  <si>
    <t>Ratio Action/sansAction</t>
  </si>
  <si>
    <t>Pour le graphe Simulator</t>
  </si>
  <si>
    <t>Tumeur Voie excrétrice urinaire</t>
  </si>
  <si>
    <t>Patient-5ans AvecAction</t>
  </si>
  <si>
    <t>Patient-5ansSansAction</t>
  </si>
  <si>
    <t>MAX avec Action</t>
  </si>
  <si>
    <t>MAX sans action</t>
  </si>
  <si>
    <t>F</t>
  </si>
  <si>
    <t>AS</t>
  </si>
  <si>
    <t>La présence d'hémoglobine dans les urines peut être détectée par la bandelette urinaire, si elle est positive elle témoigne soit d'une hématurie (globules rouges dans l’urine &gt;10000 hématies/ml sur un examen cytobacterologique des urine (ECBU)) soit à de l'hémoglobine comme dans les anémies hémolytiques et justifie une investigation plus approfondie. La présence de plus de 10000 hématies /Ml correspond à une hématurie.</t>
  </si>
  <si>
    <t>hematie/ml</t>
  </si>
  <si>
    <t>Leucocyte/ml</t>
  </si>
  <si>
    <t>l/24h</t>
  </si>
  <si>
    <t>Fréquence cardiaque au repos</t>
  </si>
  <si>
    <t>&lt;40 : Rythme cardiaque trop lent. Entre 41 et 49 Rythme lent. (peut être normal chez un athlète de fond entrainé). Entre 50 et 85 rythme au repos  « normal » Entre 86 et 99 Rythme un peu rapide au repos. (Manque d’exercice physique). &gt;100 Rythme rapide au repos pouvant évoquer une anomalie cardiaque ou thyroïdienne.</t>
  </si>
  <si>
    <t>50-85</t>
  </si>
  <si>
    <t>40-50 ou 85-99</t>
  </si>
  <si>
    <t>&lt;40 ou &gt;100</t>
  </si>
  <si>
    <t>Fréquence cardiaque maximale à l'effort/ (Homme)</t>
  </si>
  <si>
    <t>Le niveau d’activité physique peut être adapté sur la fréquence cardiaque maximale (FCmax). La FCmax est estimée pour  l’homme à FCmax=207.5 – 0.78 * âge</t>
  </si>
  <si>
    <t>Fréquence cardiaque maximale à l'effort/ (Femme)</t>
  </si>
  <si>
    <t>Le niveau d’activité physique peut être adapté sur la fréquence cardiaque maximale (FCmax). La FCmax est estimée pour la femme à FCmax=208.3-0.74*âge</t>
  </si>
  <si>
    <t>Frequence cardiaque d'entrainement 70% (Homme)</t>
  </si>
  <si>
    <t>Afin d’adapter son entrainement la FC cible peut être estimée par : %souhaité x (FC max –FC de repos) + FC de repos. Une activité intense (marche &gt;6km/h, essoufflement marqué sans conversation possible) correspondra à environ 80% de la FCmax.</t>
  </si>
  <si>
    <t>Frequence cardiaque d'entrainement 70% (Femme)</t>
  </si>
  <si>
    <t>Insulinémie</t>
  </si>
  <si>
    <t>L'insulinémie à jeun se situent généralement entre 2 et 20 µUI/mL (soit 14 à 140 pmol/L)</t>
  </si>
  <si>
    <t>2 à 20</t>
  </si>
  <si>
    <t>&gt;20</t>
  </si>
  <si>
    <t>Score HOMA-IR</t>
  </si>
  <si>
    <t>Un score HOMA-IR (Glycémie à jeun en mg/dL) x (Insulinémie à jeun en mUI/mL) / 405) supérieur à 2,4 est souvent interprété comme un signe de résistance à l'insuline</t>
  </si>
  <si>
    <t>&gt; 2,4</t>
  </si>
  <si>
    <t>FSH</t>
  </si>
  <si>
    <t>La valeur normale est entre 1,5 et 12 UI/L</t>
  </si>
  <si>
    <t>&lt;12</t>
  </si>
  <si>
    <t>Estradiol</t>
  </si>
  <si>
    <t>Chez une femme non ménopausée, le taux est le plus bas en début de cycle (environ 30-120 pg/mL), atteint un pic au moment de l'ovulation (environ 140-300 pg/mL ou plus) et diminue ensuite pendant la phase lutéale (environ 50-210 pg/mL). Après la ménopause, le taux chute généralement à moins de 20 ou 30 pg/mL. </t>
  </si>
  <si>
    <t>AMH (hormone anti-müllérienne)</t>
  </si>
  <si>
    <t>Une valeur &lt; 0,5 ng/ml suggère une réserve ovarienne très faible. </t>
  </si>
  <si>
    <t>&lt; 0,5</t>
  </si>
  <si>
    <t>BNP (peptides natriurétiques)</t>
  </si>
  <si>
    <t>Un taux normal est généralement inférieur à 100 pg/mL</t>
  </si>
  <si>
    <t>Cotinurie</t>
  </si>
  <si>
    <t>Chez les non-fumeurs les valeurs de cotinurie &lt; 10 µg/L (ou &lt; 0,01 µg/mL)</t>
  </si>
  <si>
    <t>&gt; 10microg/ml</t>
  </si>
  <si>
    <t>CDT (transferrine carboxydeficiente)</t>
  </si>
  <si>
    <t>En cas de consommation excessive d’alcool (≥ 50–80 g/j pendant plus d’une semaine), la CDT est  ≥ 1,7 %</t>
  </si>
  <si>
    <t>&gt;1,6%</t>
  </si>
  <si>
    <t>Vitamine B6</t>
  </si>
  <si>
    <t>les valeurs normales du dosage de la vitamine B6 dans le sang se situent entre 20 et 121 nmol/L. Les besoins journaliers sont d'environ environ 1,8 mg/jour pour l'Homme et 1,5mgmg/jour pour la Femme . Le surdosage en Vitamine B6 peut donner des troubles neurologiques et digestifs. Les déficits en vitamine B6 ont été associée aux troubles dépressifs, à la fatigabilité et aux crampes musculaires, au risque cardivasculaire et à une baisse de l'immunité.</t>
  </si>
  <si>
    <t>20-121</t>
  </si>
  <si>
    <t>&gt; 121</t>
  </si>
  <si>
    <t>Urolithiasis score</t>
  </si>
  <si>
    <t>mUI/mL</t>
  </si>
  <si>
    <t>HOMA-IR</t>
  </si>
  <si>
    <t>pg/ml</t>
  </si>
  <si>
    <t> ng/ml</t>
  </si>
  <si>
    <t>pg/mL</t>
  </si>
  <si>
    <t xml:space="preserve">µg/L </t>
  </si>
  <si>
    <t>CDT (transferrine carboxydeficiente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</si>
</sst>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0.00\x"/>
    <numFmt numFmtId="166" formatCode="m/d/yyyy\ h:mm:ss"/>
    <numFmt numFmtId="167" formatCode="0.000"/>
    <numFmt numFmtId="168" formatCode="0.000%"/>
  </numFmts>
  <fonts count="9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sz val="18"/>
      <name val="Calibri"/>
      <family val="2"/>
      <scheme val="minor"/>
    </font>
    <font>
      <b/>
      <sz val="18"/>
      <name val="Calibri"/>
      <family val="2"/>
      <scheme val="minor"/>
    </font>
    <font>
      <b/>
      <sz val="18"/>
      <color rgb="FF000000"/>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i/>
      <sz val="14"/>
      <color rgb="FF006600"/>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8"/>
      <color rgb="FFFF0000"/>
      <name val="Calibri"/>
      <family val="2"/>
      <scheme val="minor"/>
    </font>
    <font>
      <b/>
      <sz val="18"/>
      <color rgb="FF003366"/>
      <name val="Calibri"/>
      <family val="2"/>
      <scheme val="minor"/>
    </font>
    <font>
      <b/>
      <sz val="14"/>
      <color rgb="FFFF0000"/>
      <name val="Calibri"/>
      <family val="2"/>
      <scheme val="minor"/>
    </font>
    <font>
      <b/>
      <vertAlign val="superscript"/>
      <sz val="18"/>
      <color rgb="FF000000"/>
      <name val="Calibri"/>
      <family val="2"/>
      <scheme val="minor"/>
    </font>
    <font>
      <b/>
      <sz val="18"/>
      <color theme="0"/>
      <name val="Calibri"/>
      <family val="2"/>
      <scheme val="minor"/>
    </font>
    <font>
      <sz val="18"/>
      <color theme="0"/>
      <name val="Calibri"/>
      <family val="2"/>
      <scheme val="minor"/>
    </font>
    <font>
      <b/>
      <sz val="18"/>
      <color rgb="FF202124"/>
      <name val="Calibri"/>
      <family val="2"/>
      <scheme val="minor"/>
    </font>
    <font>
      <b/>
      <u/>
      <sz val="18"/>
      <name val="Calibri"/>
      <family val="2"/>
      <scheme val="minor"/>
    </font>
    <font>
      <b/>
      <sz val="18"/>
      <color rgb="FF212121"/>
      <name val="Calibri"/>
      <family val="2"/>
      <scheme val="minor"/>
    </font>
    <font>
      <b/>
      <sz val="18"/>
      <color rgb="FF1F1F1F"/>
      <name val="Calibri"/>
      <family val="2"/>
      <scheme val="minor"/>
    </font>
    <font>
      <b/>
      <sz val="18"/>
      <color rgb="FF333333"/>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202122"/>
      <name val="Arial"/>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
      <b/>
      <sz val="18"/>
      <color rgb="FF001D35"/>
      <name val="Calibri"/>
      <family val="2"/>
      <scheme val="minor"/>
    </font>
    <font>
      <b/>
      <sz val="18"/>
      <color rgb="FF001D35"/>
      <name val="Arial"/>
      <family val="2"/>
    </font>
    <font>
      <b/>
      <sz val="18"/>
      <color rgb="FF474747"/>
      <name val="Arial"/>
      <family val="2"/>
    </font>
    <font>
      <b/>
      <sz val="12"/>
      <color rgb="FF001D35"/>
      <name val="Arial"/>
      <family val="2"/>
    </font>
    <font>
      <b/>
      <sz val="12"/>
      <color rgb="FF474747"/>
      <name val="Arial"/>
      <family val="2"/>
    </font>
  </fonts>
  <fills count="7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401">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16" fillId="0" borderId="0" xfId="0" applyFont="1" applyAlignment="1">
      <alignment horizontal="right" vertical="center"/>
    </xf>
    <xf numFmtId="0" fontId="24" fillId="0" borderId="0" xfId="0" applyFont="1" applyAlignment="1">
      <alignment horizontal="right"/>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2" fillId="40" borderId="10" xfId="0" applyFont="1" applyFill="1" applyBorder="1" applyAlignment="1">
      <alignment horizontal="center"/>
    </xf>
    <xf numFmtId="0" fontId="43" fillId="40" borderId="10" xfId="0" applyFont="1" applyFill="1" applyBorder="1" applyAlignment="1">
      <alignment horizontal="center"/>
    </xf>
    <xf numFmtId="2" fontId="18" fillId="34" borderId="10" xfId="0" applyNumberFormat="1" applyFont="1" applyFill="1" applyBorder="1" applyAlignment="1">
      <alignment horizontal="center"/>
    </xf>
    <xf numFmtId="2" fontId="48" fillId="0" borderId="10" xfId="0" applyNumberFormat="1" applyFont="1" applyBorder="1" applyAlignment="1" applyProtection="1">
      <alignment horizontal="center" vertical="center"/>
      <protection locked="0"/>
    </xf>
    <xf numFmtId="2" fontId="48"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5"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5" fillId="48" borderId="10" xfId="0" applyFont="1" applyFill="1" applyBorder="1" applyAlignment="1">
      <alignment horizontal="center"/>
    </xf>
    <xf numFmtId="10" fontId="18" fillId="48" borderId="10" xfId="0" applyNumberFormat="1" applyFont="1" applyFill="1" applyBorder="1" applyAlignment="1">
      <alignment horizontal="center"/>
    </xf>
    <xf numFmtId="1" fontId="45" fillId="48" borderId="10" xfId="0" applyNumberFormat="1" applyFont="1" applyFill="1" applyBorder="1" applyAlignment="1">
      <alignment horizontal="center"/>
    </xf>
    <xf numFmtId="0" fontId="45" fillId="34" borderId="10" xfId="0" applyFont="1" applyFill="1" applyBorder="1" applyAlignment="1">
      <alignment horizontal="left" vertical="center"/>
    </xf>
    <xf numFmtId="0" fontId="45"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5" fillId="51" borderId="10" xfId="0" applyFont="1" applyFill="1" applyBorder="1" applyAlignment="1">
      <alignment horizontal="center"/>
    </xf>
    <xf numFmtId="0" fontId="55" fillId="35" borderId="10" xfId="0" applyFont="1" applyFill="1" applyBorder="1" applyAlignment="1">
      <alignment horizontal="center"/>
    </xf>
    <xf numFmtId="0" fontId="55" fillId="0" borderId="10" xfId="0" applyFont="1" applyBorder="1" applyAlignment="1">
      <alignment horizontal="center"/>
    </xf>
    <xf numFmtId="166" fontId="55" fillId="50" borderId="10" xfId="0" applyNumberFormat="1" applyFont="1" applyFill="1" applyBorder="1" applyAlignment="1" applyProtection="1">
      <alignment horizontal="center"/>
      <protection locked="0"/>
    </xf>
    <xf numFmtId="0" fontId="55" fillId="46" borderId="10" xfId="0" applyFont="1" applyFill="1" applyBorder="1" applyAlignment="1" applyProtection="1">
      <alignment horizontal="center"/>
      <protection locked="0"/>
    </xf>
    <xf numFmtId="0" fontId="55" fillId="42" borderId="10" xfId="0" applyFont="1" applyFill="1" applyBorder="1" applyAlignment="1">
      <alignment horizontal="center"/>
    </xf>
    <xf numFmtId="0" fontId="55" fillId="0" borderId="10" xfId="0" applyFont="1" applyBorder="1" applyAlignment="1" applyProtection="1">
      <alignment horizontal="center"/>
      <protection locked="0"/>
    </xf>
    <xf numFmtId="0" fontId="55" fillId="0" borderId="10" xfId="0" applyFont="1" applyBorder="1" applyAlignment="1">
      <alignment horizontal="center" vertical="center"/>
    </xf>
    <xf numFmtId="0" fontId="56" fillId="0" borderId="10" xfId="0" applyFont="1" applyBorder="1" applyAlignment="1">
      <alignment horizontal="center"/>
    </xf>
    <xf numFmtId="0" fontId="55" fillId="34" borderId="10" xfId="0" applyFont="1" applyFill="1" applyBorder="1" applyAlignment="1">
      <alignment horizontal="center"/>
    </xf>
    <xf numFmtId="0" fontId="55" fillId="48" borderId="10" xfId="0" applyFont="1" applyFill="1" applyBorder="1" applyAlignment="1">
      <alignment horizontal="center"/>
    </xf>
    <xf numFmtId="0" fontId="55" fillId="40" borderId="10" xfId="0" applyFont="1" applyFill="1" applyBorder="1" applyAlignment="1">
      <alignment horizontal="center" vertical="center"/>
    </xf>
    <xf numFmtId="0" fontId="56" fillId="40" borderId="10" xfId="0" applyFont="1" applyFill="1" applyBorder="1" applyAlignment="1">
      <alignment horizontal="center"/>
    </xf>
    <xf numFmtId="0" fontId="55" fillId="40" borderId="10" xfId="0" applyFont="1" applyFill="1" applyBorder="1" applyAlignment="1">
      <alignment horizontal="center"/>
    </xf>
    <xf numFmtId="0" fontId="55" fillId="45" borderId="10" xfId="0" applyFont="1" applyFill="1" applyBorder="1" applyAlignment="1">
      <alignment horizontal="center"/>
    </xf>
    <xf numFmtId="0" fontId="55" fillId="43" borderId="10" xfId="0" applyFont="1" applyFill="1" applyBorder="1" applyAlignment="1">
      <alignment horizontal="center"/>
    </xf>
    <xf numFmtId="0" fontId="55" fillId="33" borderId="10" xfId="0" applyFont="1" applyFill="1" applyBorder="1" applyAlignment="1">
      <alignment horizontal="center"/>
    </xf>
    <xf numFmtId="49" fontId="55" fillId="34" borderId="10" xfId="0" applyNumberFormat="1" applyFont="1" applyFill="1" applyBorder="1" applyAlignment="1" applyProtection="1">
      <alignment horizontal="center"/>
      <protection locked="0"/>
    </xf>
    <xf numFmtId="0" fontId="55" fillId="38" borderId="10" xfId="0" applyFont="1" applyFill="1" applyBorder="1" applyAlignment="1">
      <alignment horizontal="center"/>
    </xf>
    <xf numFmtId="0" fontId="55" fillId="35" borderId="10" xfId="0" applyFont="1" applyFill="1" applyBorder="1" applyAlignment="1" applyProtection="1">
      <alignment horizontal="center"/>
      <protection locked="0"/>
    </xf>
    <xf numFmtId="0" fontId="57" fillId="0" borderId="10" xfId="0" applyFont="1" applyBorder="1" applyAlignment="1">
      <alignment horizontal="center"/>
    </xf>
    <xf numFmtId="2" fontId="55" fillId="0" borderId="10" xfId="0" applyNumberFormat="1" applyFont="1" applyBorder="1" applyAlignment="1">
      <alignment horizontal="center"/>
    </xf>
    <xf numFmtId="0" fontId="55" fillId="41" borderId="10" xfId="0" applyFont="1" applyFill="1" applyBorder="1" applyAlignment="1" applyProtection="1">
      <alignment horizontal="center"/>
      <protection locked="0"/>
    </xf>
    <xf numFmtId="0" fontId="55" fillId="44" borderId="10" xfId="0" applyFont="1" applyFill="1" applyBorder="1" applyAlignment="1">
      <alignment horizontal="center"/>
    </xf>
    <xf numFmtId="49" fontId="55" fillId="38" borderId="10" xfId="0" applyNumberFormat="1" applyFont="1" applyFill="1" applyBorder="1" applyAlignment="1" applyProtection="1">
      <alignment horizontal="center"/>
      <protection locked="0"/>
    </xf>
    <xf numFmtId="0" fontId="55" fillId="34" borderId="10" xfId="0" applyFont="1" applyFill="1" applyBorder="1" applyAlignment="1" applyProtection="1">
      <alignment horizontal="center"/>
      <protection locked="0"/>
    </xf>
    <xf numFmtId="0" fontId="55" fillId="41" borderId="10" xfId="0" applyFont="1" applyFill="1" applyBorder="1" applyAlignment="1">
      <alignment horizontal="center"/>
    </xf>
    <xf numFmtId="0" fontId="55" fillId="34" borderId="10" xfId="0" applyFont="1" applyFill="1" applyBorder="1" applyAlignment="1">
      <alignment horizontal="center" vertical="center"/>
    </xf>
    <xf numFmtId="0" fontId="56" fillId="34" borderId="10" xfId="0" applyFont="1" applyFill="1" applyBorder="1" applyAlignment="1">
      <alignment horizontal="center"/>
    </xf>
    <xf numFmtId="22" fontId="58" fillId="0" borderId="10" xfId="0" applyNumberFormat="1" applyFont="1" applyBorder="1" applyAlignment="1">
      <alignment horizontal="center" wrapText="1"/>
    </xf>
    <xf numFmtId="0" fontId="55" fillId="48" borderId="10" xfId="0" applyFont="1" applyFill="1" applyBorder="1" applyAlignment="1" applyProtection="1">
      <alignment horizontal="center"/>
      <protection locked="0"/>
    </xf>
    <xf numFmtId="14" fontId="55" fillId="50" borderId="10" xfId="0" applyNumberFormat="1" applyFont="1" applyFill="1" applyBorder="1" applyAlignment="1">
      <alignment horizontal="center"/>
    </xf>
    <xf numFmtId="14" fontId="58" fillId="0" borderId="10" xfId="0" applyNumberFormat="1" applyFont="1" applyBorder="1" applyAlignment="1">
      <alignment horizontal="center" wrapText="1"/>
    </xf>
    <xf numFmtId="0" fontId="59" fillId="0" borderId="10" xfId="0" applyFont="1" applyBorder="1" applyAlignment="1">
      <alignment horizontal="center"/>
    </xf>
    <xf numFmtId="0" fontId="58" fillId="53" borderId="10" xfId="0" applyFont="1" applyFill="1" applyBorder="1" applyAlignment="1">
      <alignment horizontal="center" wrapText="1"/>
    </xf>
    <xf numFmtId="0" fontId="58" fillId="0" borderId="10" xfId="0" applyFont="1" applyBorder="1" applyAlignment="1">
      <alignment horizontal="center" wrapText="1"/>
    </xf>
    <xf numFmtId="0" fontId="45"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2" fillId="48" borderId="10" xfId="0" applyFont="1" applyFill="1" applyBorder="1" applyAlignment="1">
      <alignment horizontal="center"/>
    </xf>
    <xf numFmtId="2" fontId="64" fillId="0" borderId="10" xfId="0" applyNumberFormat="1" applyFont="1" applyBorder="1" applyAlignment="1">
      <alignment horizontal="center"/>
    </xf>
    <xf numFmtId="164" fontId="14" fillId="0" borderId="10" xfId="0" applyNumberFormat="1" applyFont="1" applyBorder="1" applyAlignment="1">
      <alignment horizontal="center"/>
    </xf>
    <xf numFmtId="2" fontId="57" fillId="50" borderId="10" xfId="0" applyNumberFormat="1" applyFont="1" applyFill="1" applyBorder="1" applyAlignment="1" applyProtection="1">
      <alignment horizontal="center"/>
      <protection locked="0"/>
    </xf>
    <xf numFmtId="0" fontId="57" fillId="44" borderId="10" xfId="0" applyFont="1" applyFill="1" applyBorder="1" applyAlignment="1">
      <alignment horizontal="center"/>
    </xf>
    <xf numFmtId="2" fontId="62" fillId="0" borderId="10" xfId="0" applyNumberFormat="1" applyFont="1" applyBorder="1" applyAlignment="1" applyProtection="1">
      <alignment horizontal="center" vertical="center"/>
      <protection locked="0"/>
    </xf>
    <xf numFmtId="0" fontId="55" fillId="33" borderId="10" xfId="0" applyFont="1" applyFill="1" applyBorder="1" applyAlignment="1">
      <alignment horizontal="center" wrapText="1"/>
    </xf>
    <xf numFmtId="0" fontId="55" fillId="35" borderId="10" xfId="0" applyFont="1" applyFill="1" applyBorder="1" applyAlignment="1">
      <alignment horizontal="center" wrapText="1"/>
    </xf>
    <xf numFmtId="0" fontId="55" fillId="0" borderId="10" xfId="0" applyFont="1" applyBorder="1" applyAlignment="1">
      <alignment horizontal="center" wrapText="1"/>
    </xf>
    <xf numFmtId="0" fontId="55" fillId="47" borderId="10" xfId="0" applyFont="1" applyFill="1" applyBorder="1" applyAlignment="1">
      <alignment horizontal="center" wrapText="1"/>
    </xf>
    <xf numFmtId="0" fontId="55" fillId="34" borderId="10" xfId="0" applyFont="1" applyFill="1" applyBorder="1" applyAlignment="1">
      <alignment horizontal="center" wrapText="1"/>
    </xf>
    <xf numFmtId="0" fontId="55" fillId="46" borderId="10" xfId="0" applyFont="1" applyFill="1" applyBorder="1" applyAlignment="1">
      <alignment horizontal="center" wrapText="1"/>
    </xf>
    <xf numFmtId="0" fontId="55" fillId="0" borderId="10" xfId="0" applyFont="1" applyBorder="1"/>
    <xf numFmtId="0" fontId="55" fillId="35" borderId="10" xfId="0" applyFont="1" applyFill="1" applyBorder="1"/>
    <xf numFmtId="0" fontId="55" fillId="34" borderId="10" xfId="0" applyFont="1" applyFill="1" applyBorder="1"/>
    <xf numFmtId="0" fontId="55" fillId="36" borderId="10" xfId="0" applyFont="1" applyFill="1" applyBorder="1"/>
    <xf numFmtId="0" fontId="57" fillId="43" borderId="10" xfId="0" applyFont="1" applyFill="1" applyBorder="1" applyAlignment="1">
      <alignment horizontal="center"/>
    </xf>
    <xf numFmtId="0" fontId="55" fillId="54" borderId="10" xfId="0" applyFont="1" applyFill="1" applyBorder="1" applyAlignment="1">
      <alignment horizontal="center"/>
    </xf>
    <xf numFmtId="0" fontId="55" fillId="56" borderId="10" xfId="0" applyFont="1" applyFill="1" applyBorder="1"/>
    <xf numFmtId="0" fontId="55" fillId="46" borderId="10" xfId="0" applyFont="1" applyFill="1" applyBorder="1"/>
    <xf numFmtId="0" fontId="55" fillId="53" borderId="10" xfId="0" applyFont="1" applyFill="1" applyBorder="1"/>
    <xf numFmtId="0" fontId="55" fillId="44" borderId="10" xfId="0" applyFont="1" applyFill="1" applyBorder="1"/>
    <xf numFmtId="0" fontId="60" fillId="0" borderId="10" xfId="0" applyFont="1" applyBorder="1"/>
    <xf numFmtId="0" fontId="55" fillId="0" borderId="10" xfId="0" applyFont="1" applyBorder="1" applyAlignment="1">
      <alignment horizontal="right"/>
    </xf>
    <xf numFmtId="0" fontId="55" fillId="0" borderId="10" xfId="0" applyFont="1" applyBorder="1" applyAlignment="1">
      <alignment wrapText="1"/>
    </xf>
    <xf numFmtId="0" fontId="45" fillId="47" borderId="10" xfId="0" applyFont="1" applyFill="1" applyBorder="1" applyAlignment="1">
      <alignment horizontal="left" vertical="center"/>
    </xf>
    <xf numFmtId="0" fontId="57" fillId="0" borderId="10" xfId="0" applyFont="1" applyBorder="1" applyAlignment="1" applyProtection="1">
      <alignment horizontal="center"/>
      <protection locked="0"/>
    </xf>
    <xf numFmtId="0" fontId="62" fillId="43" borderId="10" xfId="0" applyFont="1" applyFill="1" applyBorder="1" applyAlignment="1">
      <alignment horizontal="left" vertical="center"/>
    </xf>
    <xf numFmtId="2" fontId="62" fillId="0" borderId="10" xfId="0" applyNumberFormat="1" applyFont="1" applyBorder="1" applyAlignment="1">
      <alignment horizontal="center"/>
    </xf>
    <xf numFmtId="2" fontId="62" fillId="0" borderId="10" xfId="0" applyNumberFormat="1" applyFont="1" applyBorder="1" applyAlignment="1" applyProtection="1">
      <alignment horizontal="center"/>
      <protection locked="0"/>
    </xf>
    <xf numFmtId="2" fontId="62" fillId="43" borderId="10" xfId="0" applyNumberFormat="1" applyFont="1" applyFill="1" applyBorder="1" applyAlignment="1" applyProtection="1">
      <alignment horizontal="center" vertical="center"/>
      <protection locked="0"/>
    </xf>
    <xf numFmtId="0" fontId="62" fillId="62" borderId="10" xfId="0" applyFont="1" applyFill="1" applyBorder="1"/>
    <xf numFmtId="0" fontId="62" fillId="62" borderId="10" xfId="0" applyFont="1" applyFill="1" applyBorder="1" applyAlignment="1">
      <alignment horizontal="left" vertical="center"/>
    </xf>
    <xf numFmtId="0" fontId="62" fillId="62" borderId="10" xfId="0" applyFont="1" applyFill="1" applyBorder="1" applyAlignment="1">
      <alignment horizontal="left"/>
    </xf>
    <xf numFmtId="0" fontId="62" fillId="34" borderId="10" xfId="0" applyFont="1" applyFill="1" applyBorder="1" applyAlignment="1">
      <alignment horizontal="left" vertical="center"/>
    </xf>
    <xf numFmtId="2" fontId="18" fillId="65" borderId="10" xfId="0" applyNumberFormat="1" applyFont="1" applyFill="1" applyBorder="1" applyAlignment="1">
      <alignment horizontal="center"/>
    </xf>
    <xf numFmtId="2" fontId="62" fillId="46" borderId="10" xfId="0" applyNumberFormat="1" applyFont="1" applyFill="1" applyBorder="1" applyAlignment="1" applyProtection="1">
      <alignment horizontal="center"/>
      <protection locked="0"/>
    </xf>
    <xf numFmtId="0" fontId="55" fillId="66" borderId="10" xfId="0" applyFont="1" applyFill="1" applyBorder="1" applyAlignment="1">
      <alignment horizontal="center" wrapText="1"/>
    </xf>
    <xf numFmtId="49" fontId="55" fillId="66" borderId="10" xfId="0" applyNumberFormat="1" applyFont="1" applyFill="1" applyBorder="1" applyAlignment="1" applyProtection="1">
      <alignment horizontal="center"/>
      <protection locked="0"/>
    </xf>
    <xf numFmtId="0" fontId="57" fillId="48" borderId="10" xfId="0" applyFont="1" applyFill="1" applyBorder="1" applyAlignment="1">
      <alignment horizontal="center"/>
    </xf>
    <xf numFmtId="49" fontId="57" fillId="48" borderId="10" xfId="0" applyNumberFormat="1" applyFont="1" applyFill="1" applyBorder="1" applyAlignment="1">
      <alignment horizont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7" fillId="65" borderId="10" xfId="0" applyFont="1" applyFill="1" applyBorder="1" applyAlignment="1">
      <alignment horizontal="center" vertical="center" wrapText="1"/>
    </xf>
    <xf numFmtId="0" fontId="37" fillId="0" borderId="10" xfId="0" applyFont="1" applyBorder="1" applyAlignment="1">
      <alignment horizontal="center" vertical="center" wrapText="1"/>
    </xf>
    <xf numFmtId="2" fontId="38" fillId="34" borderId="10" xfId="0" applyNumberFormat="1" applyFont="1" applyFill="1" applyBorder="1" applyAlignment="1">
      <alignment horizontal="center" vertical="top"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71" fillId="64" borderId="10" xfId="0" applyFont="1" applyFill="1" applyBorder="1" applyAlignment="1">
      <alignment horizontal="center" vertical="center" wrapText="1"/>
    </xf>
    <xf numFmtId="2" fontId="38" fillId="0" borderId="10" xfId="0" applyNumberFormat="1" applyFont="1" applyBorder="1" applyAlignment="1">
      <alignment horizontal="center" vertical="top" wrapText="1"/>
    </xf>
    <xf numFmtId="2" fontId="38" fillId="37" borderId="10" xfId="0" applyNumberFormat="1" applyFont="1" applyFill="1" applyBorder="1" applyAlignment="1">
      <alignment horizontal="center" vertical="top" wrapText="1"/>
    </xf>
    <xf numFmtId="2" fontId="38" fillId="50" borderId="10" xfId="0" applyNumberFormat="1" applyFont="1" applyFill="1" applyBorder="1" applyAlignment="1">
      <alignment horizontal="center" vertical="top" wrapText="1"/>
    </xf>
    <xf numFmtId="0" fontId="71" fillId="0" borderId="10" xfId="0" applyFont="1" applyBorder="1" applyAlignment="1">
      <alignment horizontal="center" vertical="center" wrapText="1"/>
    </xf>
    <xf numFmtId="2" fontId="38" fillId="38" borderId="10" xfId="0" applyNumberFormat="1" applyFont="1" applyFill="1" applyBorder="1" applyAlignment="1">
      <alignment horizontal="center" vertical="top" wrapText="1"/>
    </xf>
    <xf numFmtId="2" fontId="38" fillId="55" borderId="10" xfId="0" applyNumberFormat="1" applyFont="1" applyFill="1" applyBorder="1" applyAlignment="1">
      <alignment horizontal="center" vertical="top" wrapText="1"/>
    </xf>
    <xf numFmtId="0" fontId="39"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top" wrapText="1"/>
    </xf>
    <xf numFmtId="2" fontId="38" fillId="46" borderId="10" xfId="0" applyNumberFormat="1" applyFont="1" applyFill="1" applyBorder="1" applyAlignment="1">
      <alignment horizontal="center" vertical="top" wrapText="1"/>
    </xf>
    <xf numFmtId="16" fontId="38" fillId="46" borderId="10" xfId="0" applyNumberFormat="1" applyFont="1" applyFill="1" applyBorder="1" applyAlignment="1">
      <alignment horizontal="center" vertical="center" wrapText="1"/>
    </xf>
    <xf numFmtId="2" fontId="38" fillId="37" borderId="10" xfId="0" applyNumberFormat="1" applyFont="1" applyFill="1" applyBorder="1" applyAlignment="1">
      <alignment horizontal="center" vertical="center" wrapText="1"/>
    </xf>
    <xf numFmtId="2" fontId="38" fillId="65" borderId="10" xfId="0" applyNumberFormat="1" applyFont="1" applyFill="1" applyBorder="1" applyAlignment="1">
      <alignment horizontal="center" vertical="top" wrapText="1"/>
    </xf>
    <xf numFmtId="17" fontId="38" fillId="37" borderId="10" xfId="0" applyNumberFormat="1"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0" fontId="38" fillId="33" borderId="10" xfId="0" applyFont="1" applyFill="1" applyBorder="1" applyAlignment="1">
      <alignment horizontal="center" vertical="top" wrapText="1"/>
    </xf>
    <xf numFmtId="2" fontId="38" fillId="39" borderId="10" xfId="0" applyNumberFormat="1" applyFont="1" applyFill="1" applyBorder="1" applyAlignment="1">
      <alignment horizontal="center" vertical="top" wrapText="1"/>
    </xf>
    <xf numFmtId="2" fontId="38" fillId="67" borderId="10" xfId="0" applyNumberFormat="1" applyFont="1" applyFill="1" applyBorder="1" applyAlignment="1">
      <alignment horizontal="center" vertical="top" wrapText="1"/>
    </xf>
    <xf numFmtId="0" fontId="38" fillId="67" borderId="10" xfId="0" applyFont="1" applyFill="1" applyBorder="1" applyAlignment="1">
      <alignment horizontal="center" vertical="center" wrapText="1"/>
    </xf>
    <xf numFmtId="0" fontId="71" fillId="67" borderId="10" xfId="0" applyFont="1" applyFill="1" applyBorder="1" applyAlignment="1">
      <alignment horizontal="center" vertical="center" wrapText="1"/>
    </xf>
    <xf numFmtId="0" fontId="38" fillId="67" borderId="10" xfId="0" applyFont="1" applyFill="1" applyBorder="1" applyAlignment="1">
      <alignment horizontal="center" vertical="top" wrapText="1"/>
    </xf>
    <xf numFmtId="0" fontId="38" fillId="0" borderId="10" xfId="0" applyFont="1" applyBorder="1" applyAlignment="1">
      <alignment horizontal="center" vertical="top" wrapText="1"/>
    </xf>
    <xf numFmtId="0" fontId="67" fillId="57" borderId="10" xfId="0" applyFont="1" applyFill="1" applyBorder="1" applyAlignment="1">
      <alignment horizontal="center" vertical="center" wrapText="1"/>
    </xf>
    <xf numFmtId="0" fontId="68" fillId="57" borderId="10" xfId="0" applyFont="1" applyFill="1" applyBorder="1" applyAlignment="1">
      <alignment horizontal="center" vertical="center" wrapText="1"/>
    </xf>
    <xf numFmtId="0" fontId="39" fillId="57" borderId="10" xfId="0" applyFont="1" applyFill="1" applyBorder="1" applyAlignment="1">
      <alignment horizontal="center" vertical="center" wrapText="1"/>
    </xf>
    <xf numFmtId="0" fontId="67" fillId="58" borderId="10" xfId="0" applyFont="1" applyFill="1" applyBorder="1" applyAlignment="1">
      <alignment horizontal="center" vertical="center" wrapText="1"/>
    </xf>
    <xf numFmtId="0" fontId="39" fillId="58" borderId="10" xfId="0" applyFont="1" applyFill="1" applyBorder="1" applyAlignment="1">
      <alignment horizontal="center" vertical="center" wrapText="1"/>
    </xf>
    <xf numFmtId="0" fontId="39" fillId="65" borderId="10" xfId="0" applyFont="1" applyFill="1" applyBorder="1" applyAlignment="1">
      <alignment horizontal="center" vertical="center" wrapText="1"/>
    </xf>
    <xf numFmtId="0" fontId="67" fillId="59" borderId="10" xfId="0" applyFont="1" applyFill="1" applyBorder="1" applyAlignment="1">
      <alignment horizontal="center" vertical="center" wrapText="1"/>
    </xf>
    <xf numFmtId="0" fontId="67" fillId="60" borderId="10" xfId="0" applyFont="1" applyFill="1" applyBorder="1" applyAlignment="1">
      <alignment horizontal="center" vertical="center" wrapText="1"/>
    </xf>
    <xf numFmtId="0" fontId="39" fillId="61" borderId="10" xfId="0" applyFont="1" applyFill="1" applyBorder="1" applyAlignment="1">
      <alignment horizontal="center" vertical="center" wrapText="1"/>
    </xf>
    <xf numFmtId="0" fontId="39" fillId="49" borderId="10" xfId="0" applyFont="1" applyFill="1" applyBorder="1" applyAlignment="1">
      <alignment horizontal="center" vertical="center" wrapText="1"/>
    </xf>
    <xf numFmtId="0" fontId="39" fillId="62" borderId="10" xfId="0" applyFont="1" applyFill="1" applyBorder="1" applyAlignment="1">
      <alignment horizontal="center" vertical="center" wrapText="1"/>
    </xf>
    <xf numFmtId="0" fontId="39" fillId="60" borderId="10" xfId="0" applyFont="1" applyFill="1" applyBorder="1" applyAlignment="1">
      <alignment horizontal="center" vertical="center" wrapText="1"/>
    </xf>
    <xf numFmtId="0" fontId="39" fillId="67" borderId="10" xfId="0" applyFont="1" applyFill="1" applyBorder="1" applyAlignment="1">
      <alignment horizontal="center" vertical="center" wrapText="1"/>
    </xf>
    <xf numFmtId="10" fontId="38" fillId="67" borderId="10" xfId="0" applyNumberFormat="1" applyFont="1" applyFill="1" applyBorder="1" applyAlignment="1">
      <alignment horizontal="center" vertical="top" wrapText="1"/>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16" fillId="50" borderId="10" xfId="0" applyFont="1" applyFill="1" applyBorder="1" applyAlignment="1">
      <alignment horizontal="center" vertical="center"/>
    </xf>
    <xf numFmtId="0" fontId="29" fillId="0" borderId="10" xfId="0" applyFont="1" applyBorder="1" applyAlignment="1">
      <alignment horizontal="center"/>
    </xf>
    <xf numFmtId="0" fontId="24" fillId="50" borderId="10" xfId="0" applyFont="1" applyFill="1" applyBorder="1" applyAlignment="1">
      <alignment horizontal="center"/>
    </xf>
    <xf numFmtId="0" fontId="24" fillId="34" borderId="10" xfId="0" applyFont="1" applyFill="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5"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38" fillId="37" borderId="10" xfId="0" applyFont="1" applyFill="1" applyBorder="1" applyAlignment="1">
      <alignment horizontal="center" wrapText="1"/>
    </xf>
    <xf numFmtId="0" fontId="38" fillId="34" borderId="10" xfId="0" applyFont="1" applyFill="1" applyBorder="1" applyAlignment="1">
      <alignment horizontal="center" vertical="top" wrapText="1"/>
    </xf>
    <xf numFmtId="0" fontId="37" fillId="65" borderId="10" xfId="0" applyFont="1" applyFill="1" applyBorder="1" applyAlignment="1">
      <alignment horizontal="center" vertical="top" wrapText="1"/>
    </xf>
    <xf numFmtId="0" fontId="37" fillId="34" borderId="10" xfId="0" applyFont="1" applyFill="1" applyBorder="1" applyAlignment="1">
      <alignment horizontal="center" vertical="top" wrapText="1"/>
    </xf>
    <xf numFmtId="0" fontId="39" fillId="0" borderId="10" xfId="0" applyFont="1" applyBorder="1" applyAlignment="1">
      <alignment horizontal="center" wrapText="1"/>
    </xf>
    <xf numFmtId="0" fontId="72" fillId="64" borderId="10" xfId="0" applyFont="1" applyFill="1" applyBorder="1" applyAlignment="1">
      <alignment horizontal="center" vertical="top" wrapText="1"/>
    </xf>
    <xf numFmtId="0" fontId="37" fillId="0" borderId="10" xfId="0" applyFont="1" applyBorder="1" applyAlignment="1">
      <alignment horizontal="center" vertical="top" wrapText="1"/>
    </xf>
    <xf numFmtId="0" fontId="26" fillId="0" borderId="10" xfId="0" applyFont="1" applyBorder="1" applyAlignment="1">
      <alignment horizontal="center" vertical="center" wrapText="1"/>
    </xf>
    <xf numFmtId="0" fontId="37" fillId="35" borderId="10" xfId="0" applyFont="1" applyFill="1" applyBorder="1" applyAlignment="1">
      <alignment horizontal="center" vertical="top" wrapText="1"/>
    </xf>
    <xf numFmtId="0" fontId="39" fillId="0" borderId="10" xfId="0" applyFont="1" applyBorder="1" applyAlignment="1">
      <alignment horizontal="center" vertical="center" wrapText="1"/>
    </xf>
    <xf numFmtId="0" fontId="38" fillId="55" borderId="10" xfId="0" applyFont="1" applyFill="1" applyBorder="1" applyAlignment="1">
      <alignment horizontal="center" vertical="top" wrapText="1"/>
    </xf>
    <xf numFmtId="0" fontId="37" fillId="55" borderId="10" xfId="0" applyFont="1" applyFill="1" applyBorder="1" applyAlignment="1">
      <alignment horizontal="center" vertical="top" wrapText="1"/>
    </xf>
    <xf numFmtId="0" fontId="67" fillId="0" borderId="10" xfId="0" applyFont="1" applyBorder="1" applyAlignment="1">
      <alignment horizontal="center" vertical="top" wrapText="1"/>
    </xf>
    <xf numFmtId="0" fontId="67" fillId="0" borderId="10" xfId="0" applyFont="1" applyBorder="1" applyAlignment="1">
      <alignment horizontal="center" wrapText="1"/>
    </xf>
    <xf numFmtId="0" fontId="37" fillId="33" borderId="10" xfId="0" applyFont="1" applyFill="1" applyBorder="1" applyAlignment="1">
      <alignment horizontal="center" vertical="top" wrapText="1"/>
    </xf>
    <xf numFmtId="0" fontId="67" fillId="0" borderId="10" xfId="0" applyFont="1" applyBorder="1" applyAlignment="1">
      <alignment horizontal="center" vertical="center" wrapText="1"/>
    </xf>
    <xf numFmtId="0" fontId="38" fillId="0" borderId="10" xfId="0" applyFont="1" applyBorder="1" applyAlignment="1">
      <alignment horizontal="center" wrapText="1"/>
    </xf>
    <xf numFmtId="0" fontId="73" fillId="0" borderId="10" xfId="0" applyFont="1" applyBorder="1" applyAlignment="1">
      <alignment horizontal="center" vertical="center" wrapText="1"/>
    </xf>
    <xf numFmtId="0" fontId="75" fillId="0" borderId="10" xfId="0" applyFont="1" applyBorder="1" applyAlignment="1">
      <alignment horizontal="center" wrapText="1"/>
    </xf>
    <xf numFmtId="0" fontId="37" fillId="67" borderId="10" xfId="0" applyFont="1" applyFill="1" applyBorder="1" applyAlignment="1">
      <alignment horizontal="center" vertical="top" wrapText="1"/>
    </xf>
    <xf numFmtId="0" fontId="39" fillId="67" borderId="10" xfId="0" applyFont="1" applyFill="1" applyBorder="1" applyAlignment="1">
      <alignment horizontal="center" wrapText="1"/>
    </xf>
    <xf numFmtId="0" fontId="37" fillId="37" borderId="10" xfId="0" applyFont="1" applyFill="1" applyBorder="1" applyAlignment="1">
      <alignment horizontal="center" vertical="top" wrapText="1"/>
    </xf>
    <xf numFmtId="0" fontId="37" fillId="38" borderId="10" xfId="0" applyFont="1" applyFill="1" applyBorder="1" applyAlignment="1">
      <alignment horizontal="center" vertical="top" wrapText="1"/>
    </xf>
    <xf numFmtId="0" fontId="26" fillId="67" borderId="10" xfId="0" applyFont="1" applyFill="1" applyBorder="1" applyAlignment="1">
      <alignment horizontal="center" vertical="center" wrapText="1"/>
    </xf>
    <xf numFmtId="0" fontId="76" fillId="0" borderId="10" xfId="0" applyFont="1" applyBorder="1" applyAlignment="1">
      <alignment horizontal="center" wrapText="1"/>
    </xf>
    <xf numFmtId="0" fontId="26" fillId="0" borderId="10" xfId="0" applyFont="1" applyBorder="1" applyAlignment="1">
      <alignment horizontal="center" wrapText="1"/>
    </xf>
    <xf numFmtId="0" fontId="39" fillId="0" borderId="0" xfId="0" applyFont="1" applyAlignment="1">
      <alignment horizontal="center" wrapText="1"/>
    </xf>
    <xf numFmtId="0" fontId="77" fillId="0" borderId="0" xfId="0" applyFont="1" applyAlignment="1">
      <alignment horizontal="center" wrapText="1"/>
    </xf>
    <xf numFmtId="0" fontId="77" fillId="0" borderId="10" xfId="0" applyFont="1" applyBorder="1" applyAlignment="1">
      <alignment horizontal="center" wrapText="1"/>
    </xf>
    <xf numFmtId="0" fontId="77" fillId="34" borderId="0" xfId="0" applyFont="1" applyFill="1" applyAlignment="1">
      <alignment horizontal="center"/>
    </xf>
    <xf numFmtId="0" fontId="77" fillId="34" borderId="10" xfId="0" applyFont="1" applyFill="1" applyBorder="1" applyAlignment="1">
      <alignment horizontal="center"/>
    </xf>
    <xf numFmtId="0" fontId="45"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6" fillId="0" borderId="10" xfId="0" applyFont="1" applyBorder="1"/>
    <xf numFmtId="0" fontId="18" fillId="0" borderId="10" xfId="0" applyFont="1" applyBorder="1"/>
    <xf numFmtId="2" fontId="44" fillId="0" borderId="10" xfId="0" applyNumberFormat="1" applyFont="1" applyBorder="1" applyAlignment="1">
      <alignment horizontal="center"/>
    </xf>
    <xf numFmtId="0" fontId="53" fillId="0" borderId="10" xfId="0" applyFont="1" applyBorder="1" applyAlignment="1">
      <alignment horizontal="left" vertical="center" indent="3"/>
    </xf>
    <xf numFmtId="1" fontId="46" fillId="0" borderId="10" xfId="0" applyNumberFormat="1" applyFont="1" applyBorder="1"/>
    <xf numFmtId="0" fontId="62" fillId="0" borderId="10" xfId="0" applyFont="1" applyBorder="1"/>
    <xf numFmtId="0" fontId="66" fillId="0" borderId="10" xfId="0" applyFont="1" applyBorder="1"/>
    <xf numFmtId="0" fontId="65" fillId="0" borderId="10" xfId="0" applyFont="1" applyBorder="1"/>
    <xf numFmtId="0" fontId="61" fillId="0" borderId="10" xfId="0" applyFont="1" applyBorder="1"/>
    <xf numFmtId="0" fontId="18" fillId="43" borderId="10" xfId="0" applyFont="1" applyFill="1" applyBorder="1" applyAlignment="1">
      <alignment horizontal="center" vertical="center"/>
    </xf>
    <xf numFmtId="0" fontId="52" fillId="0" borderId="10" xfId="0" applyFont="1" applyBorder="1" applyAlignment="1">
      <alignment vertical="center"/>
    </xf>
    <xf numFmtId="0" fontId="54" fillId="0" borderId="10" xfId="0" applyFont="1" applyBorder="1" applyAlignment="1">
      <alignment vertical="center"/>
    </xf>
    <xf numFmtId="0" fontId="62" fillId="63" borderId="10" xfId="0" applyFont="1" applyFill="1" applyBorder="1" applyAlignment="1">
      <alignment horizontal="center"/>
    </xf>
    <xf numFmtId="0" fontId="18" fillId="63" borderId="10" xfId="0" applyFont="1" applyFill="1" applyBorder="1"/>
    <xf numFmtId="0" fontId="18" fillId="63" borderId="10" xfId="0" applyFont="1" applyFill="1" applyBorder="1" applyAlignment="1">
      <alignment horizontal="center"/>
    </xf>
    <xf numFmtId="0" fontId="45" fillId="0" borderId="10" xfId="0" applyFont="1" applyBorder="1" applyAlignment="1">
      <alignment horizontal="center"/>
    </xf>
    <xf numFmtId="0" fontId="18" fillId="42" borderId="10" xfId="0" applyFont="1" applyFill="1" applyBorder="1" applyAlignment="1">
      <alignment horizontal="center"/>
    </xf>
    <xf numFmtId="0" fontId="69" fillId="33" borderId="10" xfId="0" applyFont="1" applyFill="1" applyBorder="1"/>
    <xf numFmtId="0" fontId="49" fillId="0" borderId="10" xfId="0" applyFont="1" applyBorder="1"/>
    <xf numFmtId="0" fontId="18" fillId="48" borderId="10" xfId="0" applyFont="1" applyFill="1" applyBorder="1" applyAlignment="1">
      <alignment horizontal="left"/>
    </xf>
    <xf numFmtId="0" fontId="46"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78" fillId="34" borderId="10" xfId="0" applyFont="1" applyFill="1" applyBorder="1" applyAlignment="1">
      <alignment horizontal="center" vertical="center"/>
    </xf>
    <xf numFmtId="0" fontId="18" fillId="34" borderId="10" xfId="0" applyFont="1" applyFill="1" applyBorder="1" applyAlignment="1">
      <alignment horizontal="center"/>
    </xf>
    <xf numFmtId="0" fontId="78" fillId="34" borderId="10" xfId="0" applyFont="1" applyFill="1" applyBorder="1" applyAlignment="1">
      <alignment horizontal="center"/>
    </xf>
    <xf numFmtId="0" fontId="46" fillId="0" borderId="10" xfId="0" applyFont="1" applyBorder="1" applyAlignment="1">
      <alignment horizontal="center" vertical="center"/>
    </xf>
    <xf numFmtId="1" fontId="50" fillId="43" borderId="10" xfId="0" applyNumberFormat="1" applyFont="1" applyFill="1" applyBorder="1" applyAlignment="1">
      <alignment horizontal="center"/>
    </xf>
    <xf numFmtId="1" fontId="63" fillId="43" borderId="10" xfId="0" applyNumberFormat="1" applyFont="1" applyFill="1" applyBorder="1" applyAlignment="1">
      <alignment horizontal="center"/>
    </xf>
    <xf numFmtId="0" fontId="46" fillId="34" borderId="10" xfId="0" applyFont="1" applyFill="1" applyBorder="1"/>
    <xf numFmtId="167" fontId="18" fillId="0" borderId="10" xfId="0" applyNumberFormat="1" applyFont="1" applyBorder="1" applyAlignment="1">
      <alignment horizontal="center"/>
    </xf>
    <xf numFmtId="167" fontId="46" fillId="52" borderId="10" xfId="0" applyNumberFormat="1" applyFont="1" applyFill="1" applyBorder="1" applyAlignment="1">
      <alignment horizontal="center" vertical="center"/>
    </xf>
    <xf numFmtId="2" fontId="46" fillId="0" borderId="10" xfId="0" applyNumberFormat="1" applyFont="1" applyBorder="1" applyAlignment="1">
      <alignment horizontal="center" vertical="center"/>
    </xf>
    <xf numFmtId="2" fontId="46" fillId="53" borderId="10" xfId="0" applyNumberFormat="1" applyFont="1" applyFill="1" applyBorder="1" applyAlignment="1">
      <alignment horizontal="center" vertical="center"/>
    </xf>
    <xf numFmtId="2" fontId="46"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6" fillId="38" borderId="10" xfId="0" applyNumberFormat="1" applyFont="1" applyFill="1" applyBorder="1" applyAlignment="1">
      <alignment horizontal="center" vertical="center"/>
    </xf>
    <xf numFmtId="0" fontId="18" fillId="34" borderId="10" xfId="0" applyFont="1" applyFill="1" applyBorder="1"/>
    <xf numFmtId="2" fontId="46" fillId="34" borderId="10" xfId="0" applyNumberFormat="1" applyFont="1" applyFill="1" applyBorder="1"/>
    <xf numFmtId="0" fontId="51" fillId="0" borderId="10" xfId="0" applyFont="1" applyBorder="1"/>
    <xf numFmtId="2" fontId="47" fillId="52" borderId="10" xfId="0" applyNumberFormat="1" applyFont="1" applyFill="1" applyBorder="1" applyAlignment="1">
      <alignment horizontal="center" vertical="center"/>
    </xf>
    <xf numFmtId="0" fontId="46" fillId="52" borderId="10" xfId="0" applyFont="1" applyFill="1" applyBorder="1" applyAlignment="1">
      <alignment horizontal="center" vertical="center"/>
    </xf>
    <xf numFmtId="2" fontId="46" fillId="45" borderId="10" xfId="0" applyNumberFormat="1" applyFont="1" applyFill="1" applyBorder="1" applyAlignment="1">
      <alignment horizontal="center" vertical="center"/>
    </xf>
    <xf numFmtId="0" fontId="58" fillId="58" borderId="11" xfId="0" applyFont="1" applyFill="1" applyBorder="1" applyAlignment="1">
      <alignment horizontal="center" vertical="center" wrapText="1"/>
    </xf>
    <xf numFmtId="0" fontId="58" fillId="58" borderId="12" xfId="0" applyFont="1" applyFill="1" applyBorder="1" applyAlignment="1">
      <alignment horizontal="center" vertical="center" wrapText="1"/>
    </xf>
    <xf numFmtId="0" fontId="57" fillId="34" borderId="10" xfId="0" applyFont="1" applyFill="1" applyBorder="1" applyAlignment="1">
      <alignment horizontal="center" wrapText="1"/>
    </xf>
    <xf numFmtId="0" fontId="81" fillId="0" borderId="0" xfId="0" applyFont="1" applyAlignment="1">
      <alignment horizontal="center"/>
    </xf>
    <xf numFmtId="9" fontId="55" fillId="0" borderId="10" xfId="0" applyNumberFormat="1" applyFont="1" applyBorder="1" applyAlignment="1" applyProtection="1">
      <alignment horizontal="center"/>
      <protection locked="0"/>
    </xf>
    <xf numFmtId="0" fontId="38" fillId="35" borderId="10" xfId="0" applyFont="1" applyFill="1" applyBorder="1" applyAlignment="1">
      <alignment horizontal="center" vertical="top" wrapText="1"/>
    </xf>
    <xf numFmtId="0" fontId="55"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82" fillId="68" borderId="0" xfId="0" applyFont="1" applyFill="1" applyAlignment="1">
      <alignment horizontal="center" vertical="center" wrapText="1"/>
    </xf>
    <xf numFmtId="0" fontId="30" fillId="68" borderId="0" xfId="0" applyFont="1" applyFill="1" applyAlignment="1">
      <alignment horizontal="center"/>
    </xf>
    <xf numFmtId="0" fontId="30" fillId="69" borderId="10" xfId="0" applyFont="1" applyFill="1" applyBorder="1" applyAlignment="1">
      <alignment horizontal="center" wrapText="1"/>
    </xf>
    <xf numFmtId="0" fontId="82" fillId="69" borderId="0" xfId="0" applyFont="1" applyFill="1" applyAlignment="1">
      <alignment horizontal="center" vertical="center" wrapText="1"/>
    </xf>
    <xf numFmtId="0" fontId="30" fillId="69" borderId="0" xfId="0" applyFont="1" applyFill="1" applyAlignment="1">
      <alignment horizontal="center"/>
    </xf>
    <xf numFmtId="0" fontId="55" fillId="53" borderId="10" xfId="0" applyFont="1" applyFill="1" applyBorder="1" applyAlignment="1">
      <alignment horizontal="center"/>
    </xf>
    <xf numFmtId="0" fontId="55"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80"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40"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41" fillId="0" borderId="0" xfId="0" applyNumberFormat="1" applyFont="1" applyAlignment="1">
      <alignment horizontal="center"/>
    </xf>
    <xf numFmtId="0" fontId="16" fillId="0" borderId="0" xfId="0" applyFont="1" applyAlignment="1">
      <alignment horizontal="left"/>
    </xf>
    <xf numFmtId="0" fontId="40"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5" fillId="43" borderId="10" xfId="0" applyNumberFormat="1" applyFont="1" applyFill="1" applyBorder="1" applyAlignment="1">
      <alignment horizontal="center"/>
    </xf>
    <xf numFmtId="2" fontId="0" fillId="37" borderId="0" xfId="0" applyNumberFormat="1" applyFill="1" applyAlignment="1">
      <alignment horizontal="center"/>
    </xf>
    <xf numFmtId="0" fontId="84" fillId="0" borderId="10" xfId="0" applyFont="1" applyBorder="1" applyAlignment="1">
      <alignment horizontal="center" wrapText="1"/>
    </xf>
    <xf numFmtId="0" fontId="83" fillId="34" borderId="10" xfId="0" applyFont="1" applyFill="1" applyBorder="1" applyAlignment="1">
      <alignment horizontal="center" wrapText="1"/>
    </xf>
    <xf numFmtId="0" fontId="84" fillId="34" borderId="10" xfId="0" applyFont="1" applyFill="1" applyBorder="1" applyAlignment="1">
      <alignment horizontal="center" wrapText="1"/>
    </xf>
    <xf numFmtId="0" fontId="84" fillId="34" borderId="10" xfId="0" applyFont="1" applyFill="1" applyBorder="1" applyAlignment="1">
      <alignment horizontal="center" vertical="center"/>
    </xf>
    <xf numFmtId="0" fontId="84" fillId="34" borderId="10" xfId="0" applyFont="1" applyFill="1" applyBorder="1" applyAlignment="1">
      <alignment horizontal="center"/>
    </xf>
    <xf numFmtId="0" fontId="86"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87" fillId="0" borderId="10" xfId="0" applyFont="1" applyBorder="1" applyAlignment="1">
      <alignment vertical="center" wrapText="1"/>
    </xf>
    <xf numFmtId="0" fontId="87" fillId="0" borderId="10" xfId="0" applyFont="1" applyBorder="1"/>
    <xf numFmtId="9" fontId="38" fillId="67" borderId="10" xfId="0" applyNumberFormat="1" applyFont="1" applyFill="1" applyBorder="1" applyAlignment="1">
      <alignment horizontal="center" vertical="top" wrapText="1"/>
    </xf>
    <xf numFmtId="0" fontId="38" fillId="70" borderId="10" xfId="0" applyFont="1" applyFill="1" applyBorder="1" applyAlignment="1">
      <alignment horizontal="center" vertical="top" wrapText="1"/>
    </xf>
    <xf numFmtId="0" fontId="18" fillId="0" borderId="10" xfId="0" applyFont="1" applyBorder="1" applyAlignment="1">
      <alignment vertical="center"/>
    </xf>
    <xf numFmtId="0" fontId="47" fillId="0" borderId="10" xfId="0" applyFont="1" applyBorder="1" applyAlignment="1">
      <alignment horizontal="left" vertical="center"/>
    </xf>
    <xf numFmtId="0" fontId="63" fillId="0" borderId="10" xfId="0" applyFont="1" applyBorder="1" applyAlignment="1">
      <alignment horizontal="left" vertical="center"/>
    </xf>
    <xf numFmtId="0" fontId="62"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41" fillId="0" borderId="0" xfId="0" applyNumberFormat="1" applyFont="1" applyAlignment="1">
      <alignment horizontal="center"/>
    </xf>
    <xf numFmtId="168" fontId="19" fillId="0" borderId="10" xfId="0" applyNumberFormat="1" applyFont="1" applyBorder="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30" fillId="50" borderId="10" xfId="0" applyFont="1" applyFill="1" applyBorder="1" applyAlignment="1">
      <alignment horizontal="center" vertical="center"/>
    </xf>
    <xf numFmtId="0" fontId="40" fillId="0" borderId="10" xfId="0" applyFont="1" applyBorder="1" applyAlignment="1">
      <alignment horizontal="center"/>
    </xf>
    <xf numFmtId="0" fontId="40" fillId="50" borderId="10" xfId="0" applyFont="1" applyFill="1" applyBorder="1" applyAlignment="1">
      <alignment horizontal="center"/>
    </xf>
    <xf numFmtId="0" fontId="40" fillId="34" borderId="10" xfId="0" applyFont="1" applyFill="1" applyBorder="1" applyAlignment="1">
      <alignment horizontal="center"/>
    </xf>
    <xf numFmtId="0" fontId="0" fillId="43" borderId="0" xfId="0" applyFill="1" applyAlignment="1">
      <alignment horizontal="center"/>
    </xf>
    <xf numFmtId="2" fontId="0" fillId="0" borderId="0" xfId="0" applyNumberFormat="1"/>
    <xf numFmtId="2" fontId="48" fillId="43" borderId="10" xfId="0" applyNumberFormat="1" applyFont="1" applyFill="1" applyBorder="1" applyAlignment="1" applyProtection="1">
      <alignment vertical="center"/>
      <protection locked="0"/>
    </xf>
    <xf numFmtId="0" fontId="0" fillId="44" borderId="10" xfId="0" applyFill="1" applyBorder="1" applyAlignment="1">
      <alignment horizontal="center"/>
    </xf>
    <xf numFmtId="2" fontId="16" fillId="44" borderId="10" xfId="0" applyNumberFormat="1" applyFont="1" applyFill="1" applyBorder="1" applyAlignment="1">
      <alignment horizontal="center"/>
    </xf>
    <xf numFmtId="164" fontId="19" fillId="0" borderId="13" xfId="0" applyNumberFormat="1" applyFont="1" applyBorder="1" applyAlignment="1">
      <alignment horizontal="center"/>
    </xf>
    <xf numFmtId="164" fontId="14" fillId="0" borderId="14" xfId="0" applyNumberFormat="1" applyFont="1" applyBorder="1" applyAlignment="1">
      <alignment horizontal="center"/>
    </xf>
    <xf numFmtId="0" fontId="19" fillId="0" borderId="14" xfId="0" applyFont="1" applyBorder="1" applyAlignment="1">
      <alignment horizontal="center"/>
    </xf>
    <xf numFmtId="9" fontId="19" fillId="0" borderId="15" xfId="0" applyNumberFormat="1" applyFont="1" applyBorder="1" applyAlignment="1">
      <alignment horizontal="center"/>
    </xf>
    <xf numFmtId="0" fontId="19" fillId="0" borderId="15" xfId="0" applyFont="1" applyBorder="1" applyAlignment="1">
      <alignment horizontal="center"/>
    </xf>
    <xf numFmtId="0" fontId="16" fillId="50" borderId="16" xfId="0" applyFont="1" applyFill="1" applyBorder="1" applyAlignment="1">
      <alignment horizontal="center" vertical="center"/>
    </xf>
    <xf numFmtId="2" fontId="19" fillId="0" borderId="17" xfId="0" applyNumberFormat="1" applyFont="1" applyBorder="1" applyAlignment="1">
      <alignment horizontal="center"/>
    </xf>
    <xf numFmtId="0" fontId="16" fillId="50" borderId="17" xfId="0" applyFont="1" applyFill="1" applyBorder="1" applyAlignment="1">
      <alignment horizontal="center" vertical="center"/>
    </xf>
    <xf numFmtId="2" fontId="19" fillId="0" borderId="18" xfId="0" applyNumberFormat="1" applyFont="1" applyBorder="1" applyAlignment="1">
      <alignment horizontal="center"/>
    </xf>
    <xf numFmtId="0" fontId="24" fillId="0" borderId="19" xfId="0" applyFont="1" applyBorder="1" applyAlignment="1">
      <alignment horizontal="center"/>
    </xf>
    <xf numFmtId="2" fontId="19" fillId="0" borderId="20" xfId="0" applyNumberFormat="1" applyFont="1" applyBorder="1" applyAlignment="1">
      <alignment horizontal="center"/>
    </xf>
    <xf numFmtId="0" fontId="24" fillId="50" borderId="19" xfId="0" applyFont="1" applyFill="1" applyBorder="1" applyAlignment="1">
      <alignment horizontal="center"/>
    </xf>
    <xf numFmtId="0" fontId="24" fillId="34" borderId="19" xfId="0" applyFont="1" applyFill="1" applyBorder="1" applyAlignment="1">
      <alignment horizontal="center"/>
    </xf>
    <xf numFmtId="0" fontId="24" fillId="0" borderId="21" xfId="0" applyFont="1" applyBorder="1" applyAlignment="1">
      <alignment horizontal="center"/>
    </xf>
    <xf numFmtId="2" fontId="19" fillId="0" borderId="22" xfId="0" applyNumberFormat="1" applyFont="1" applyBorder="1" applyAlignment="1">
      <alignment horizontal="center"/>
    </xf>
    <xf numFmtId="0" fontId="24" fillId="0" borderId="22" xfId="0" applyFont="1" applyBorder="1" applyAlignment="1">
      <alignment horizontal="center"/>
    </xf>
    <xf numFmtId="2" fontId="19" fillId="0" borderId="23" xfId="0" applyNumberFormat="1" applyFont="1" applyBorder="1" applyAlignment="1">
      <alignment horizontal="center"/>
    </xf>
    <xf numFmtId="1" fontId="38" fillId="67" borderId="10" xfId="0" applyNumberFormat="1" applyFont="1" applyFill="1" applyBorder="1" applyAlignment="1">
      <alignment horizontal="center" vertical="top" wrapText="1"/>
    </xf>
    <xf numFmtId="0" fontId="38" fillId="34" borderId="10" xfId="0" applyFont="1" applyFill="1" applyBorder="1" applyAlignment="1">
      <alignment horizontal="center" vertical="center" wrapText="1"/>
    </xf>
    <xf numFmtId="0" fontId="67" fillId="0" borderId="10" xfId="0" applyFont="1" applyBorder="1" applyAlignment="1">
      <alignment vertical="center"/>
    </xf>
    <xf numFmtId="0" fontId="26" fillId="0" borderId="10" xfId="0" applyFont="1" applyBorder="1" applyAlignment="1">
      <alignment horizontal="center" vertical="center"/>
    </xf>
    <xf numFmtId="0" fontId="26" fillId="0" borderId="10" xfId="0" applyFont="1" applyBorder="1" applyAlignment="1">
      <alignment vertical="center"/>
    </xf>
    <xf numFmtId="0" fontId="26" fillId="0" borderId="10" xfId="0" applyFont="1" applyBorder="1" applyAlignment="1">
      <alignment vertical="center" wrapText="1"/>
    </xf>
    <xf numFmtId="0" fontId="38" fillId="67" borderId="10" xfId="0" applyFont="1" applyFill="1" applyBorder="1" applyAlignment="1">
      <alignment vertical="center" wrapText="1"/>
    </xf>
    <xf numFmtId="0" fontId="26" fillId="0" borderId="10" xfId="0" applyFont="1" applyBorder="1" applyAlignment="1">
      <alignment horizontal="left" vertical="center"/>
    </xf>
    <xf numFmtId="0" fontId="88" fillId="0" borderId="10" xfId="0" applyFont="1" applyBorder="1" applyAlignment="1">
      <alignment vertical="center"/>
    </xf>
    <xf numFmtId="0" fontId="38" fillId="0" borderId="10" xfId="0" applyFont="1" applyBorder="1" applyAlignment="1">
      <alignment horizontal="left" vertical="center"/>
    </xf>
    <xf numFmtId="2" fontId="89" fillId="0" borderId="10" xfId="0" applyNumberFormat="1" applyFont="1" applyBorder="1" applyAlignment="1">
      <alignment horizontal="center" vertical="center"/>
    </xf>
    <xf numFmtId="2" fontId="90" fillId="0" borderId="10" xfId="0" applyNumberFormat="1" applyFont="1" applyBorder="1" applyAlignment="1">
      <alignment horizontal="center" vertical="center"/>
    </xf>
    <xf numFmtId="0" fontId="88" fillId="0" borderId="10" xfId="0" applyFont="1" applyBorder="1" applyAlignment="1">
      <alignment vertical="center" wrapText="1"/>
    </xf>
    <xf numFmtId="0" fontId="38" fillId="67" borderId="10" xfId="0" applyFont="1" applyFill="1" applyBorder="1" applyAlignment="1">
      <alignment horizontal="left" vertical="center" wrapText="1"/>
    </xf>
    <xf numFmtId="2" fontId="38" fillId="67" borderId="10" xfId="0" applyNumberFormat="1" applyFont="1" applyFill="1" applyBorder="1" applyAlignment="1">
      <alignment horizontal="center" vertical="center" wrapText="1"/>
    </xf>
    <xf numFmtId="0" fontId="88" fillId="0" borderId="0" xfId="0" applyFont="1"/>
    <xf numFmtId="2" fontId="18" fillId="45" borderId="10" xfId="0" applyNumberFormat="1" applyFont="1" applyFill="1" applyBorder="1" applyAlignment="1">
      <alignment horizontal="left" vertical="center"/>
    </xf>
    <xf numFmtId="0" fontId="91" fillId="0" borderId="0" xfId="0" applyFont="1" applyAlignment="1">
      <alignment horizontal="center"/>
    </xf>
    <xf numFmtId="2" fontId="18" fillId="44" borderId="10" xfId="0" applyNumberFormat="1" applyFont="1" applyFill="1" applyBorder="1" applyAlignment="1">
      <alignment horizontal="center" vertical="center"/>
    </xf>
    <xf numFmtId="2" fontId="18" fillId="44" borderId="10" xfId="0" applyNumberFormat="1" applyFont="1" applyFill="1" applyBorder="1" applyAlignment="1">
      <alignment horizontal="center"/>
    </xf>
    <xf numFmtId="0" fontId="45" fillId="0" borderId="0" xfId="0" applyFont="1" applyAlignment="1">
      <alignment horizontal="left"/>
    </xf>
    <xf numFmtId="0" fontId="92" fillId="0" borderId="0" xfId="0" applyFont="1" applyAlignment="1">
      <alignment horizontal="center"/>
    </xf>
    <xf numFmtId="0" fontId="18" fillId="0" borderId="0" xfId="0" applyFont="1"/>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62">
    <dxf>
      <fill>
        <patternFill>
          <bgColor rgb="FFFFC000"/>
        </patternFill>
      </fill>
    </dxf>
    <dxf>
      <fill>
        <patternFill>
          <bgColor theme="1" tint="4.9989318521683403E-2"/>
        </patternFill>
      </fill>
    </dxf>
    <dxf>
      <fill>
        <patternFill>
          <bgColor theme="1" tint="4.9989318521683403E-2"/>
        </patternFill>
      </fill>
    </dxf>
    <dxf>
      <fill>
        <patternFill>
          <bgColor rgb="FFFF0000"/>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theme="1" tint="4.9989318521683403E-2"/>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5"/>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theme="1"/>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FFC000"/>
        </patternFill>
      </fill>
    </dxf>
    <dxf>
      <fill>
        <patternFill>
          <bgColor rgb="FFFF0000"/>
        </patternFill>
      </fill>
    </dxf>
  </dxfs>
  <tableStyles count="1" defaultTableStyle="TableStyleMedium2" defaultPivotStyle="PivotStyleLight16">
    <tableStyle name="Invisible" pivot="0" table="0" count="0" xr9:uid="{36ACC6AA-6285-41BA-81CA-4F089CF2110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calculRISKS!$AA$23:$AA$43</c:f>
              <c:strCache>
                <c:ptCount val="21"/>
                <c:pt idx="0">
                  <c:v>Cancer de la prostate</c:v>
                </c:pt>
                <c:pt idx="1">
                  <c:v>Hypertrophie prostatique</c:v>
                </c:pt>
                <c:pt idx="2">
                  <c:v>Insuffisance rénale</c:v>
                </c:pt>
                <c:pt idx="3">
                  <c:v>Lithiase urinaire</c:v>
                </c:pt>
                <c:pt idx="4">
                  <c:v>Ostéopénie</c:v>
                </c:pt>
                <c:pt idx="5">
                  <c:v>Cancer du colon</c:v>
                </c:pt>
                <c:pt idx="6">
                  <c:v>Hépatopathie dysmétabolique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Sein-Ovaire-Utérus</c:v>
                </c:pt>
                <c:pt idx="20">
                  <c:v>Tumeur Voie excrétrice urinaire</c:v>
                </c:pt>
              </c:strCache>
            </c:strRef>
          </c:cat>
          <c:val>
            <c:numRef>
              <c:f>calculRISKS!$AB$23:$AB$43</c:f>
              <c:numCache>
                <c:formatCode>0.00</c:formatCode>
                <c:ptCount val="21"/>
                <c:pt idx="0">
                  <c:v>0</c:v>
                </c:pt>
                <c:pt idx="1">
                  <c:v>0</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FCC8-4902-9685-3A7AEB0F93BF}"/>
            </c:ext>
          </c:extLst>
        </c:ser>
        <c:dLbls>
          <c:showLegendKey val="0"/>
          <c:showVal val="0"/>
          <c:showCatName val="0"/>
          <c:showSerName val="0"/>
          <c:showPercent val="0"/>
          <c:showBubbleSize val="0"/>
        </c:dLbls>
        <c:gapWidth val="219"/>
        <c:overlap val="-27"/>
        <c:axId val="170002320"/>
        <c:axId val="170003760"/>
      </c:barChart>
      <c:catAx>
        <c:axId val="170002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0003760"/>
        <c:crosses val="autoZero"/>
        <c:auto val="1"/>
        <c:lblAlgn val="ctr"/>
        <c:lblOffset val="100"/>
        <c:noMultiLvlLbl val="0"/>
      </c:catAx>
      <c:valAx>
        <c:axId val="17000376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00023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RESULTATS!$T$3:$T$23</c:f>
              <c:numCache>
                <c:formatCode>0.00</c:formatCode>
                <c:ptCount val="21"/>
                <c:pt idx="0">
                  <c:v>0</c:v>
                </c:pt>
                <c:pt idx="1">
                  <c:v>0</c:v>
                </c:pt>
                <c:pt idx="2">
                  <c:v>1.2</c:v>
                </c:pt>
                <c:pt idx="3">
                  <c:v>1.08</c:v>
                </c:pt>
                <c:pt idx="4">
                  <c:v>0.6</c:v>
                </c:pt>
                <c:pt idx="5">
                  <c:v>0.9</c:v>
                </c:pt>
                <c:pt idx="6">
                  <c:v>1.0045815687293014</c:v>
                </c:pt>
                <c:pt idx="7">
                  <c:v>0</c:v>
                </c:pt>
                <c:pt idx="8">
                  <c:v>1.08</c:v>
                </c:pt>
                <c:pt idx="9">
                  <c:v>0</c:v>
                </c:pt>
                <c:pt idx="10">
                  <c:v>0.5</c:v>
                </c:pt>
                <c:pt idx="11">
                  <c:v>0.90000000000000013</c:v>
                </c:pt>
                <c:pt idx="12">
                  <c:v>0.9</c:v>
                </c:pt>
                <c:pt idx="13">
                  <c:v>9.9333085562858359E-2</c:v>
                </c:pt>
                <c:pt idx="14">
                  <c:v>0.11472275334608048</c:v>
                </c:pt>
                <c:pt idx="15">
                  <c:v>8.0000000000000019E-3</c:v>
                </c:pt>
                <c:pt idx="16">
                  <c:v>0.01</c:v>
                </c:pt>
                <c:pt idx="17">
                  <c:v>0.9</c:v>
                </c:pt>
                <c:pt idx="18">
                  <c:v>0.9</c:v>
                </c:pt>
                <c:pt idx="19">
                  <c:v>0.72000000000000008</c:v>
                </c:pt>
                <c:pt idx="20">
                  <c:v>0.27</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radarChart>
        <c:radarStyle val="marker"/>
        <c:varyColors val="0"/>
        <c:ser>
          <c:idx val="4"/>
          <c:order val="4"/>
          <c:tx>
            <c:v>Attention</c:v>
          </c:tx>
          <c:spPr>
            <a:ln w="28575" cap="rnd">
              <a:solidFill>
                <a:schemeClr val="tx1"/>
              </a:solidFill>
              <a:prstDash val="dash"/>
              <a:round/>
            </a:ln>
            <a:effectLst/>
          </c:spPr>
          <c:marker>
            <c:symbol val="circle"/>
            <c:size val="5"/>
            <c:spPr>
              <a:solidFill>
                <a:schemeClr val="accent5"/>
              </a:solidFill>
              <a:ln w="53975">
                <a:solidFill>
                  <a:schemeClr val="accent5"/>
                </a:solidFill>
              </a:ln>
              <a:effectLst/>
            </c:spPr>
          </c:marker>
          <c:val>
            <c:numRef>
              <c:f>RESULTATS!$L$28:$L$48</c:f>
              <c:numCache>
                <c:formatCode>0.00</c:formatCode>
                <c:ptCount val="21"/>
                <c:pt idx="0">
                  <c:v>1.2</c:v>
                </c:pt>
                <c:pt idx="1">
                  <c:v>1.2</c:v>
                </c:pt>
                <c:pt idx="2">
                  <c:v>1.2</c:v>
                </c:pt>
                <c:pt idx="3">
                  <c:v>1.2</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D90A-42BA-8183-62FD675E34FD}"/>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525-416E-BFD1-9AFA476B569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525-416E-BFD1-9AFA476B569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525-416E-BFD1-9AFA476B569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525-416E-BFD1-9AFA476B5694}"/>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8525-416E-BFD1-9AFA476B5694}"/>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8525-416E-BFD1-9AFA476B5694}"/>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8525-416E-BFD1-9AFA476B5694}"/>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8525-416E-BFD1-9AFA476B5694}"/>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8525-416E-BFD1-9AFA476B5694}"/>
              </c:ext>
            </c:extLst>
          </c:dPt>
          <c:dPt>
            <c:idx val="9"/>
            <c:invertIfNegative val="0"/>
            <c:bubble3D val="0"/>
            <c:spPr>
              <a:solidFill>
                <a:schemeClr val="accent4">
                  <a:lumMod val="60000"/>
                </a:schemeClr>
              </a:solidFill>
              <a:ln>
                <a:noFill/>
              </a:ln>
              <a:effectLst/>
            </c:spPr>
            <c:extLst>
              <c:ext xmlns:c16="http://schemas.microsoft.com/office/drawing/2014/chart" uri="{C3380CC4-5D6E-409C-BE32-E72D297353CC}">
                <c16:uniqueId val="{00000013-8525-416E-BFD1-9AFA476B5694}"/>
              </c:ext>
            </c:extLst>
          </c:dPt>
          <c:dPt>
            <c:idx val="10"/>
            <c:invertIfNegative val="0"/>
            <c:bubble3D val="0"/>
            <c:spPr>
              <a:solidFill>
                <a:schemeClr val="accent5">
                  <a:lumMod val="60000"/>
                </a:schemeClr>
              </a:solidFill>
              <a:ln>
                <a:noFill/>
              </a:ln>
              <a:effectLst/>
            </c:spPr>
            <c:extLst>
              <c:ext xmlns:c16="http://schemas.microsoft.com/office/drawing/2014/chart" uri="{C3380CC4-5D6E-409C-BE32-E72D297353CC}">
                <c16:uniqueId val="{00000015-8525-416E-BFD1-9AFA476B5694}"/>
              </c:ext>
            </c:extLst>
          </c:dPt>
          <c:dPt>
            <c:idx val="11"/>
            <c:invertIfNegative val="0"/>
            <c:bubble3D val="0"/>
            <c:spPr>
              <a:solidFill>
                <a:schemeClr val="accent6">
                  <a:lumMod val="60000"/>
                </a:schemeClr>
              </a:solidFill>
              <a:ln>
                <a:noFill/>
              </a:ln>
              <a:effectLst/>
            </c:spPr>
            <c:extLst>
              <c:ext xmlns:c16="http://schemas.microsoft.com/office/drawing/2014/chart" uri="{C3380CC4-5D6E-409C-BE32-E72D297353CC}">
                <c16:uniqueId val="{00000017-8525-416E-BFD1-9AFA476B5694}"/>
              </c:ext>
            </c:extLst>
          </c:dPt>
          <c:dPt>
            <c:idx val="12"/>
            <c:invertIfNegative val="0"/>
            <c:bubble3D val="0"/>
            <c:spPr>
              <a:solidFill>
                <a:schemeClr val="accent1">
                  <a:lumMod val="80000"/>
                  <a:lumOff val="20000"/>
                </a:schemeClr>
              </a:solidFill>
              <a:ln>
                <a:noFill/>
              </a:ln>
              <a:effectLst/>
            </c:spPr>
            <c:extLst>
              <c:ext xmlns:c16="http://schemas.microsoft.com/office/drawing/2014/chart" uri="{C3380CC4-5D6E-409C-BE32-E72D297353CC}">
                <c16:uniqueId val="{00000019-8525-416E-BFD1-9AFA476B5694}"/>
              </c:ext>
            </c:extLst>
          </c:dPt>
          <c:dPt>
            <c:idx val="13"/>
            <c:invertIfNegative val="0"/>
            <c:bubble3D val="0"/>
            <c:spPr>
              <a:solidFill>
                <a:schemeClr val="accent2">
                  <a:lumMod val="80000"/>
                  <a:lumOff val="20000"/>
                </a:schemeClr>
              </a:solidFill>
              <a:ln>
                <a:noFill/>
              </a:ln>
              <a:effectLst/>
            </c:spPr>
            <c:extLst>
              <c:ext xmlns:c16="http://schemas.microsoft.com/office/drawing/2014/chart" uri="{C3380CC4-5D6E-409C-BE32-E72D297353CC}">
                <c16:uniqueId val="{0000001B-8525-416E-BFD1-9AFA476B5694}"/>
              </c:ext>
            </c:extLst>
          </c:dPt>
          <c:dPt>
            <c:idx val="14"/>
            <c:invertIfNegative val="0"/>
            <c:bubble3D val="0"/>
            <c:spPr>
              <a:solidFill>
                <a:schemeClr val="accent3">
                  <a:lumMod val="80000"/>
                  <a:lumOff val="20000"/>
                </a:schemeClr>
              </a:solidFill>
              <a:ln>
                <a:noFill/>
              </a:ln>
              <a:effectLst/>
            </c:spPr>
            <c:extLst>
              <c:ext xmlns:c16="http://schemas.microsoft.com/office/drawing/2014/chart" uri="{C3380CC4-5D6E-409C-BE32-E72D297353CC}">
                <c16:uniqueId val="{0000001D-8525-416E-BFD1-9AFA476B5694}"/>
              </c:ext>
            </c:extLst>
          </c:dPt>
          <c:dPt>
            <c:idx val="15"/>
            <c:invertIfNegative val="0"/>
            <c:bubble3D val="0"/>
            <c:spPr>
              <a:solidFill>
                <a:schemeClr val="accent4">
                  <a:lumMod val="80000"/>
                  <a:lumOff val="20000"/>
                </a:schemeClr>
              </a:solidFill>
              <a:ln>
                <a:noFill/>
              </a:ln>
              <a:effectLst/>
            </c:spPr>
            <c:extLst>
              <c:ext xmlns:c16="http://schemas.microsoft.com/office/drawing/2014/chart" uri="{C3380CC4-5D6E-409C-BE32-E72D297353CC}">
                <c16:uniqueId val="{0000001F-8525-416E-BFD1-9AFA476B5694}"/>
              </c:ext>
            </c:extLst>
          </c:dPt>
          <c:dPt>
            <c:idx val="16"/>
            <c:invertIfNegative val="0"/>
            <c:bubble3D val="0"/>
            <c:spPr>
              <a:solidFill>
                <a:schemeClr val="accent5">
                  <a:lumMod val="80000"/>
                  <a:lumOff val="20000"/>
                </a:schemeClr>
              </a:solidFill>
              <a:ln>
                <a:noFill/>
              </a:ln>
              <a:effectLst/>
            </c:spPr>
            <c:extLst>
              <c:ext xmlns:c16="http://schemas.microsoft.com/office/drawing/2014/chart" uri="{C3380CC4-5D6E-409C-BE32-E72D297353CC}">
                <c16:uniqueId val="{00000021-8525-416E-BFD1-9AFA476B5694}"/>
              </c:ext>
            </c:extLst>
          </c:dPt>
          <c:dPt>
            <c:idx val="17"/>
            <c:invertIfNegative val="0"/>
            <c:bubble3D val="0"/>
            <c:spPr>
              <a:solidFill>
                <a:schemeClr val="accent6">
                  <a:lumMod val="80000"/>
                  <a:lumOff val="20000"/>
                </a:schemeClr>
              </a:solidFill>
              <a:ln>
                <a:noFill/>
              </a:ln>
              <a:effectLst/>
            </c:spPr>
            <c:extLst>
              <c:ext xmlns:c16="http://schemas.microsoft.com/office/drawing/2014/chart" uri="{C3380CC4-5D6E-409C-BE32-E72D297353CC}">
                <c16:uniqueId val="{00000023-8525-416E-BFD1-9AFA476B5694}"/>
              </c:ext>
            </c:extLst>
          </c:dPt>
          <c:dPt>
            <c:idx val="18"/>
            <c:invertIfNegative val="0"/>
            <c:bubble3D val="0"/>
            <c:spPr>
              <a:solidFill>
                <a:schemeClr val="accent1">
                  <a:lumMod val="80000"/>
                </a:schemeClr>
              </a:solidFill>
              <a:ln>
                <a:noFill/>
              </a:ln>
              <a:effectLst/>
            </c:spPr>
            <c:extLst>
              <c:ext xmlns:c16="http://schemas.microsoft.com/office/drawing/2014/chart" uri="{C3380CC4-5D6E-409C-BE32-E72D297353CC}">
                <c16:uniqueId val="{00000025-8525-416E-BFD1-9AFA476B5694}"/>
              </c:ext>
            </c:extLst>
          </c:dPt>
          <c:dPt>
            <c:idx val="19"/>
            <c:invertIfNegative val="0"/>
            <c:bubble3D val="0"/>
            <c:spPr>
              <a:solidFill>
                <a:schemeClr val="accent2">
                  <a:lumMod val="80000"/>
                </a:schemeClr>
              </a:solidFill>
              <a:ln>
                <a:noFill/>
              </a:ln>
              <a:effectLst/>
            </c:spPr>
            <c:extLst>
              <c:ext xmlns:c16="http://schemas.microsoft.com/office/drawing/2014/chart" uri="{C3380CC4-5D6E-409C-BE32-E72D297353CC}">
                <c16:uniqueId val="{00000027-8525-416E-BFD1-9AFA476B5694}"/>
              </c:ext>
            </c:extLst>
          </c:dPt>
          <c:dPt>
            <c:idx val="20"/>
            <c:invertIfNegative val="0"/>
            <c:bubble3D val="0"/>
            <c:spPr>
              <a:solidFill>
                <a:schemeClr val="accent3">
                  <a:lumMod val="80000"/>
                </a:schemeClr>
              </a:solidFill>
              <a:ln>
                <a:noFill/>
              </a:ln>
              <a:effectLst/>
            </c:spPr>
            <c:extLst>
              <c:ext xmlns:c16="http://schemas.microsoft.com/office/drawing/2014/chart" uri="{C3380CC4-5D6E-409C-BE32-E72D297353CC}">
                <c16:uniqueId val="{00000029-8525-416E-BFD1-9AFA476B5694}"/>
              </c:ext>
            </c:extLst>
          </c:dPt>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SIMULATEUR!$E$3:$E$23</c:f>
              <c:numCache>
                <c:formatCode>0.00</c:formatCode>
                <c:ptCount val="21"/>
                <c:pt idx="0">
                  <c:v>0</c:v>
                </c:pt>
                <c:pt idx="1">
                  <c:v>0</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A713-43E8-9D51-1A75B9DB8FFF}"/>
            </c:ext>
          </c:extLst>
        </c:ser>
        <c:dLbls>
          <c:showLegendKey val="0"/>
          <c:showVal val="0"/>
          <c:showCatName val="0"/>
          <c:showSerName val="0"/>
          <c:showPercent val="0"/>
          <c:showBubbleSize val="0"/>
        </c:dLbls>
        <c:gapWidth val="219"/>
        <c:overlap val="-27"/>
        <c:axId val="1308195183"/>
        <c:axId val="1308196143"/>
      </c:barChart>
      <c:catAx>
        <c:axId val="1308195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8196143"/>
        <c:crosses val="autoZero"/>
        <c:auto val="1"/>
        <c:lblAlgn val="ctr"/>
        <c:lblOffset val="100"/>
        <c:noMultiLvlLbl val="0"/>
      </c:catAx>
      <c:valAx>
        <c:axId val="1308196143"/>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81951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23</xdr:col>
      <xdr:colOff>608323</xdr:colOff>
      <xdr:row>44</xdr:row>
      <xdr:rowOff>17872</xdr:rowOff>
    </xdr:from>
    <xdr:to>
      <xdr:col>27</xdr:col>
      <xdr:colOff>393274</xdr:colOff>
      <xdr:row>59</xdr:row>
      <xdr:rowOff>36136</xdr:rowOff>
    </xdr:to>
    <xdr:graphicFrame macro="">
      <xdr:nvGraphicFramePr>
        <xdr:cNvPr id="2" name="Graphique 1">
          <a:extLst>
            <a:ext uri="{FF2B5EF4-FFF2-40B4-BE49-F238E27FC236}">
              <a16:creationId xmlns:a16="http://schemas.microsoft.com/office/drawing/2014/main" id="{79FCA2CE-8C77-CF3F-A381-9C33C08734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12700</xdr:colOff>
      <xdr:row>30</xdr:row>
      <xdr:rowOff>57149</xdr:rowOff>
    </xdr:from>
    <xdr:to>
      <xdr:col>25</xdr:col>
      <xdr:colOff>450848</xdr:colOff>
      <xdr:row>72</xdr:row>
      <xdr:rowOff>139700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93133</xdr:colOff>
      <xdr:row>0</xdr:row>
      <xdr:rowOff>84667</xdr:rowOff>
    </xdr:from>
    <xdr:to>
      <xdr:col>7</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278605</xdr:colOff>
      <xdr:row>9</xdr:row>
      <xdr:rowOff>71437</xdr:rowOff>
    </xdr:from>
    <xdr:to>
      <xdr:col>12</xdr:col>
      <xdr:colOff>778668</xdr:colOff>
      <xdr:row>30</xdr:row>
      <xdr:rowOff>109538</xdr:rowOff>
    </xdr:to>
    <xdr:graphicFrame macro="">
      <xdr:nvGraphicFramePr>
        <xdr:cNvPr id="3" name="Graphique 2">
          <a:extLst>
            <a:ext uri="{FF2B5EF4-FFF2-40B4-BE49-F238E27FC236}">
              <a16:creationId xmlns:a16="http://schemas.microsoft.com/office/drawing/2014/main" id="{98E0910A-36E8-5C06-6C31-B007C13A6D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pageSetUpPr fitToPage="1"/>
  </sheetPr>
  <dimension ref="A1:AG276"/>
  <sheetViews>
    <sheetView zoomScale="75" zoomScaleNormal="75" workbookViewId="0">
      <pane ySplit="1" topLeftCell="A2" activePane="bottomLeft" state="frozen"/>
      <selection activeCell="B1" sqref="B1"/>
      <selection pane="bottomLeft" activeCell="F71" sqref="F71"/>
    </sheetView>
  </sheetViews>
  <sheetFormatPr baseColWidth="10" defaultColWidth="97.53125" defaultRowHeight="17.649999999999999"/>
  <cols>
    <col min="1" max="1" width="14.46484375" style="132" customWidth="1"/>
    <col min="2" max="2" width="41.1328125" style="71" customWidth="1"/>
    <col min="3" max="3" width="16.53125" style="69" customWidth="1"/>
    <col min="4" max="4" width="97.53125" style="117"/>
    <col min="5" max="5" width="15.46484375" style="71" customWidth="1"/>
    <col min="6" max="6" width="27.53125" style="75" customWidth="1"/>
    <col min="7" max="7" width="5.53125" style="71" bestFit="1" customWidth="1"/>
    <col min="8" max="8" width="22.53125" style="71" bestFit="1" customWidth="1"/>
    <col min="9" max="9" width="18.19921875" style="71" bestFit="1" customWidth="1"/>
    <col min="10" max="10" width="25.796875" style="71" bestFit="1" customWidth="1"/>
    <col min="11" max="11" width="29.86328125" style="71" bestFit="1" customWidth="1"/>
    <col min="12" max="12" width="23.19921875" style="71" bestFit="1" customWidth="1"/>
    <col min="13" max="13" width="20.19921875" style="71" bestFit="1" customWidth="1"/>
    <col min="14" max="14" width="15" style="71" bestFit="1" customWidth="1"/>
    <col min="15" max="15" width="20.1328125" style="71" bestFit="1" customWidth="1"/>
    <col min="16" max="16" width="23" style="71" bestFit="1" customWidth="1"/>
    <col min="17" max="17" width="31.19921875" style="71" bestFit="1" customWidth="1"/>
    <col min="18" max="18" width="31.796875" style="71" bestFit="1" customWidth="1"/>
    <col min="19" max="19" width="28.19921875" style="71" bestFit="1" customWidth="1"/>
    <col min="20" max="20" width="27.53125" style="71" bestFit="1" customWidth="1"/>
    <col min="21" max="21" width="20.796875" style="71" bestFit="1" customWidth="1"/>
    <col min="22" max="22" width="31.86328125" style="71" bestFit="1" customWidth="1"/>
    <col min="23" max="23" width="33.86328125" style="71" bestFit="1" customWidth="1"/>
    <col min="24" max="24" width="29.86328125" style="71" bestFit="1" customWidth="1"/>
    <col min="25" max="25" width="23" style="71" bestFit="1" customWidth="1"/>
    <col min="26" max="26" width="15.19921875" style="71" bestFit="1" customWidth="1"/>
    <col min="27" max="27" width="20.46484375" style="71" bestFit="1" customWidth="1"/>
    <col min="28" max="28" width="22.1328125" style="71" bestFit="1" customWidth="1"/>
    <col min="29" max="29" width="35.86328125" style="71" bestFit="1" customWidth="1"/>
    <col min="30" max="30" width="20.46484375" style="71" bestFit="1" customWidth="1"/>
    <col min="31" max="31" width="18.19921875" style="71" customWidth="1"/>
    <col min="32" max="16384" width="97.53125" style="71"/>
  </cols>
  <sheetData>
    <row r="1" spans="1:33">
      <c r="A1" s="121"/>
      <c r="B1" s="98"/>
      <c r="D1" s="115"/>
      <c r="F1" s="99" t="s">
        <v>86</v>
      </c>
      <c r="H1" s="78" t="s">
        <v>87</v>
      </c>
      <c r="I1" s="100">
        <f ca="1">TODAY()</f>
        <v>45948</v>
      </c>
    </row>
    <row r="2" spans="1:33">
      <c r="A2" s="121"/>
      <c r="B2" s="101"/>
      <c r="D2" s="116" t="s">
        <v>82</v>
      </c>
      <c r="F2" s="72">
        <f ca="1">TODAY()</f>
        <v>45948</v>
      </c>
      <c r="J2" s="102"/>
      <c r="K2" s="102"/>
      <c r="L2" s="102"/>
      <c r="M2" s="102"/>
      <c r="N2" s="102"/>
      <c r="O2" s="102"/>
      <c r="P2" s="102"/>
      <c r="Q2" s="102"/>
      <c r="R2" s="102"/>
      <c r="S2" s="102"/>
      <c r="T2" s="102"/>
      <c r="U2" s="102"/>
      <c r="V2" s="102"/>
      <c r="W2" s="102"/>
      <c r="X2" s="102"/>
      <c r="Y2" s="102"/>
      <c r="Z2" s="102"/>
      <c r="AA2" s="102"/>
      <c r="AB2" s="102"/>
      <c r="AC2" s="102"/>
      <c r="AD2" s="102"/>
      <c r="AE2" s="102"/>
      <c r="AF2" s="102"/>
      <c r="AG2" s="102"/>
    </row>
    <row r="3" spans="1:33">
      <c r="A3" s="122"/>
      <c r="D3" s="116" t="s">
        <v>659</v>
      </c>
      <c r="F3" s="73" t="s">
        <v>827</v>
      </c>
      <c r="H3" s="74">
        <f>IF(F3="H",1,0)</f>
        <v>0</v>
      </c>
    </row>
    <row r="4" spans="1:33">
      <c r="A4" s="123"/>
      <c r="B4" s="84" t="s">
        <v>665</v>
      </c>
      <c r="D4" s="117" t="s">
        <v>660</v>
      </c>
      <c r="H4" s="74">
        <f>IF(F3="F",1,0)</f>
        <v>1</v>
      </c>
    </row>
    <row r="5" spans="1:33">
      <c r="A5" s="123"/>
      <c r="D5" s="117" t="s">
        <v>661</v>
      </c>
      <c r="I5" s="102"/>
      <c r="J5" s="102"/>
      <c r="K5" s="102"/>
      <c r="L5" s="102"/>
      <c r="M5" s="102"/>
      <c r="N5" s="102"/>
      <c r="O5" s="102"/>
      <c r="P5" s="102"/>
      <c r="Q5" s="102"/>
      <c r="R5" s="102"/>
      <c r="S5" s="102"/>
      <c r="T5" s="102"/>
      <c r="U5" s="102"/>
      <c r="V5" s="102"/>
      <c r="W5" s="102"/>
      <c r="X5" s="102"/>
      <c r="Y5" s="102"/>
      <c r="Z5" s="102"/>
      <c r="AA5" s="102"/>
      <c r="AB5" s="102"/>
      <c r="AC5" s="102"/>
      <c r="AD5" s="102"/>
      <c r="AE5" s="102"/>
    </row>
    <row r="6" spans="1:33">
      <c r="A6" s="123"/>
      <c r="D6" s="116" t="s">
        <v>672</v>
      </c>
      <c r="F6" s="112">
        <v>52</v>
      </c>
      <c r="I6" s="102"/>
      <c r="J6" s="102"/>
      <c r="K6" s="102"/>
      <c r="L6" s="102"/>
      <c r="M6" s="102"/>
      <c r="N6" s="102"/>
      <c r="O6" s="102"/>
      <c r="P6" s="102"/>
      <c r="Q6" s="102"/>
      <c r="R6" s="102"/>
      <c r="S6" s="102"/>
      <c r="T6" s="102"/>
      <c r="U6" s="102"/>
      <c r="V6" s="102"/>
      <c r="W6" s="102"/>
      <c r="X6" s="102"/>
      <c r="Y6" s="102"/>
      <c r="Z6" s="102"/>
      <c r="AA6" s="102"/>
      <c r="AB6" s="102"/>
      <c r="AC6" s="102"/>
      <c r="AD6" s="102"/>
      <c r="AE6" s="102"/>
    </row>
    <row r="7" spans="1:33">
      <c r="A7" s="123"/>
      <c r="B7" s="84" t="s">
        <v>753</v>
      </c>
      <c r="D7" s="116" t="s">
        <v>752</v>
      </c>
      <c r="F7" s="73" t="s">
        <v>828</v>
      </c>
    </row>
    <row r="8" spans="1:33">
      <c r="A8" s="123"/>
      <c r="D8" s="117" t="s">
        <v>666</v>
      </c>
      <c r="I8" s="102"/>
      <c r="J8" s="102"/>
      <c r="K8" s="102"/>
      <c r="L8" s="102"/>
      <c r="M8" s="102"/>
      <c r="N8" s="102"/>
      <c r="O8" s="102"/>
      <c r="P8" s="102"/>
      <c r="Q8" s="102"/>
      <c r="R8" s="102"/>
      <c r="S8" s="102"/>
      <c r="T8" s="102"/>
      <c r="U8" s="102"/>
      <c r="V8" s="102"/>
      <c r="W8" s="102"/>
      <c r="X8" s="102"/>
      <c r="Y8" s="102"/>
      <c r="Z8" s="102"/>
      <c r="AA8" s="102"/>
      <c r="AB8" s="102"/>
      <c r="AC8" s="102"/>
      <c r="AD8" s="102"/>
      <c r="AE8" s="102"/>
    </row>
    <row r="9" spans="1:33">
      <c r="A9" s="124"/>
      <c r="D9" s="117" t="s">
        <v>667</v>
      </c>
      <c r="I9" s="102"/>
      <c r="J9" s="102"/>
      <c r="K9" s="102"/>
      <c r="L9" s="102"/>
      <c r="M9" s="102"/>
      <c r="N9" s="102"/>
      <c r="O9" s="102"/>
      <c r="P9" s="102"/>
      <c r="Q9" s="102"/>
      <c r="R9" s="102"/>
      <c r="S9" s="102"/>
      <c r="T9" s="102"/>
      <c r="U9" s="102"/>
      <c r="V9" s="102"/>
      <c r="W9" s="102"/>
      <c r="X9" s="102"/>
      <c r="Y9" s="102"/>
      <c r="Z9" s="102"/>
      <c r="AA9" s="102"/>
      <c r="AB9" s="102"/>
      <c r="AC9" s="102"/>
      <c r="AD9" s="102"/>
      <c r="AE9" s="102"/>
    </row>
    <row r="10" spans="1:33">
      <c r="A10" s="124"/>
      <c r="D10" s="117" t="s">
        <v>668</v>
      </c>
    </row>
    <row r="11" spans="1:33">
      <c r="A11" s="124"/>
      <c r="B11" s="84" t="s">
        <v>664</v>
      </c>
      <c r="D11" s="118" t="s">
        <v>673</v>
      </c>
      <c r="F11" s="125" t="s">
        <v>90</v>
      </c>
      <c r="H11" s="71" t="s">
        <v>90</v>
      </c>
      <c r="I11" s="71" t="s">
        <v>89</v>
      </c>
      <c r="J11" s="76"/>
      <c r="K11" s="77"/>
      <c r="L11" s="77"/>
      <c r="M11" s="77"/>
      <c r="N11" s="77"/>
      <c r="O11" s="77"/>
      <c r="P11" s="77"/>
      <c r="Q11" s="77"/>
      <c r="R11" s="77"/>
      <c r="S11" s="77"/>
      <c r="T11" s="77"/>
      <c r="U11" s="77"/>
      <c r="V11" s="77"/>
      <c r="W11" s="77"/>
      <c r="X11" s="77"/>
      <c r="Y11" s="77"/>
      <c r="Z11" s="77"/>
      <c r="AA11" s="77"/>
      <c r="AB11" s="77"/>
      <c r="AC11" s="77"/>
      <c r="AD11" s="77"/>
    </row>
    <row r="12" spans="1:33">
      <c r="A12" s="124"/>
      <c r="D12" s="119" t="s">
        <v>662</v>
      </c>
    </row>
    <row r="13" spans="1:33">
      <c r="A13" s="124"/>
      <c r="D13" s="119" t="s">
        <v>663</v>
      </c>
    </row>
    <row r="14" spans="1:33">
      <c r="A14" s="124"/>
      <c r="D14" s="119" t="s">
        <v>674</v>
      </c>
      <c r="F14" s="126" t="s">
        <v>90</v>
      </c>
      <c r="H14" s="79" t="str">
        <f>IF($F$11="Y",F14,"N")</f>
        <v>N</v>
      </c>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row>
    <row r="15" spans="1:33">
      <c r="A15" s="124"/>
      <c r="D15" s="119" t="s">
        <v>662</v>
      </c>
      <c r="I15" s="102"/>
      <c r="J15" s="76" t="s">
        <v>54</v>
      </c>
      <c r="K15" s="77" t="s">
        <v>35</v>
      </c>
      <c r="L15" s="77" t="s">
        <v>36</v>
      </c>
      <c r="M15" s="77" t="s">
        <v>37</v>
      </c>
      <c r="N15" s="77" t="s">
        <v>38</v>
      </c>
      <c r="O15" s="77" t="s">
        <v>39</v>
      </c>
      <c r="P15" s="77" t="s">
        <v>40</v>
      </c>
      <c r="Q15" s="77" t="s">
        <v>41</v>
      </c>
      <c r="R15" s="77" t="s">
        <v>42</v>
      </c>
      <c r="S15" s="77" t="s">
        <v>43</v>
      </c>
      <c r="T15" s="77" t="s">
        <v>44</v>
      </c>
      <c r="U15" s="77" t="s">
        <v>45</v>
      </c>
      <c r="V15" s="77" t="s">
        <v>46</v>
      </c>
      <c r="W15" s="77" t="s">
        <v>47</v>
      </c>
      <c r="X15" s="77" t="s">
        <v>48</v>
      </c>
      <c r="Y15" s="77" t="s">
        <v>49</v>
      </c>
      <c r="Z15" s="77" t="s">
        <v>50</v>
      </c>
      <c r="AA15" s="77" t="s">
        <v>51</v>
      </c>
      <c r="AB15" s="77" t="s">
        <v>52</v>
      </c>
      <c r="AC15" s="77" t="s">
        <v>53</v>
      </c>
      <c r="AD15" s="102"/>
      <c r="AE15" s="102"/>
      <c r="AF15" s="102"/>
      <c r="AG15" s="102"/>
    </row>
    <row r="16" spans="1:33">
      <c r="A16" s="121"/>
      <c r="D16" s="119" t="s">
        <v>663</v>
      </c>
    </row>
    <row r="17" spans="1:31">
      <c r="A17" s="127"/>
      <c r="D17" s="119" t="s">
        <v>675</v>
      </c>
      <c r="F17" s="126" t="s">
        <v>90</v>
      </c>
      <c r="H17" s="79" t="str">
        <f>IF($F$11="Y",F17,"N")</f>
        <v>N</v>
      </c>
      <c r="I17" s="71" t="s">
        <v>98</v>
      </c>
      <c r="J17" s="80" t="s">
        <v>54</v>
      </c>
      <c r="K17" s="81" t="s">
        <v>35</v>
      </c>
      <c r="L17" s="81" t="s">
        <v>36</v>
      </c>
      <c r="M17" s="81" t="s">
        <v>37</v>
      </c>
      <c r="N17" s="81" t="s">
        <v>38</v>
      </c>
      <c r="O17" s="81" t="s">
        <v>39</v>
      </c>
      <c r="P17" s="81" t="s">
        <v>40</v>
      </c>
      <c r="Q17" s="81" t="s">
        <v>41</v>
      </c>
      <c r="R17" s="81" t="s">
        <v>42</v>
      </c>
      <c r="S17" s="81" t="s">
        <v>43</v>
      </c>
      <c r="T17" s="81" t="s">
        <v>44</v>
      </c>
      <c r="U17" s="81" t="s">
        <v>45</v>
      </c>
      <c r="V17" s="81" t="s">
        <v>46</v>
      </c>
      <c r="W17" s="81" t="s">
        <v>47</v>
      </c>
      <c r="X17" s="81" t="s">
        <v>48</v>
      </c>
      <c r="Y17" s="81" t="s">
        <v>49</v>
      </c>
      <c r="Z17" s="81" t="s">
        <v>50</v>
      </c>
      <c r="AA17" s="81" t="s">
        <v>51</v>
      </c>
      <c r="AB17" s="81" t="s">
        <v>52</v>
      </c>
      <c r="AC17" s="81" t="s">
        <v>97</v>
      </c>
      <c r="AD17" s="82" t="s">
        <v>96</v>
      </c>
      <c r="AE17" s="92" t="s">
        <v>604</v>
      </c>
    </row>
    <row r="18" spans="1:31">
      <c r="A18" s="127"/>
      <c r="D18" s="119" t="s">
        <v>662</v>
      </c>
      <c r="I18" s="83" t="s">
        <v>0</v>
      </c>
      <c r="J18" s="84">
        <f>IF($H$77&gt;0.25,1.2,1)</f>
        <v>1</v>
      </c>
      <c r="K18" s="84">
        <f t="shared" ref="K18:AC18" si="0">IF($H$77&gt;0.25,1.2,1)</f>
        <v>1</v>
      </c>
      <c r="L18" s="84">
        <f t="shared" si="0"/>
        <v>1</v>
      </c>
      <c r="M18" s="84">
        <f t="shared" si="0"/>
        <v>1</v>
      </c>
      <c r="N18" s="84">
        <f>IF($H$77&gt;0.25,0.8,1)</f>
        <v>1</v>
      </c>
      <c r="O18" s="84">
        <f t="shared" si="0"/>
        <v>1</v>
      </c>
      <c r="P18" s="84">
        <f t="shared" si="0"/>
        <v>1</v>
      </c>
      <c r="Q18" s="71">
        <v>1</v>
      </c>
      <c r="R18" s="84">
        <f t="shared" si="0"/>
        <v>1</v>
      </c>
      <c r="S18" s="84">
        <f>IF($H$77&lt;0.25,1,IF($H$77&gt;0.3,2.5,1.2))</f>
        <v>1</v>
      </c>
      <c r="T18" s="84">
        <f>IF($H$77&lt;0.25,1,IF($H$77&gt;0.3,2.5,1.2))</f>
        <v>1</v>
      </c>
      <c r="U18" s="71">
        <v>1</v>
      </c>
      <c r="V18" s="84">
        <f t="shared" si="0"/>
        <v>1</v>
      </c>
      <c r="W18" s="84">
        <f t="shared" si="0"/>
        <v>1</v>
      </c>
      <c r="X18" s="84">
        <f>IF($H$77&lt;0.25,1,IF($H$77&gt;0.3,2.5,1.2))</f>
        <v>1</v>
      </c>
      <c r="Y18" s="71">
        <v>1</v>
      </c>
      <c r="Z18" s="71">
        <v>1</v>
      </c>
      <c r="AA18" s="71">
        <v>1</v>
      </c>
      <c r="AB18" s="71">
        <v>1</v>
      </c>
      <c r="AC18" s="84">
        <f t="shared" si="0"/>
        <v>1</v>
      </c>
      <c r="AD18" s="71">
        <v>1</v>
      </c>
      <c r="AE18" s="71">
        <v>1</v>
      </c>
    </row>
    <row r="19" spans="1:31">
      <c r="A19" s="127"/>
      <c r="D19" s="119" t="s">
        <v>663</v>
      </c>
      <c r="I19" s="83" t="s">
        <v>73</v>
      </c>
      <c r="J19" s="71">
        <v>1</v>
      </c>
      <c r="K19" s="71">
        <v>1</v>
      </c>
      <c r="L19" s="84">
        <f t="shared" ref="L19:AD19" si="1">IF($F$82="Y",1.2,1)</f>
        <v>1</v>
      </c>
      <c r="M19" s="71">
        <v>1</v>
      </c>
      <c r="N19" s="84">
        <f t="shared" si="1"/>
        <v>1</v>
      </c>
      <c r="O19" s="71">
        <v>1</v>
      </c>
      <c r="P19" s="71">
        <v>1</v>
      </c>
      <c r="Q19" s="71">
        <v>1</v>
      </c>
      <c r="R19" s="71">
        <v>1</v>
      </c>
      <c r="S19" s="71">
        <v>1</v>
      </c>
      <c r="T19" s="71">
        <v>1</v>
      </c>
      <c r="U19" s="84">
        <f t="shared" si="1"/>
        <v>1</v>
      </c>
      <c r="V19" s="84">
        <f t="shared" si="1"/>
        <v>1</v>
      </c>
      <c r="W19" s="84">
        <f t="shared" si="1"/>
        <v>1</v>
      </c>
      <c r="X19" s="84">
        <f t="shared" si="1"/>
        <v>1</v>
      </c>
      <c r="Y19" s="84">
        <f>IF(F82="Y",20,0.1)</f>
        <v>0.1</v>
      </c>
      <c r="Z19" s="84">
        <f>IF($F$82="Y",5,0.1)</f>
        <v>0.1</v>
      </c>
      <c r="AA19" s="84">
        <f t="shared" si="1"/>
        <v>1</v>
      </c>
      <c r="AB19" s="71">
        <v>1</v>
      </c>
      <c r="AC19" s="71">
        <v>1</v>
      </c>
      <c r="AD19" s="84">
        <f t="shared" si="1"/>
        <v>1</v>
      </c>
      <c r="AE19" s="84">
        <f>IF($F$82="Y",20,1)</f>
        <v>1</v>
      </c>
    </row>
    <row r="20" spans="1:31">
      <c r="A20" s="127"/>
      <c r="D20" s="119" t="s">
        <v>676</v>
      </c>
      <c r="F20" s="126" t="s">
        <v>90</v>
      </c>
      <c r="H20" s="79" t="str">
        <f>IF($F$11="Y",F20,"N")</f>
        <v>N</v>
      </c>
      <c r="I20" s="83" t="s">
        <v>74</v>
      </c>
      <c r="J20" s="71">
        <v>1</v>
      </c>
      <c r="K20" s="71">
        <v>1</v>
      </c>
      <c r="L20" s="71">
        <v>1</v>
      </c>
      <c r="M20" s="71">
        <v>1</v>
      </c>
      <c r="N20" s="71">
        <v>1</v>
      </c>
      <c r="O20" s="84">
        <f t="shared" ref="O20:AD20" si="2">IF($F$86="Y",1.2,1)</f>
        <v>1</v>
      </c>
      <c r="P20" s="84">
        <f t="shared" si="2"/>
        <v>1</v>
      </c>
      <c r="Q20" s="71">
        <v>1</v>
      </c>
      <c r="R20" s="71">
        <v>1</v>
      </c>
      <c r="S20" s="71">
        <v>1</v>
      </c>
      <c r="T20" s="71">
        <v>1</v>
      </c>
      <c r="U20" s="71">
        <v>1</v>
      </c>
      <c r="V20" s="71">
        <v>1</v>
      </c>
      <c r="W20" s="71">
        <v>1</v>
      </c>
      <c r="X20" s="71">
        <v>1</v>
      </c>
      <c r="Y20" s="71">
        <v>1</v>
      </c>
      <c r="Z20" s="84">
        <f>IF($F$86="Y",5,1)</f>
        <v>1</v>
      </c>
      <c r="AA20" s="71">
        <v>1</v>
      </c>
      <c r="AB20" s="71">
        <v>1</v>
      </c>
      <c r="AC20" s="71">
        <v>1</v>
      </c>
      <c r="AD20" s="84">
        <f t="shared" si="2"/>
        <v>1</v>
      </c>
      <c r="AE20" s="71">
        <v>1</v>
      </c>
    </row>
    <row r="21" spans="1:31">
      <c r="A21" s="128"/>
      <c r="D21" s="119" t="s">
        <v>662</v>
      </c>
      <c r="I21" s="83" t="s">
        <v>75</v>
      </c>
      <c r="J21" s="84">
        <f>IF($F$89="Y",0.8,1.2)</f>
        <v>0.8</v>
      </c>
      <c r="K21" s="84">
        <f>IF($F$89="Y",0.8,1)</f>
        <v>0.8</v>
      </c>
      <c r="L21" s="71">
        <v>1</v>
      </c>
      <c r="M21" s="84">
        <f>IF($F$89="Y",0.8,1)</f>
        <v>0.8</v>
      </c>
      <c r="N21" s="84">
        <f>IF($F$89="Y",0.8,1)</f>
        <v>0.8</v>
      </c>
      <c r="O21" s="84">
        <f>IF($F$89="Y",0.8,1)</f>
        <v>0.8</v>
      </c>
      <c r="P21" s="84">
        <f>IF($F$89="Y",0.8,1)</f>
        <v>0.8</v>
      </c>
      <c r="Q21" s="71">
        <v>1</v>
      </c>
      <c r="R21" s="71">
        <v>1</v>
      </c>
      <c r="S21" s="84">
        <f t="shared" ref="S21:X21" si="3">IF($F$89="Y",0.8,1)</f>
        <v>0.8</v>
      </c>
      <c r="T21" s="84">
        <f t="shared" si="3"/>
        <v>0.8</v>
      </c>
      <c r="U21" s="84">
        <f t="shared" si="3"/>
        <v>0.8</v>
      </c>
      <c r="V21" s="84">
        <f t="shared" si="3"/>
        <v>0.8</v>
      </c>
      <c r="W21" s="84">
        <f t="shared" si="3"/>
        <v>0.8</v>
      </c>
      <c r="X21" s="84">
        <f t="shared" si="3"/>
        <v>0.8</v>
      </c>
      <c r="Y21" s="71">
        <v>1</v>
      </c>
      <c r="Z21" s="71">
        <v>1</v>
      </c>
      <c r="AA21" s="71">
        <v>1</v>
      </c>
      <c r="AB21" s="71">
        <v>1</v>
      </c>
      <c r="AC21" s="84">
        <f>IF($F$89="Y",0.8,1)</f>
        <v>0.8</v>
      </c>
      <c r="AD21" s="71">
        <v>1</v>
      </c>
      <c r="AE21" s="71">
        <v>1</v>
      </c>
    </row>
    <row r="22" spans="1:31">
      <c r="A22" s="128"/>
      <c r="B22" s="103"/>
      <c r="D22" s="119" t="s">
        <v>663</v>
      </c>
      <c r="I22" s="83" t="s">
        <v>76</v>
      </c>
      <c r="J22" s="84">
        <f>IF($F$92="Y",0.8,1.2)</f>
        <v>1.2</v>
      </c>
      <c r="K22" s="84">
        <f>IF($F$92="Y",0.8,1.2)</f>
        <v>1.2</v>
      </c>
      <c r="L22" s="71">
        <f>IF($F$92="Y",0.8,1.2)</f>
        <v>1.2</v>
      </c>
      <c r="M22" s="71">
        <f>IF($F$92="Y",0.8,1.2)</f>
        <v>1.2</v>
      </c>
      <c r="N22" s="71">
        <v>1</v>
      </c>
      <c r="O22" s="84">
        <f>IF($F$92="Y",0.8,1)</f>
        <v>1</v>
      </c>
      <c r="P22" s="84">
        <f>IF($F$92="Y",0.8,1)</f>
        <v>1</v>
      </c>
      <c r="Q22" s="71">
        <v>1</v>
      </c>
      <c r="R22" s="71">
        <v>1</v>
      </c>
      <c r="S22" s="84">
        <f>IF($F$92="Y",0.8,1)</f>
        <v>1</v>
      </c>
      <c r="T22" s="84">
        <f>IF($F$92="Y",0.8,1)</f>
        <v>1</v>
      </c>
      <c r="U22" s="71">
        <v>1</v>
      </c>
      <c r="V22" s="71">
        <v>1</v>
      </c>
      <c r="W22" s="84">
        <f>IF($F$92="Y",0.8,1)</f>
        <v>1</v>
      </c>
      <c r="X22" s="84">
        <f>IF($F$92="Y",0.8,1)</f>
        <v>1</v>
      </c>
      <c r="Y22" s="71">
        <v>1</v>
      </c>
      <c r="Z22" s="71">
        <v>1</v>
      </c>
      <c r="AA22" s="71">
        <v>1</v>
      </c>
      <c r="AB22" s="71">
        <v>1</v>
      </c>
      <c r="AC22" s="84">
        <f>IF($F$92="Y",0.8,1)</f>
        <v>1</v>
      </c>
      <c r="AD22" s="71">
        <v>1</v>
      </c>
      <c r="AE22" s="71">
        <v>1</v>
      </c>
    </row>
    <row r="23" spans="1:31">
      <c r="A23" s="128"/>
      <c r="B23" s="103"/>
      <c r="D23" s="119" t="s">
        <v>677</v>
      </c>
      <c r="F23" s="126" t="s">
        <v>90</v>
      </c>
      <c r="H23" s="79" t="str">
        <f>IF($F$11="Y",F23,"N")</f>
        <v>N</v>
      </c>
      <c r="I23" s="83" t="s">
        <v>78</v>
      </c>
      <c r="J23" s="71">
        <v>1</v>
      </c>
      <c r="K23" s="71">
        <v>1</v>
      </c>
      <c r="L23" s="71">
        <v>1</v>
      </c>
      <c r="M23" s="71">
        <v>1</v>
      </c>
      <c r="N23" s="71">
        <f>IF('Import Biologie'!C35&lt;30,1.2,1)</f>
        <v>1</v>
      </c>
      <c r="O23" s="71">
        <v>1</v>
      </c>
      <c r="P23" s="71">
        <v>1</v>
      </c>
      <c r="Q23" s="71">
        <v>1</v>
      </c>
      <c r="R23" s="71">
        <v>1</v>
      </c>
      <c r="S23" s="71">
        <v>1</v>
      </c>
      <c r="T23" s="71">
        <v>1</v>
      </c>
      <c r="U23" s="71">
        <v>1</v>
      </c>
      <c r="V23" s="71">
        <v>1</v>
      </c>
      <c r="W23" s="71">
        <v>1</v>
      </c>
      <c r="X23" s="71">
        <v>1</v>
      </c>
      <c r="Y23" s="71">
        <v>1</v>
      </c>
      <c r="Z23" s="71">
        <v>1</v>
      </c>
      <c r="AA23" s="71">
        <v>1</v>
      </c>
      <c r="AB23" s="328">
        <f>G117*G118*G119*G120</f>
        <v>1</v>
      </c>
      <c r="AC23" s="71">
        <v>1</v>
      </c>
      <c r="AD23" s="71">
        <v>1</v>
      </c>
      <c r="AE23" s="71">
        <v>1</v>
      </c>
    </row>
    <row r="24" spans="1:31">
      <c r="A24" s="128"/>
      <c r="B24" s="103"/>
      <c r="D24" s="119" t="s">
        <v>662</v>
      </c>
      <c r="I24" s="85" t="s">
        <v>106</v>
      </c>
      <c r="J24" s="71">
        <v>1</v>
      </c>
      <c r="K24" s="71">
        <v>1</v>
      </c>
      <c r="L24" s="71">
        <v>1</v>
      </c>
      <c r="M24" s="71">
        <v>1</v>
      </c>
      <c r="N24" s="84">
        <f>IF(F113="Y",1.2,1)</f>
        <v>1</v>
      </c>
      <c r="O24" s="71">
        <v>1</v>
      </c>
      <c r="P24" s="71">
        <v>1</v>
      </c>
      <c r="Q24" s="71">
        <v>1</v>
      </c>
      <c r="R24" s="71">
        <v>1</v>
      </c>
      <c r="S24" s="71">
        <v>1</v>
      </c>
      <c r="T24" s="71">
        <v>1</v>
      </c>
      <c r="U24" s="84">
        <f>IF(F53="Y",1.2,1)*(IF(F101="Y",0.8,1))</f>
        <v>1</v>
      </c>
      <c r="V24" s="71">
        <v>1</v>
      </c>
      <c r="W24" s="84">
        <f>X24</f>
        <v>1</v>
      </c>
      <c r="X24" s="84">
        <f>MAX(IF(F122="Y",1.2,1),IF(H140&gt;4,1.2,1),IF(F107="Y",1.2,1))</f>
        <v>1</v>
      </c>
      <c r="Y24" s="71">
        <v>1</v>
      </c>
      <c r="Z24" s="71">
        <v>1</v>
      </c>
      <c r="AA24" s="71">
        <v>1</v>
      </c>
      <c r="AB24" s="71">
        <v>1</v>
      </c>
      <c r="AC24" s="71">
        <v>1</v>
      </c>
      <c r="AD24" s="71">
        <v>1</v>
      </c>
      <c r="AE24" s="71">
        <v>1</v>
      </c>
    </row>
    <row r="25" spans="1:31">
      <c r="A25" s="128"/>
      <c r="B25" s="103"/>
      <c r="D25" s="119" t="s">
        <v>663</v>
      </c>
      <c r="I25" s="85" t="s">
        <v>127</v>
      </c>
      <c r="J25" s="71">
        <f>J18*J19*J20*(MAX(J21,J22)*J23*J24)</f>
        <v>1.2</v>
      </c>
      <c r="K25" s="71">
        <f t="shared" ref="K25:AD25" si="4">K18*K19*K20*(MAX(K21,K22)*K23*K24)</f>
        <v>1.2</v>
      </c>
      <c r="L25" s="71">
        <f t="shared" si="4"/>
        <v>1.2</v>
      </c>
      <c r="M25" s="71">
        <f t="shared" si="4"/>
        <v>1.2</v>
      </c>
      <c r="N25" s="71">
        <f t="shared" si="4"/>
        <v>1</v>
      </c>
      <c r="O25" s="71">
        <f>O18*O19*O20*(MAX(O21,O22)*O23*O24)</f>
        <v>1</v>
      </c>
      <c r="P25" s="71">
        <f t="shared" si="4"/>
        <v>1</v>
      </c>
      <c r="Q25" s="71">
        <f t="shared" si="4"/>
        <v>1</v>
      </c>
      <c r="R25" s="71">
        <f t="shared" si="4"/>
        <v>1</v>
      </c>
      <c r="S25" s="71">
        <f t="shared" si="4"/>
        <v>1</v>
      </c>
      <c r="T25" s="71">
        <f t="shared" si="4"/>
        <v>1</v>
      </c>
      <c r="U25" s="71">
        <f t="shared" si="4"/>
        <v>1</v>
      </c>
      <c r="V25" s="71">
        <f t="shared" si="4"/>
        <v>1</v>
      </c>
      <c r="W25" s="71">
        <f t="shared" si="4"/>
        <v>1</v>
      </c>
      <c r="X25" s="71">
        <f t="shared" si="4"/>
        <v>1</v>
      </c>
      <c r="Y25" s="71">
        <f t="shared" si="4"/>
        <v>0.1</v>
      </c>
      <c r="Z25" s="71">
        <f t="shared" si="4"/>
        <v>0.1</v>
      </c>
      <c r="AA25" s="71">
        <f t="shared" si="4"/>
        <v>1</v>
      </c>
      <c r="AB25" s="71">
        <f t="shared" si="4"/>
        <v>1</v>
      </c>
      <c r="AC25" s="71">
        <f t="shared" si="4"/>
        <v>1</v>
      </c>
      <c r="AD25" s="71">
        <f t="shared" si="4"/>
        <v>1</v>
      </c>
      <c r="AE25" s="205">
        <f>AE19</f>
        <v>1</v>
      </c>
    </row>
    <row r="26" spans="1:31">
      <c r="A26" s="128"/>
      <c r="B26" s="103"/>
      <c r="D26" s="119" t="s">
        <v>678</v>
      </c>
      <c r="F26" s="126" t="s">
        <v>90</v>
      </c>
      <c r="H26" s="79" t="str">
        <f>IF($F$11="Y",F26,"N")</f>
        <v>N</v>
      </c>
      <c r="I26" s="71" t="s">
        <v>99</v>
      </c>
      <c r="J26" s="80" t="s">
        <v>54</v>
      </c>
      <c r="K26" s="81" t="s">
        <v>35</v>
      </c>
      <c r="L26" s="81" t="s">
        <v>36</v>
      </c>
      <c r="M26" s="81" t="s">
        <v>37</v>
      </c>
      <c r="N26" s="81" t="s">
        <v>38</v>
      </c>
      <c r="O26" s="81" t="s">
        <v>39</v>
      </c>
      <c r="P26" s="81" t="s">
        <v>40</v>
      </c>
      <c r="Q26" s="81" t="s">
        <v>41</v>
      </c>
      <c r="R26" s="81" t="s">
        <v>42</v>
      </c>
      <c r="S26" s="81" t="s">
        <v>43</v>
      </c>
      <c r="T26" s="81" t="s">
        <v>44</v>
      </c>
      <c r="U26" s="81" t="s">
        <v>45</v>
      </c>
      <c r="V26" s="81" t="s">
        <v>46</v>
      </c>
      <c r="W26" s="81" t="s">
        <v>47</v>
      </c>
      <c r="X26" s="81" t="s">
        <v>48</v>
      </c>
      <c r="Y26" s="81" t="s">
        <v>49</v>
      </c>
      <c r="Z26" s="81" t="s">
        <v>50</v>
      </c>
      <c r="AA26" s="81" t="s">
        <v>51</v>
      </c>
      <c r="AB26" s="81" t="s">
        <v>52</v>
      </c>
      <c r="AC26" s="81" t="s">
        <v>97</v>
      </c>
      <c r="AD26" s="82" t="s">
        <v>96</v>
      </c>
      <c r="AE26" s="92" t="s">
        <v>604</v>
      </c>
    </row>
    <row r="27" spans="1:31">
      <c r="A27" s="128"/>
      <c r="B27" s="103"/>
      <c r="D27" s="119" t="s">
        <v>662</v>
      </c>
    </row>
    <row r="28" spans="1:31">
      <c r="A28" s="121"/>
      <c r="B28" s="103"/>
      <c r="D28" s="119" t="s">
        <v>663</v>
      </c>
    </row>
    <row r="29" spans="1:31">
      <c r="A29" s="122"/>
      <c r="B29" s="103"/>
      <c r="D29" s="119" t="s">
        <v>679</v>
      </c>
      <c r="F29" s="126" t="s">
        <v>90</v>
      </c>
      <c r="H29" s="79" t="str">
        <f>IF($F$11="Y",F29,"N")</f>
        <v>N</v>
      </c>
    </row>
    <row r="30" spans="1:31">
      <c r="A30" s="122"/>
      <c r="B30" s="103"/>
      <c r="D30" s="119" t="s">
        <v>662</v>
      </c>
    </row>
    <row r="31" spans="1:31">
      <c r="A31" s="122"/>
      <c r="B31" s="103"/>
      <c r="D31" s="119" t="s">
        <v>663</v>
      </c>
    </row>
    <row r="32" spans="1:31" ht="35.25">
      <c r="A32" s="122"/>
      <c r="B32" s="103"/>
      <c r="D32" s="120" t="s">
        <v>680</v>
      </c>
      <c r="F32" s="125" t="s">
        <v>90</v>
      </c>
    </row>
    <row r="33" spans="1:8">
      <c r="A33" s="121"/>
      <c r="B33" s="103"/>
      <c r="D33" s="119" t="s">
        <v>662</v>
      </c>
    </row>
    <row r="34" spans="1:8">
      <c r="A34" s="121"/>
      <c r="D34" s="119" t="s">
        <v>663</v>
      </c>
    </row>
    <row r="35" spans="1:8" ht="35.25">
      <c r="A35" s="121"/>
      <c r="D35" s="119" t="s">
        <v>681</v>
      </c>
      <c r="F35" s="126" t="s">
        <v>90</v>
      </c>
      <c r="H35" s="79" t="str">
        <f>IF($F$32="Y",F35,"N")</f>
        <v>N</v>
      </c>
    </row>
    <row r="36" spans="1:8">
      <c r="A36" s="122"/>
      <c r="B36" s="104"/>
      <c r="D36" s="119" t="s">
        <v>662</v>
      </c>
    </row>
    <row r="37" spans="1:8">
      <c r="A37" s="122"/>
      <c r="B37" s="104"/>
      <c r="D37" s="119" t="s">
        <v>663</v>
      </c>
    </row>
    <row r="38" spans="1:8" ht="35.25">
      <c r="A38" s="122"/>
      <c r="B38" s="104"/>
      <c r="D38" s="119" t="s">
        <v>682</v>
      </c>
      <c r="F38" s="126" t="s">
        <v>90</v>
      </c>
      <c r="H38" s="79" t="str">
        <f>IF($F$32="Y",F38,"N")</f>
        <v>N</v>
      </c>
    </row>
    <row r="39" spans="1:8">
      <c r="A39" s="122"/>
      <c r="B39" s="104"/>
      <c r="D39" s="119" t="s">
        <v>662</v>
      </c>
    </row>
    <row r="40" spans="1:8">
      <c r="A40" s="122"/>
      <c r="B40" s="104"/>
      <c r="D40" s="119" t="s">
        <v>663</v>
      </c>
    </row>
    <row r="41" spans="1:8">
      <c r="A41" s="122"/>
      <c r="B41" s="104"/>
      <c r="D41" s="119" t="s">
        <v>683</v>
      </c>
      <c r="F41" s="126" t="s">
        <v>90</v>
      </c>
      <c r="H41" s="79" t="str">
        <f>IF($F$32="Y",F41,"N")</f>
        <v>N</v>
      </c>
    </row>
    <row r="42" spans="1:8">
      <c r="A42" s="122"/>
      <c r="B42" s="104"/>
      <c r="D42" s="119" t="s">
        <v>662</v>
      </c>
    </row>
    <row r="43" spans="1:8">
      <c r="A43" s="121"/>
      <c r="D43" s="119" t="s">
        <v>663</v>
      </c>
    </row>
    <row r="44" spans="1:8">
      <c r="A44" s="121"/>
      <c r="D44" s="119" t="s">
        <v>684</v>
      </c>
      <c r="F44" s="126" t="s">
        <v>90</v>
      </c>
      <c r="H44" s="79" t="str">
        <f>IF($F$32="Y",F44,"N")</f>
        <v>N</v>
      </c>
    </row>
    <row r="45" spans="1:8">
      <c r="A45" s="121"/>
      <c r="D45" s="119" t="s">
        <v>662</v>
      </c>
    </row>
    <row r="46" spans="1:8">
      <c r="A46" s="121"/>
      <c r="D46" s="119" t="s">
        <v>663</v>
      </c>
    </row>
    <row r="47" spans="1:8">
      <c r="A47" s="129"/>
      <c r="D47" s="119" t="s">
        <v>685</v>
      </c>
      <c r="F47" s="126" t="s">
        <v>90</v>
      </c>
      <c r="H47" s="79" t="str">
        <f>IF($F$32="Y",F47,"N")</f>
        <v>N</v>
      </c>
    </row>
    <row r="48" spans="1:8">
      <c r="A48" s="129"/>
      <c r="D48" s="119" t="s">
        <v>662</v>
      </c>
    </row>
    <row r="49" spans="1:8">
      <c r="A49" s="129"/>
      <c r="D49" s="119" t="s">
        <v>663</v>
      </c>
    </row>
    <row r="50" spans="1:8">
      <c r="A50" s="129"/>
      <c r="D50" s="119" t="s">
        <v>686</v>
      </c>
      <c r="F50" s="126" t="s">
        <v>90</v>
      </c>
      <c r="H50" s="79" t="str">
        <f>IF($F$32="Y",F50,"N")</f>
        <v>N</v>
      </c>
    </row>
    <row r="51" spans="1:8">
      <c r="A51" s="129"/>
      <c r="D51" s="119" t="s">
        <v>662</v>
      </c>
    </row>
    <row r="52" spans="1:8">
      <c r="A52" s="121"/>
      <c r="D52" s="119" t="s">
        <v>663</v>
      </c>
    </row>
    <row r="53" spans="1:8">
      <c r="A53" s="130"/>
      <c r="D53" s="116" t="s">
        <v>687</v>
      </c>
      <c r="F53" s="126" t="s">
        <v>90</v>
      </c>
      <c r="H53" s="79" t="str">
        <f>IF($F$32="Y",F53,"N")</f>
        <v>N</v>
      </c>
    </row>
    <row r="54" spans="1:8">
      <c r="A54" s="130"/>
      <c r="D54" s="119" t="s">
        <v>662</v>
      </c>
    </row>
    <row r="55" spans="1:8">
      <c r="A55" s="130"/>
      <c r="D55" s="119" t="s">
        <v>663</v>
      </c>
    </row>
    <row r="56" spans="1:8" ht="70.5">
      <c r="A56" s="130"/>
      <c r="B56" s="84" t="s">
        <v>664</v>
      </c>
      <c r="D56" s="146" t="s">
        <v>688</v>
      </c>
      <c r="F56" s="147" t="s">
        <v>90</v>
      </c>
    </row>
    <row r="57" spans="1:8">
      <c r="A57" s="130"/>
      <c r="D57" s="119" t="s">
        <v>662</v>
      </c>
    </row>
    <row r="58" spans="1:8">
      <c r="A58" s="121"/>
      <c r="D58" s="119" t="s">
        <v>663</v>
      </c>
    </row>
    <row r="59" spans="1:8" ht="35.25">
      <c r="A59" s="121"/>
      <c r="D59" s="119" t="s">
        <v>689</v>
      </c>
      <c r="F59" s="126" t="s">
        <v>89</v>
      </c>
      <c r="H59" s="148" t="str">
        <f>F59</f>
        <v>Y</v>
      </c>
    </row>
    <row r="60" spans="1:8">
      <c r="A60" s="121"/>
      <c r="D60" s="119" t="s">
        <v>662</v>
      </c>
      <c r="H60" s="89"/>
    </row>
    <row r="61" spans="1:8">
      <c r="A61" s="121"/>
      <c r="D61" s="119" t="s">
        <v>663</v>
      </c>
      <c r="H61" s="89"/>
    </row>
    <row r="62" spans="1:8" ht="35.25">
      <c r="A62" s="121"/>
      <c r="D62" s="119" t="s">
        <v>690</v>
      </c>
      <c r="F62" s="126" t="s">
        <v>89</v>
      </c>
      <c r="H62" s="148" t="str">
        <f>F62</f>
        <v>Y</v>
      </c>
    </row>
    <row r="63" spans="1:8">
      <c r="A63" s="121"/>
      <c r="D63" s="119" t="s">
        <v>662</v>
      </c>
      <c r="H63" s="89"/>
    </row>
    <row r="64" spans="1:8">
      <c r="A64" s="121"/>
      <c r="D64" s="119" t="s">
        <v>663</v>
      </c>
      <c r="H64" s="89"/>
    </row>
    <row r="65" spans="1:9" ht="35.25">
      <c r="A65" s="121"/>
      <c r="D65" s="119" t="s">
        <v>691</v>
      </c>
      <c r="F65" s="86" t="s">
        <v>89</v>
      </c>
      <c r="H65" s="149" t="str">
        <f>F65</f>
        <v>Y</v>
      </c>
    </row>
    <row r="66" spans="1:9">
      <c r="A66" s="121"/>
      <c r="D66" s="119" t="s">
        <v>662</v>
      </c>
      <c r="H66" s="89"/>
    </row>
    <row r="67" spans="1:9">
      <c r="A67" s="121"/>
      <c r="D67" s="119" t="s">
        <v>663</v>
      </c>
      <c r="H67" s="89"/>
    </row>
    <row r="68" spans="1:9" ht="35.25">
      <c r="A68" s="121"/>
      <c r="B68" s="84" t="s">
        <v>669</v>
      </c>
      <c r="D68" s="291" t="s">
        <v>692</v>
      </c>
      <c r="F68" s="86" t="s">
        <v>89</v>
      </c>
      <c r="H68" s="149" t="str">
        <f>F68</f>
        <v>Y</v>
      </c>
    </row>
    <row r="69" spans="1:9">
      <c r="A69" s="121"/>
      <c r="D69" s="119" t="s">
        <v>662</v>
      </c>
      <c r="H69" s="89"/>
      <c r="I69" s="87"/>
    </row>
    <row r="70" spans="1:9">
      <c r="A70" s="121"/>
      <c r="D70" s="119" t="s">
        <v>663</v>
      </c>
      <c r="H70" s="89"/>
    </row>
    <row r="71" spans="1:9" ht="35.25">
      <c r="A71" s="121"/>
      <c r="B71" s="104"/>
      <c r="D71" s="291" t="s">
        <v>693</v>
      </c>
      <c r="F71" s="126" t="s">
        <v>89</v>
      </c>
      <c r="H71" s="149" t="str">
        <f>F71</f>
        <v>Y</v>
      </c>
    </row>
    <row r="72" spans="1:9">
      <c r="A72" s="121"/>
      <c r="B72" s="104"/>
      <c r="D72" s="119" t="s">
        <v>662</v>
      </c>
      <c r="H72" s="89"/>
    </row>
    <row r="73" spans="1:9">
      <c r="A73" s="121"/>
      <c r="B73" s="104"/>
      <c r="D73" s="119" t="s">
        <v>663</v>
      </c>
      <c r="H73" s="89"/>
    </row>
    <row r="74" spans="1:9" ht="35.25">
      <c r="A74" s="121"/>
      <c r="B74" s="104"/>
      <c r="D74" s="119" t="s">
        <v>694</v>
      </c>
      <c r="F74" s="126" t="s">
        <v>89</v>
      </c>
      <c r="H74" s="149" t="str">
        <f>F74</f>
        <v>Y</v>
      </c>
    </row>
    <row r="75" spans="1:9">
      <c r="A75" s="121"/>
      <c r="B75" s="104"/>
      <c r="D75" s="119" t="s">
        <v>662</v>
      </c>
    </row>
    <row r="76" spans="1:9">
      <c r="A76" s="121"/>
      <c r="B76" s="104"/>
      <c r="D76" s="119" t="s">
        <v>663</v>
      </c>
    </row>
    <row r="77" spans="1:9">
      <c r="A77" s="121"/>
      <c r="B77" s="104"/>
      <c r="D77" s="116" t="s">
        <v>695</v>
      </c>
      <c r="F77" s="88">
        <v>162</v>
      </c>
      <c r="G77" s="89" t="s">
        <v>0</v>
      </c>
      <c r="H77" s="90">
        <f>(F78*100)/(F77*F77)</f>
        <v>0.16003657978966621</v>
      </c>
    </row>
    <row r="78" spans="1:9">
      <c r="A78" s="122"/>
      <c r="D78" s="116" t="s">
        <v>696</v>
      </c>
      <c r="F78" s="88">
        <v>42</v>
      </c>
    </row>
    <row r="79" spans="1:9">
      <c r="A79" s="122"/>
      <c r="B79" s="104"/>
      <c r="D79" s="116" t="s">
        <v>697</v>
      </c>
      <c r="F79" s="88">
        <v>71</v>
      </c>
    </row>
    <row r="80" spans="1:9" ht="35.25">
      <c r="A80" s="122"/>
      <c r="D80" s="116" t="s">
        <v>698</v>
      </c>
      <c r="F80" s="91"/>
    </row>
    <row r="81" spans="1:6" ht="35.25">
      <c r="A81" s="122"/>
      <c r="D81" s="116" t="s">
        <v>699</v>
      </c>
      <c r="F81" s="91"/>
    </row>
    <row r="82" spans="1:6">
      <c r="A82" s="121"/>
      <c r="D82" s="116" t="s">
        <v>700</v>
      </c>
      <c r="F82" s="126" t="s">
        <v>90</v>
      </c>
    </row>
    <row r="83" spans="1:6">
      <c r="A83" s="121"/>
      <c r="B83" s="104"/>
      <c r="D83" s="117" t="s">
        <v>670</v>
      </c>
    </row>
    <row r="84" spans="1:6">
      <c r="A84" s="122"/>
      <c r="B84" s="104"/>
      <c r="D84" s="117" t="s">
        <v>671</v>
      </c>
    </row>
    <row r="85" spans="1:6">
      <c r="A85" s="121"/>
    </row>
    <row r="86" spans="1:6" ht="35.25">
      <c r="A86" s="121"/>
      <c r="D86" s="116" t="s">
        <v>701</v>
      </c>
      <c r="F86" s="126" t="s">
        <v>90</v>
      </c>
    </row>
    <row r="87" spans="1:6">
      <c r="A87" s="121"/>
      <c r="D87" s="117" t="s">
        <v>662</v>
      </c>
    </row>
    <row r="88" spans="1:6">
      <c r="A88" s="121"/>
      <c r="D88" s="117" t="s">
        <v>663</v>
      </c>
    </row>
    <row r="89" spans="1:6" ht="35.25">
      <c r="A89" s="121"/>
      <c r="D89" s="116" t="s">
        <v>702</v>
      </c>
      <c r="F89" s="126" t="s">
        <v>89</v>
      </c>
    </row>
    <row r="90" spans="1:6">
      <c r="A90" s="121"/>
      <c r="D90" s="117" t="s">
        <v>662</v>
      </c>
    </row>
    <row r="91" spans="1:6">
      <c r="A91" s="121"/>
      <c r="D91" s="117" t="s">
        <v>663</v>
      </c>
    </row>
    <row r="92" spans="1:6" ht="52.9">
      <c r="A92" s="121"/>
      <c r="D92" s="116" t="s">
        <v>703</v>
      </c>
      <c r="F92" s="126" t="s">
        <v>90</v>
      </c>
    </row>
    <row r="93" spans="1:6">
      <c r="A93" s="121"/>
      <c r="D93" s="117" t="s">
        <v>662</v>
      </c>
    </row>
    <row r="94" spans="1:6">
      <c r="A94" s="121"/>
      <c r="D94" s="117" t="s">
        <v>663</v>
      </c>
    </row>
    <row r="95" spans="1:6">
      <c r="A95" s="131"/>
      <c r="D95" s="116" t="s">
        <v>704</v>
      </c>
      <c r="F95" s="126" t="s">
        <v>90</v>
      </c>
    </row>
    <row r="96" spans="1:6">
      <c r="A96" s="131"/>
      <c r="D96" s="117" t="s">
        <v>662</v>
      </c>
    </row>
    <row r="97" spans="1:6">
      <c r="A97" s="131"/>
      <c r="D97" s="117" t="s">
        <v>663</v>
      </c>
    </row>
    <row r="98" spans="1:6" ht="35.25">
      <c r="A98" s="131"/>
      <c r="D98" s="116" t="s">
        <v>705</v>
      </c>
      <c r="F98" s="126" t="s">
        <v>90</v>
      </c>
    </row>
    <row r="99" spans="1:6">
      <c r="A99" s="131"/>
      <c r="D99" s="117" t="s">
        <v>662</v>
      </c>
    </row>
    <row r="100" spans="1:6">
      <c r="A100" s="131"/>
      <c r="D100" s="117" t="s">
        <v>663</v>
      </c>
    </row>
    <row r="101" spans="1:6" ht="35.25">
      <c r="A101" s="131"/>
      <c r="D101" s="116" t="s">
        <v>708</v>
      </c>
      <c r="F101" s="126" t="s">
        <v>90</v>
      </c>
    </row>
    <row r="102" spans="1:6">
      <c r="A102" s="131"/>
      <c r="D102" s="117" t="s">
        <v>662</v>
      </c>
    </row>
    <row r="103" spans="1:6">
      <c r="A103" s="121"/>
      <c r="D103" s="117" t="s">
        <v>663</v>
      </c>
    </row>
    <row r="104" spans="1:6">
      <c r="A104" s="121"/>
      <c r="D104" s="116" t="s">
        <v>706</v>
      </c>
      <c r="F104" s="126" t="s">
        <v>90</v>
      </c>
    </row>
    <row r="105" spans="1:6">
      <c r="D105" s="117" t="s">
        <v>662</v>
      </c>
    </row>
    <row r="106" spans="1:6">
      <c r="D106" s="117" t="s">
        <v>663</v>
      </c>
    </row>
    <row r="107" spans="1:6">
      <c r="D107" s="116" t="s">
        <v>707</v>
      </c>
      <c r="F107" s="126" t="s">
        <v>90</v>
      </c>
    </row>
    <row r="108" spans="1:6">
      <c r="D108" s="117" t="s">
        <v>662</v>
      </c>
    </row>
    <row r="109" spans="1:6">
      <c r="D109" s="117" t="s">
        <v>663</v>
      </c>
    </row>
    <row r="110" spans="1:6" ht="35.25">
      <c r="D110" s="116" t="s">
        <v>715</v>
      </c>
      <c r="F110" s="126" t="s">
        <v>90</v>
      </c>
    </row>
    <row r="111" spans="1:6">
      <c r="D111" s="117" t="s">
        <v>662</v>
      </c>
    </row>
    <row r="112" spans="1:6">
      <c r="D112" s="117" t="s">
        <v>663</v>
      </c>
    </row>
    <row r="113" spans="4:8">
      <c r="D113" s="116" t="s">
        <v>716</v>
      </c>
      <c r="F113" s="126" t="s">
        <v>90</v>
      </c>
    </row>
    <row r="114" spans="4:8">
      <c r="D114" s="117" t="s">
        <v>662</v>
      </c>
    </row>
    <row r="115" spans="4:8">
      <c r="D115" s="117" t="s">
        <v>663</v>
      </c>
    </row>
    <row r="116" spans="4:8">
      <c r="D116" s="116" t="s">
        <v>717</v>
      </c>
      <c r="F116" s="88"/>
    </row>
    <row r="117" spans="4:8" ht="35.25">
      <c r="D117" s="117" t="s">
        <v>718</v>
      </c>
      <c r="F117" s="126" t="s">
        <v>90</v>
      </c>
      <c r="G117" s="92">
        <f>IF(F117="Y",1.2,1)</f>
        <v>1</v>
      </c>
    </row>
    <row r="118" spans="4:8" ht="35.25">
      <c r="D118" s="117" t="s">
        <v>719</v>
      </c>
      <c r="F118" s="93" t="s">
        <v>90</v>
      </c>
      <c r="G118" s="113">
        <f>IF(F118="Y",1.2,1)</f>
        <v>1</v>
      </c>
    </row>
    <row r="119" spans="4:8">
      <c r="D119" s="117" t="s">
        <v>720</v>
      </c>
      <c r="F119" s="126" t="s">
        <v>90</v>
      </c>
      <c r="G119" s="92">
        <f>IF(F119="Y",1.2,1)</f>
        <v>1</v>
      </c>
    </row>
    <row r="120" spans="4:8" ht="35.25">
      <c r="D120" s="117" t="s">
        <v>721</v>
      </c>
      <c r="F120" s="126" t="s">
        <v>90</v>
      </c>
      <c r="G120" s="92">
        <f>IF(F120="Y",1.2,1)</f>
        <v>1</v>
      </c>
    </row>
    <row r="121" spans="4:8">
      <c r="F121" s="94"/>
    </row>
    <row r="122" spans="4:8" ht="35.25">
      <c r="D122" s="116" t="s">
        <v>722</v>
      </c>
      <c r="F122" s="126" t="s">
        <v>90</v>
      </c>
      <c r="G122" s="92">
        <f>IF(F122="Y",2,0)</f>
        <v>0</v>
      </c>
    </row>
    <row r="123" spans="4:8">
      <c r="D123" s="117" t="s">
        <v>662</v>
      </c>
    </row>
    <row r="124" spans="4:8">
      <c r="D124" s="117" t="s">
        <v>663</v>
      </c>
    </row>
    <row r="125" spans="4:8" ht="35.25">
      <c r="D125" s="118" t="s">
        <v>750</v>
      </c>
      <c r="F125" s="88">
        <v>1</v>
      </c>
      <c r="H125" s="95">
        <f>F125+F130+F135</f>
        <v>2</v>
      </c>
    </row>
    <row r="126" spans="4:8">
      <c r="D126" s="119" t="s">
        <v>312</v>
      </c>
      <c r="E126" s="71">
        <v>0</v>
      </c>
    </row>
    <row r="127" spans="4:8">
      <c r="D127" s="119" t="s">
        <v>313</v>
      </c>
      <c r="E127" s="71">
        <v>1</v>
      </c>
    </row>
    <row r="128" spans="4:8">
      <c r="D128" s="119" t="s">
        <v>314</v>
      </c>
      <c r="E128" s="71">
        <v>2</v>
      </c>
    </row>
    <row r="129" spans="3:8">
      <c r="D129" s="119" t="s">
        <v>315</v>
      </c>
      <c r="E129" s="71">
        <v>3</v>
      </c>
    </row>
    <row r="130" spans="3:8" ht="35.25">
      <c r="D130" s="119" t="s">
        <v>723</v>
      </c>
      <c r="F130" s="88">
        <v>1</v>
      </c>
    </row>
    <row r="131" spans="3:8">
      <c r="D131" s="119" t="s">
        <v>316</v>
      </c>
      <c r="E131" s="71">
        <v>0</v>
      </c>
    </row>
    <row r="132" spans="3:8">
      <c r="D132" s="119" t="s">
        <v>317</v>
      </c>
      <c r="E132" s="71">
        <v>1</v>
      </c>
    </row>
    <row r="133" spans="3:8">
      <c r="D133" s="119" t="s">
        <v>318</v>
      </c>
      <c r="E133" s="71">
        <v>2</v>
      </c>
    </row>
    <row r="134" spans="3:8">
      <c r="D134" s="119" t="s">
        <v>319</v>
      </c>
      <c r="E134" s="71">
        <v>3</v>
      </c>
    </row>
    <row r="135" spans="3:8" ht="35.25">
      <c r="D135" s="119" t="s">
        <v>724</v>
      </c>
      <c r="F135" s="88">
        <v>0</v>
      </c>
    </row>
    <row r="136" spans="3:8">
      <c r="D136" s="119" t="s">
        <v>320</v>
      </c>
      <c r="E136" s="71">
        <v>0</v>
      </c>
    </row>
    <row r="137" spans="3:8">
      <c r="D137" s="119" t="s">
        <v>321</v>
      </c>
      <c r="E137" s="71">
        <v>1</v>
      </c>
    </row>
    <row r="138" spans="3:8">
      <c r="D138" s="119" t="s">
        <v>322</v>
      </c>
      <c r="E138" s="71">
        <v>2</v>
      </c>
    </row>
    <row r="139" spans="3:8">
      <c r="D139" s="119" t="s">
        <v>323</v>
      </c>
      <c r="E139" s="71">
        <v>3</v>
      </c>
    </row>
    <row r="140" spans="3:8" ht="35.25">
      <c r="C140" s="87"/>
      <c r="D140" s="116" t="s">
        <v>725</v>
      </c>
      <c r="F140" s="94"/>
      <c r="H140" s="95">
        <f>SUM(G141:G146)</f>
        <v>3</v>
      </c>
    </row>
    <row r="141" spans="3:8">
      <c r="D141" s="117" t="s">
        <v>726</v>
      </c>
      <c r="E141" s="71">
        <v>0</v>
      </c>
      <c r="F141" s="126" t="s">
        <v>90</v>
      </c>
      <c r="G141" s="92">
        <f>IF(F141="Y",1,0)</f>
        <v>0</v>
      </c>
    </row>
    <row r="142" spans="3:8">
      <c r="D142" s="117" t="s">
        <v>727</v>
      </c>
      <c r="E142" s="71">
        <v>1</v>
      </c>
      <c r="F142" s="126" t="s">
        <v>89</v>
      </c>
      <c r="G142" s="92">
        <f t="shared" ref="G142:G146" si="5">IF(F142="Y",1,0)</f>
        <v>1</v>
      </c>
    </row>
    <row r="143" spans="3:8">
      <c r="D143" s="117" t="s">
        <v>728</v>
      </c>
      <c r="E143" s="71">
        <v>2</v>
      </c>
      <c r="F143" s="126" t="s">
        <v>90</v>
      </c>
      <c r="G143" s="92">
        <f t="shared" si="5"/>
        <v>0</v>
      </c>
    </row>
    <row r="144" spans="3:8">
      <c r="D144" s="117" t="s">
        <v>729</v>
      </c>
      <c r="E144" s="71">
        <v>3</v>
      </c>
      <c r="F144" s="126" t="s">
        <v>89</v>
      </c>
      <c r="G144" s="92">
        <f t="shared" si="5"/>
        <v>1</v>
      </c>
    </row>
    <row r="145" spans="2:23" ht="36.6" customHeight="1">
      <c r="D145" s="117" t="s">
        <v>730</v>
      </c>
      <c r="E145" s="71">
        <v>4</v>
      </c>
      <c r="F145" s="126" t="s">
        <v>89</v>
      </c>
      <c r="G145" s="92">
        <f t="shared" si="5"/>
        <v>1</v>
      </c>
    </row>
    <row r="146" spans="2:23" ht="46.25" customHeight="1">
      <c r="D146" s="117" t="s">
        <v>731</v>
      </c>
      <c r="E146" s="71">
        <v>5</v>
      </c>
      <c r="F146" s="126" t="s">
        <v>90</v>
      </c>
      <c r="G146" s="92">
        <f t="shared" si="5"/>
        <v>0</v>
      </c>
    </row>
    <row r="147" spans="2:23">
      <c r="B147" s="84" t="s">
        <v>732</v>
      </c>
      <c r="D147" s="117" t="s">
        <v>238</v>
      </c>
      <c r="H147" s="74">
        <f>G142+G144+G145</f>
        <v>3</v>
      </c>
    </row>
    <row r="148" spans="2:23">
      <c r="B148" s="84" t="s">
        <v>664</v>
      </c>
      <c r="D148" s="118" t="s">
        <v>733</v>
      </c>
      <c r="F148" s="126" t="s">
        <v>90</v>
      </c>
    </row>
    <row r="149" spans="2:23">
      <c r="D149" s="119" t="s">
        <v>662</v>
      </c>
      <c r="J149" s="78" t="s">
        <v>88</v>
      </c>
      <c r="K149" s="96" t="s">
        <v>54</v>
      </c>
      <c r="L149" s="97" t="s">
        <v>37</v>
      </c>
      <c r="M149" s="97" t="s">
        <v>39</v>
      </c>
      <c r="N149" s="97" t="s">
        <v>42</v>
      </c>
      <c r="O149" s="97" t="s">
        <v>43</v>
      </c>
      <c r="P149" s="97" t="s">
        <v>45</v>
      </c>
      <c r="Q149" s="97" t="s">
        <v>46</v>
      </c>
      <c r="R149" s="97" t="s">
        <v>47</v>
      </c>
      <c r="S149" s="97" t="s">
        <v>48</v>
      </c>
      <c r="T149" s="97" t="s">
        <v>51</v>
      </c>
      <c r="U149" s="97" t="s">
        <v>52</v>
      </c>
      <c r="V149" s="97" t="s">
        <v>53</v>
      </c>
      <c r="W149" s="92" t="s">
        <v>603</v>
      </c>
    </row>
    <row r="150" spans="2:23">
      <c r="D150" s="119" t="s">
        <v>663</v>
      </c>
      <c r="K150" s="78">
        <f>MAX(H151,H163,H172,H176)*H232</f>
        <v>0.9</v>
      </c>
      <c r="L150" s="78">
        <f>H194*H232</f>
        <v>0.9</v>
      </c>
      <c r="M150" s="78">
        <f>MAX(H154,H166,H184)*H232</f>
        <v>0.9</v>
      </c>
      <c r="N150" s="78">
        <f>H203*H232</f>
        <v>0.9</v>
      </c>
      <c r="O150" s="78">
        <f>H200*H232</f>
        <v>0.9</v>
      </c>
      <c r="P150" s="78">
        <f>H197*H232</f>
        <v>0.9</v>
      </c>
      <c r="Q150" s="78">
        <f>H191*H232</f>
        <v>0.9</v>
      </c>
      <c r="R150" s="78">
        <f>H191*H232</f>
        <v>0.9</v>
      </c>
      <c r="S150" s="78">
        <f>H191*H232</f>
        <v>0.9</v>
      </c>
      <c r="T150" s="78">
        <f>H206*H232</f>
        <v>0.9</v>
      </c>
      <c r="U150" s="78">
        <f>MAX(H157,H169,H180)*H232</f>
        <v>0.9</v>
      </c>
      <c r="V150" s="78">
        <f>MAX(H163,H176)*H232</f>
        <v>0.9</v>
      </c>
      <c r="W150" s="92">
        <f>MAX(M150,(IF(F17="Y",2,0.9)))</f>
        <v>0.9</v>
      </c>
    </row>
    <row r="151" spans="2:23">
      <c r="D151" s="119" t="s">
        <v>736</v>
      </c>
      <c r="F151" s="126" t="s">
        <v>90</v>
      </c>
      <c r="G151" s="79" t="str">
        <f>IF($F$148="Y",F151,"N")</f>
        <v>N</v>
      </c>
      <c r="H151" s="71">
        <f>IF(G151="Y",1.5,0.9)</f>
        <v>0.9</v>
      </c>
    </row>
    <row r="152" spans="2:23">
      <c r="D152" s="119" t="s">
        <v>662</v>
      </c>
    </row>
    <row r="153" spans="2:23">
      <c r="D153" s="119" t="s">
        <v>663</v>
      </c>
    </row>
    <row r="154" spans="2:23">
      <c r="D154" s="119" t="s">
        <v>775</v>
      </c>
      <c r="F154" s="126" t="s">
        <v>90</v>
      </c>
      <c r="G154" s="79" t="str">
        <f>IF($F$148="Y",F154,"N")</f>
        <v>N</v>
      </c>
      <c r="H154" s="71">
        <f>IF(G154="Y",2.5,0.9)</f>
        <v>0.9</v>
      </c>
    </row>
    <row r="155" spans="2:23">
      <c r="D155" s="119" t="s">
        <v>662</v>
      </c>
    </row>
    <row r="156" spans="2:23">
      <c r="D156" s="119" t="s">
        <v>663</v>
      </c>
    </row>
    <row r="157" spans="2:23">
      <c r="D157" s="119" t="s">
        <v>735</v>
      </c>
      <c r="F157" s="126" t="s">
        <v>90</v>
      </c>
      <c r="G157" s="79" t="str">
        <f>IF($F$148="Y",F157,"N")</f>
        <v>N</v>
      </c>
      <c r="H157" s="71">
        <f>IF(G157="Y",1.2,0.9)</f>
        <v>0.9</v>
      </c>
    </row>
    <row r="158" spans="2:23">
      <c r="D158" s="119" t="s">
        <v>662</v>
      </c>
    </row>
    <row r="159" spans="2:23">
      <c r="D159" s="119" t="s">
        <v>663</v>
      </c>
    </row>
    <row r="160" spans="2:23">
      <c r="B160" s="84" t="s">
        <v>664</v>
      </c>
      <c r="D160" s="118" t="s">
        <v>734</v>
      </c>
      <c r="F160" s="126" t="s">
        <v>90</v>
      </c>
      <c r="H160" s="71">
        <f>IF(F160="Y",1.2,0.9)</f>
        <v>0.9</v>
      </c>
    </row>
    <row r="161" spans="4:8">
      <c r="D161" s="119" t="s">
        <v>662</v>
      </c>
    </row>
    <row r="162" spans="4:8">
      <c r="D162" s="119" t="s">
        <v>663</v>
      </c>
    </row>
    <row r="163" spans="4:8">
      <c r="D163" s="119" t="s">
        <v>776</v>
      </c>
      <c r="F163" s="126" t="s">
        <v>90</v>
      </c>
      <c r="G163" s="79" t="str">
        <f>IF($F$160="Y",F163,"N")</f>
        <v>N</v>
      </c>
      <c r="H163" s="71">
        <f>IF(G163="Y",2,0.9)</f>
        <v>0.9</v>
      </c>
    </row>
    <row r="164" spans="4:8">
      <c r="D164" s="119" t="s">
        <v>662</v>
      </c>
    </row>
    <row r="165" spans="4:8">
      <c r="D165" s="119" t="s">
        <v>663</v>
      </c>
    </row>
    <row r="166" spans="4:8">
      <c r="D166" s="119" t="s">
        <v>737</v>
      </c>
      <c r="F166" s="126" t="s">
        <v>90</v>
      </c>
      <c r="G166" s="79" t="str">
        <f>IF($F$160="Y",F166,"N")</f>
        <v>N</v>
      </c>
      <c r="H166" s="71">
        <f>IF(G166="Y",2.5,0.9)</f>
        <v>0.9</v>
      </c>
    </row>
    <row r="167" spans="4:8">
      <c r="D167" s="119" t="s">
        <v>662</v>
      </c>
    </row>
    <row r="168" spans="4:8">
      <c r="D168" s="119" t="s">
        <v>663</v>
      </c>
    </row>
    <row r="169" spans="4:8">
      <c r="D169" s="119" t="s">
        <v>738</v>
      </c>
      <c r="F169" s="126" t="s">
        <v>90</v>
      </c>
      <c r="G169" s="79" t="str">
        <f>IF($F$160="Y",F169,"N")</f>
        <v>N</v>
      </c>
      <c r="H169" s="71">
        <f>IF(G169="Y",1.2,0.9)</f>
        <v>0.9</v>
      </c>
    </row>
    <row r="170" spans="4:8">
      <c r="D170" s="119" t="s">
        <v>662</v>
      </c>
    </row>
    <row r="171" spans="4:8">
      <c r="D171" s="119" t="s">
        <v>663</v>
      </c>
    </row>
    <row r="172" spans="4:8">
      <c r="D172" s="119" t="s">
        <v>739</v>
      </c>
      <c r="F172" s="88">
        <v>0</v>
      </c>
      <c r="H172" s="89">
        <f>IF(F172=1,1.2,(IF(F172&gt;1,2.5,0.9)))</f>
        <v>0.9</v>
      </c>
    </row>
    <row r="173" spans="4:8">
      <c r="D173" s="119" t="s">
        <v>83</v>
      </c>
    </row>
    <row r="174" spans="4:8">
      <c r="D174" s="119" t="s">
        <v>84</v>
      </c>
    </row>
    <row r="175" spans="4:8">
      <c r="D175" s="119" t="s">
        <v>91</v>
      </c>
    </row>
    <row r="176" spans="4:8">
      <c r="D176" s="119" t="s">
        <v>740</v>
      </c>
      <c r="F176" s="88">
        <v>0</v>
      </c>
      <c r="H176" s="89">
        <f>IF(F176=1,1.2,(IF(F176&gt;1,2.5,0.9)))</f>
        <v>0.9</v>
      </c>
    </row>
    <row r="177" spans="4:8">
      <c r="D177" s="119" t="s">
        <v>83</v>
      </c>
    </row>
    <row r="178" spans="4:8">
      <c r="D178" s="119" t="s">
        <v>84</v>
      </c>
    </row>
    <row r="179" spans="4:8">
      <c r="D179" s="119" t="s">
        <v>91</v>
      </c>
    </row>
    <row r="180" spans="4:8">
      <c r="D180" s="119" t="s">
        <v>741</v>
      </c>
      <c r="F180" s="88">
        <v>0</v>
      </c>
      <c r="H180" s="89">
        <f>IF(F180=1,1.2,(IF(F180&gt;1,1.5,0.9)))</f>
        <v>0.9</v>
      </c>
    </row>
    <row r="181" spans="4:8">
      <c r="D181" s="119" t="s">
        <v>83</v>
      </c>
    </row>
    <row r="182" spans="4:8">
      <c r="D182" s="119" t="s">
        <v>84</v>
      </c>
    </row>
    <row r="183" spans="4:8">
      <c r="D183" s="119" t="s">
        <v>91</v>
      </c>
    </row>
    <row r="184" spans="4:8">
      <c r="D184" s="119" t="s">
        <v>742</v>
      </c>
      <c r="F184" s="88">
        <v>0</v>
      </c>
      <c r="H184" s="89">
        <f>IF(F184=1,1.2,(IF(F184&gt;1,2.5,0.9)))</f>
        <v>0.9</v>
      </c>
    </row>
    <row r="185" spans="4:8">
      <c r="D185" s="119" t="s">
        <v>83</v>
      </c>
    </row>
    <row r="186" spans="4:8">
      <c r="D186" s="119" t="s">
        <v>84</v>
      </c>
    </row>
    <row r="187" spans="4:8">
      <c r="D187" s="119" t="s">
        <v>91</v>
      </c>
    </row>
    <row r="188" spans="4:8" ht="35.25">
      <c r="D188" s="120" t="s">
        <v>743</v>
      </c>
      <c r="F188" s="70" t="s">
        <v>90</v>
      </c>
      <c r="H188" s="71">
        <f>IF(F188="Y",1.2,0.9)</f>
        <v>0.9</v>
      </c>
    </row>
    <row r="189" spans="4:8">
      <c r="D189" s="119" t="s">
        <v>662</v>
      </c>
    </row>
    <row r="190" spans="4:8">
      <c r="D190" s="119" t="s">
        <v>663</v>
      </c>
    </row>
    <row r="191" spans="4:8" ht="35.25">
      <c r="D191" s="120" t="s">
        <v>744</v>
      </c>
      <c r="F191" s="126" t="s">
        <v>90</v>
      </c>
      <c r="G191" s="79" t="str">
        <f>IF($F$188="Y",F191,"N")</f>
        <v>N</v>
      </c>
      <c r="H191" s="71">
        <f>IF(G191="Y",1.2,0.9)</f>
        <v>0.9</v>
      </c>
    </row>
    <row r="192" spans="4:8">
      <c r="D192" s="119" t="s">
        <v>662</v>
      </c>
    </row>
    <row r="193" spans="4:8">
      <c r="D193" s="119" t="s">
        <v>663</v>
      </c>
    </row>
    <row r="194" spans="4:8" ht="35.25">
      <c r="D194" s="120" t="s">
        <v>745</v>
      </c>
      <c r="F194" s="126" t="s">
        <v>90</v>
      </c>
      <c r="G194" s="79" t="str">
        <f>IF($F$188="Y",F194,"N")</f>
        <v>N</v>
      </c>
      <c r="H194" s="71">
        <f>IF(G194="Y",1.2,0.9)</f>
        <v>0.9</v>
      </c>
    </row>
    <row r="195" spans="4:8">
      <c r="D195" s="119" t="s">
        <v>662</v>
      </c>
    </row>
    <row r="196" spans="4:8">
      <c r="D196" s="119" t="s">
        <v>663</v>
      </c>
    </row>
    <row r="197" spans="4:8" ht="35.25">
      <c r="D197" s="120" t="s">
        <v>746</v>
      </c>
      <c r="F197" s="70" t="s">
        <v>90</v>
      </c>
      <c r="G197" s="79" t="str">
        <f>IF($F$188="Y",F197,"N")</f>
        <v>N</v>
      </c>
      <c r="H197" s="71">
        <f>IF(G197="Y",1.2,0.9)</f>
        <v>0.9</v>
      </c>
    </row>
    <row r="198" spans="4:8">
      <c r="D198" s="119" t="s">
        <v>662</v>
      </c>
    </row>
    <row r="199" spans="4:8">
      <c r="D199" s="119" t="s">
        <v>663</v>
      </c>
    </row>
    <row r="200" spans="4:8" ht="35.25">
      <c r="D200" s="120" t="s">
        <v>747</v>
      </c>
      <c r="F200" s="126" t="s">
        <v>90</v>
      </c>
      <c r="G200" s="79" t="str">
        <f>IF($F$188="Y",F200,"N")</f>
        <v>N</v>
      </c>
      <c r="H200" s="71">
        <f>IF(G200="Y",1.2,0.9)</f>
        <v>0.9</v>
      </c>
    </row>
    <row r="201" spans="4:8">
      <c r="D201" s="119" t="s">
        <v>662</v>
      </c>
    </row>
    <row r="202" spans="4:8">
      <c r="D202" s="119" t="s">
        <v>663</v>
      </c>
    </row>
    <row r="203" spans="4:8" ht="35.25">
      <c r="D203" s="120" t="s">
        <v>748</v>
      </c>
      <c r="F203" s="126" t="s">
        <v>90</v>
      </c>
      <c r="G203" s="79" t="str">
        <f>IF($F$188="Y",F203,"N")</f>
        <v>N</v>
      </c>
      <c r="H203" s="71">
        <f>IF(G203="Y",1.2,0.9)</f>
        <v>0.9</v>
      </c>
    </row>
    <row r="204" spans="4:8">
      <c r="D204" s="119" t="s">
        <v>662</v>
      </c>
    </row>
    <row r="205" spans="4:8">
      <c r="D205" s="119" t="s">
        <v>663</v>
      </c>
    </row>
    <row r="206" spans="4:8" ht="35.25">
      <c r="D206" s="120" t="s">
        <v>749</v>
      </c>
      <c r="F206" s="126" t="s">
        <v>89</v>
      </c>
      <c r="G206" s="79" t="str">
        <f>IF($F$188="Y",F206,"N")</f>
        <v>N</v>
      </c>
      <c r="H206" s="71">
        <f>IF(G206="Y",1.2,0.9)</f>
        <v>0.9</v>
      </c>
    </row>
    <row r="207" spans="4:8">
      <c r="D207" s="119" t="s">
        <v>662</v>
      </c>
    </row>
    <row r="208" spans="4:8">
      <c r="D208" s="119" t="s">
        <v>663</v>
      </c>
    </row>
    <row r="209" spans="4:6" ht="35.25">
      <c r="D209" s="133" t="s">
        <v>714</v>
      </c>
      <c r="F209" s="88">
        <v>1</v>
      </c>
    </row>
    <row r="210" spans="4:6">
      <c r="D210" s="119" t="s">
        <v>312</v>
      </c>
    </row>
    <row r="211" spans="4:6">
      <c r="D211" s="119" t="s">
        <v>313</v>
      </c>
    </row>
    <row r="212" spans="4:6">
      <c r="D212" s="119" t="s">
        <v>314</v>
      </c>
    </row>
    <row r="213" spans="4:6">
      <c r="D213" s="119" t="s">
        <v>315</v>
      </c>
    </row>
    <row r="214" spans="4:6" ht="35.25">
      <c r="D214" s="133" t="s">
        <v>713</v>
      </c>
      <c r="F214" s="88">
        <v>2</v>
      </c>
    </row>
    <row r="215" spans="4:6">
      <c r="D215" s="119" t="s">
        <v>312</v>
      </c>
    </row>
    <row r="216" spans="4:6">
      <c r="D216" s="119" t="s">
        <v>313</v>
      </c>
    </row>
    <row r="217" spans="4:6">
      <c r="D217" s="119" t="s">
        <v>314</v>
      </c>
    </row>
    <row r="218" spans="4:6">
      <c r="D218" s="119" t="s">
        <v>315</v>
      </c>
    </row>
    <row r="219" spans="4:6" ht="35.25">
      <c r="D219" s="133" t="s">
        <v>712</v>
      </c>
      <c r="F219" s="88">
        <v>3</v>
      </c>
    </row>
    <row r="220" spans="4:6">
      <c r="D220" s="119" t="s">
        <v>312</v>
      </c>
    </row>
    <row r="221" spans="4:6">
      <c r="D221" s="119" t="s">
        <v>313</v>
      </c>
    </row>
    <row r="222" spans="4:6">
      <c r="D222" s="119" t="s">
        <v>314</v>
      </c>
    </row>
    <row r="223" spans="4:6">
      <c r="D223" s="119" t="s">
        <v>315</v>
      </c>
    </row>
    <row r="224" spans="4:6" ht="56" customHeight="1">
      <c r="D224" s="133" t="s">
        <v>711</v>
      </c>
      <c r="F224" s="88">
        <v>2</v>
      </c>
    </row>
    <row r="225" spans="4:8">
      <c r="D225" s="119" t="s">
        <v>312</v>
      </c>
    </row>
    <row r="226" spans="4:8">
      <c r="D226" s="119" t="s">
        <v>313</v>
      </c>
    </row>
    <row r="227" spans="4:8">
      <c r="D227" s="119" t="s">
        <v>314</v>
      </c>
    </row>
    <row r="228" spans="4:8">
      <c r="D228" s="119" t="s">
        <v>315</v>
      </c>
    </row>
    <row r="229" spans="4:8">
      <c r="D229" s="117" t="s">
        <v>710</v>
      </c>
      <c r="F229" s="135">
        <v>0</v>
      </c>
    </row>
    <row r="231" spans="4:8">
      <c r="D231" s="119" t="s">
        <v>751</v>
      </c>
      <c r="F231" s="126" t="s">
        <v>90</v>
      </c>
      <c r="H231" s="79" t="str">
        <f>IF($F$11="Y",F231,"N")</f>
        <v>N</v>
      </c>
    </row>
    <row r="232" spans="4:8">
      <c r="D232" s="119" t="s">
        <v>709</v>
      </c>
      <c r="F232" s="75">
        <v>0</v>
      </c>
      <c r="H232" s="71">
        <f>IF(F232&lt;2,1,0.9)</f>
        <v>1</v>
      </c>
    </row>
    <row r="233" spans="4:8">
      <c r="D233" s="119"/>
    </row>
    <row r="234" spans="4:8" ht="18" thickBot="1"/>
    <row r="235" spans="4:8" ht="18" thickBot="1">
      <c r="D235" s="289" t="s">
        <v>618</v>
      </c>
      <c r="F235" s="88">
        <v>120</v>
      </c>
    </row>
    <row r="236" spans="4:8" ht="18" thickBot="1">
      <c r="D236" s="290" t="s">
        <v>619</v>
      </c>
      <c r="F236" s="88">
        <v>125</v>
      </c>
    </row>
    <row r="237" spans="4:8" ht="18" thickBot="1">
      <c r="D237" s="290" t="s">
        <v>655</v>
      </c>
      <c r="F237" s="88">
        <v>75</v>
      </c>
    </row>
    <row r="238" spans="4:8" ht="18" thickBot="1">
      <c r="D238" s="290" t="s">
        <v>656</v>
      </c>
      <c r="F238" s="88">
        <v>120</v>
      </c>
    </row>
    <row r="239" spans="4:8" ht="18" thickBot="1">
      <c r="D239" s="290" t="s">
        <v>657</v>
      </c>
      <c r="F239" s="88">
        <v>120</v>
      </c>
    </row>
    <row r="240" spans="4:8" ht="18" thickBot="1">
      <c r="D240" s="290" t="s">
        <v>624</v>
      </c>
      <c r="F240" s="88">
        <v>70</v>
      </c>
    </row>
    <row r="241" spans="4:10" ht="18" thickBot="1">
      <c r="D241" s="290" t="s">
        <v>620</v>
      </c>
      <c r="F241" s="88">
        <v>80</v>
      </c>
    </row>
    <row r="242" spans="4:10" ht="18" thickBot="1">
      <c r="D242" s="290" t="s">
        <v>625</v>
      </c>
      <c r="F242" s="88">
        <v>80</v>
      </c>
    </row>
    <row r="243" spans="4:10" ht="18" thickBot="1">
      <c r="D243" s="290" t="s">
        <v>658</v>
      </c>
      <c r="F243" s="88">
        <v>75</v>
      </c>
    </row>
    <row r="244" spans="4:10" ht="18" thickBot="1">
      <c r="D244" s="290" t="s">
        <v>621</v>
      </c>
      <c r="F244" s="88">
        <v>96</v>
      </c>
    </row>
    <row r="245" spans="4:10" ht="18" thickBot="1">
      <c r="D245" s="290" t="s">
        <v>622</v>
      </c>
      <c r="F245" s="88">
        <v>96</v>
      </c>
    </row>
    <row r="246" spans="4:10" ht="18" thickBot="1">
      <c r="D246" s="290" t="s">
        <v>646</v>
      </c>
      <c r="F246" s="88" t="s">
        <v>648</v>
      </c>
    </row>
    <row r="247" spans="4:10" ht="18" thickBot="1">
      <c r="D247" s="290" t="s">
        <v>647</v>
      </c>
      <c r="F247" s="88" t="s">
        <v>648</v>
      </c>
    </row>
    <row r="248" spans="4:10" ht="23.25">
      <c r="D248" s="294" t="s">
        <v>759</v>
      </c>
      <c r="F248" s="293">
        <v>0</v>
      </c>
    </row>
    <row r="249" spans="4:10">
      <c r="D249" s="295" t="s">
        <v>754</v>
      </c>
    </row>
    <row r="250" spans="4:10">
      <c r="D250" s="295" t="s">
        <v>761</v>
      </c>
      <c r="F250" s="75">
        <v>0</v>
      </c>
      <c r="H250" s="71">
        <f>F250/20</f>
        <v>0</v>
      </c>
    </row>
    <row r="251" spans="4:10">
      <c r="D251" s="295" t="s">
        <v>762</v>
      </c>
      <c r="F251" s="75" t="s">
        <v>806</v>
      </c>
      <c r="H251" s="71">
        <f>IF(F251="Normale",1,0)</f>
        <v>0</v>
      </c>
    </row>
    <row r="252" spans="4:10">
      <c r="D252" s="295" t="s">
        <v>763</v>
      </c>
      <c r="F252" s="75" t="s">
        <v>806</v>
      </c>
      <c r="H252" s="71">
        <f>IF(F252="Normale",1,0)</f>
        <v>0</v>
      </c>
      <c r="I252" s="303" t="s">
        <v>120</v>
      </c>
      <c r="J252" s="303">
        <f>(H250+H251+H252)/3</f>
        <v>0</v>
      </c>
    </row>
    <row r="253" spans="4:10" ht="21">
      <c r="D253" s="300" t="s">
        <v>767</v>
      </c>
      <c r="E253" s="296"/>
      <c r="F253" s="297" t="s">
        <v>764</v>
      </c>
      <c r="G253" s="296" t="s">
        <v>768</v>
      </c>
      <c r="H253" s="296"/>
      <c r="I253" s="296"/>
    </row>
    <row r="254" spans="4:10" ht="21">
      <c r="D254" s="301" t="s">
        <v>765</v>
      </c>
      <c r="E254" s="299"/>
      <c r="F254" s="297"/>
      <c r="G254" s="296"/>
      <c r="H254" s="296"/>
      <c r="I254" s="304" t="s">
        <v>120</v>
      </c>
      <c r="J254" s="304">
        <f>IF(F253="Normale perte auditive en décibel &lt;20 dB",1,(IF(F253="Surdité perte auditive en décibel &gt; 40 dB",0.4,0.6)))</f>
        <v>0.6</v>
      </c>
    </row>
    <row r="255" spans="4:10" ht="21">
      <c r="D255" s="302" t="s">
        <v>764</v>
      </c>
      <c r="E255" s="298"/>
      <c r="F255" s="297"/>
      <c r="G255" s="296"/>
      <c r="H255" s="296"/>
      <c r="I255" s="296"/>
    </row>
    <row r="256" spans="4:10" ht="21">
      <c r="D256" s="301" t="s">
        <v>766</v>
      </c>
      <c r="E256" s="298"/>
      <c r="F256" s="297"/>
      <c r="G256" s="296"/>
      <c r="H256" s="296"/>
      <c r="I256" s="296"/>
    </row>
    <row r="259" spans="4:8" ht="18">
      <c r="D259" s="331" t="s">
        <v>787</v>
      </c>
      <c r="F259" s="88" t="s">
        <v>90</v>
      </c>
      <c r="G259" s="78">
        <f>IF(F259="Y",1,0)</f>
        <v>0</v>
      </c>
      <c r="H259" s="71" t="s">
        <v>783</v>
      </c>
    </row>
    <row r="260" spans="4:8" ht="18">
      <c r="D260" s="330" t="s">
        <v>781</v>
      </c>
    </row>
    <row r="261" spans="4:8" ht="18">
      <c r="D261" s="330" t="s">
        <v>782</v>
      </c>
    </row>
    <row r="262" spans="4:8" ht="36">
      <c r="D262" s="332" t="s">
        <v>788</v>
      </c>
      <c r="F262" s="88" t="s">
        <v>90</v>
      </c>
      <c r="G262" s="78">
        <f>IF(F262="Y",0.5,0)</f>
        <v>0</v>
      </c>
    </row>
    <row r="263" spans="4:8" ht="18">
      <c r="D263" s="330" t="s">
        <v>781</v>
      </c>
    </row>
    <row r="264" spans="4:8" ht="18">
      <c r="D264" s="330" t="s">
        <v>782</v>
      </c>
    </row>
    <row r="265" spans="4:8" ht="18">
      <c r="D265" s="333" t="s">
        <v>789</v>
      </c>
      <c r="F265" s="88" t="s">
        <v>90</v>
      </c>
      <c r="G265" s="78">
        <f>IF(F265="Y",0.5,0)</f>
        <v>0</v>
      </c>
    </row>
    <row r="266" spans="4:8" ht="18">
      <c r="D266" s="330" t="s">
        <v>781</v>
      </c>
    </row>
    <row r="267" spans="4:8" ht="18">
      <c r="D267" s="330" t="s">
        <v>782</v>
      </c>
    </row>
    <row r="268" spans="4:8" ht="18">
      <c r="D268" s="334" t="s">
        <v>802</v>
      </c>
      <c r="F268" s="88" t="s">
        <v>90</v>
      </c>
      <c r="G268" s="78">
        <f>IF(F268="Y",1,0)</f>
        <v>0</v>
      </c>
      <c r="H268" s="117"/>
    </row>
    <row r="269" spans="4:8" ht="18">
      <c r="D269" s="330" t="s">
        <v>781</v>
      </c>
    </row>
    <row r="270" spans="4:8" ht="18">
      <c r="D270" s="330" t="s">
        <v>782</v>
      </c>
    </row>
    <row r="271" spans="4:8" ht="18">
      <c r="D271" s="332" t="s">
        <v>790</v>
      </c>
      <c r="F271" s="88" t="s">
        <v>90</v>
      </c>
      <c r="G271" s="78">
        <f>IF(F271="Y",1,0)</f>
        <v>0</v>
      </c>
    </row>
    <row r="272" spans="4:8" ht="18">
      <c r="D272" s="330" t="s">
        <v>781</v>
      </c>
    </row>
    <row r="273" spans="4:7" ht="18">
      <c r="D273" s="330" t="s">
        <v>782</v>
      </c>
    </row>
    <row r="274" spans="4:7" ht="36">
      <c r="D274" s="331" t="s">
        <v>791</v>
      </c>
      <c r="F274" s="88" t="s">
        <v>90</v>
      </c>
      <c r="G274" s="78">
        <f>IF(F274="Y",1,0)</f>
        <v>0</v>
      </c>
    </row>
    <row r="275" spans="4:7" ht="18">
      <c r="D275" s="330" t="s">
        <v>781</v>
      </c>
    </row>
    <row r="276" spans="4:7" ht="18">
      <c r="D276" s="330" t="s">
        <v>782</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dataValidations count="2">
    <dataValidation type="list" allowBlank="1" showInputMessage="1" showErrorMessage="1" sqref="F65 F68 F118 F56" xr:uid="{90C8DB8F-6D87-4EA2-A123-17FB01FD94BC}">
      <formula1>$H$11:$I$11</formula1>
    </dataValidation>
    <dataValidation type="list" allowBlank="1" showInputMessage="1" showErrorMessage="1" sqref="F253" xr:uid="{96B76FB2-ED84-40EF-9160-A6F4E172DAFF}">
      <formula1>$D$254:$D$256</formula1>
    </dataValidation>
  </dataValidations>
  <printOptions headings="1"/>
  <pageMargins left="0.70866141732283472" right="0.70866141732283472" top="0.74803149606299213" bottom="0.74803149606299213" header="0.31496062992125984" footer="0.31496062992125984"/>
  <pageSetup paperSize="9" scale="1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pageSetUpPr fitToPage="1"/>
  </sheetPr>
  <dimension ref="A1:R100"/>
  <sheetViews>
    <sheetView zoomScale="75" zoomScaleNormal="75" zoomScaleSheetLayoutView="82" workbookViewId="0">
      <pane xSplit="3" ySplit="1" topLeftCell="D64" activePane="bottomRight" state="frozen"/>
      <selection pane="topRight" activeCell="D1" sqref="D1"/>
      <selection pane="bottomLeft" activeCell="A2" sqref="A2"/>
      <selection pane="bottomRight" activeCell="A87" sqref="A87"/>
    </sheetView>
  </sheetViews>
  <sheetFormatPr baseColWidth="10" defaultColWidth="10.86328125" defaultRowHeight="15.75"/>
  <cols>
    <col min="1" max="1" width="55.796875" style="243" bestFit="1" customWidth="1"/>
    <col min="2" max="2" width="16.59765625" style="272" bestFit="1" customWidth="1"/>
    <col min="3" max="3" width="8.796875" style="68" bestFit="1" customWidth="1"/>
    <col min="4" max="4" width="58.265625" style="244" bestFit="1" customWidth="1"/>
    <col min="5" max="5" width="12.9296875" style="245" bestFit="1" customWidth="1"/>
    <col min="6" max="6" width="51.53125" style="245" bestFit="1" customWidth="1"/>
    <col min="7" max="7" width="31" style="25" bestFit="1" customWidth="1"/>
    <col min="8" max="8" width="8.265625" style="25" bestFit="1" customWidth="1"/>
    <col min="9" max="9" width="18.6640625" style="246" bestFit="1" customWidth="1"/>
    <col min="10" max="10" width="7.6640625" style="246" bestFit="1" customWidth="1"/>
    <col min="11" max="11" width="38.53125" style="246" bestFit="1" customWidth="1"/>
    <col min="12" max="12" width="150.9296875" style="25" bestFit="1" customWidth="1"/>
    <col min="13" max="13" width="7.46484375" style="246" bestFit="1" customWidth="1"/>
    <col min="14" max="14" width="13.6640625" style="245" bestFit="1" customWidth="1"/>
    <col min="15" max="15" width="7.33203125" style="245" bestFit="1" customWidth="1"/>
    <col min="16" max="16384" width="10.86328125" style="245"/>
  </cols>
  <sheetData>
    <row r="1" spans="1:18">
      <c r="A1" s="67" t="s">
        <v>129</v>
      </c>
      <c r="B1" s="341" t="s">
        <v>130</v>
      </c>
      <c r="C1" s="243" t="s">
        <v>131</v>
      </c>
    </row>
    <row r="2" spans="1:18">
      <c r="A2" s="134" t="s">
        <v>132</v>
      </c>
      <c r="B2" s="342" t="s">
        <v>133</v>
      </c>
      <c r="C2" s="48"/>
      <c r="I2" s="25">
        <v>0</v>
      </c>
      <c r="J2" s="25">
        <v>1</v>
      </c>
      <c r="K2" s="25">
        <v>2</v>
      </c>
    </row>
    <row r="3" spans="1:18" ht="18.75">
      <c r="A3" s="105" t="s">
        <v>134</v>
      </c>
      <c r="B3" s="342" t="s">
        <v>135</v>
      </c>
      <c r="C3" s="49">
        <v>2.0699999999999998</v>
      </c>
      <c r="D3" s="247">
        <f>C3*2.59</f>
        <v>5.3612999999999991</v>
      </c>
      <c r="E3" s="245" t="s">
        <v>223</v>
      </c>
      <c r="F3" s="245" t="s">
        <v>334</v>
      </c>
      <c r="G3" s="50" t="s">
        <v>1</v>
      </c>
      <c r="H3" s="51">
        <f>C11</f>
        <v>0</v>
      </c>
      <c r="J3" s="246">
        <f>C3*2.58</f>
        <v>5.3405999999999993</v>
      </c>
      <c r="K3" s="246" t="s">
        <v>308</v>
      </c>
      <c r="N3" s="248" t="s">
        <v>202</v>
      </c>
      <c r="O3" s="249">
        <f>C56</f>
        <v>52</v>
      </c>
    </row>
    <row r="4" spans="1:18" ht="18.75">
      <c r="A4" s="105" t="s">
        <v>136</v>
      </c>
      <c r="B4" s="342" t="s">
        <v>135</v>
      </c>
      <c r="C4" s="49">
        <v>0.96</v>
      </c>
      <c r="D4" s="247">
        <f t="shared" ref="D4:D5" si="0">C4*2.59</f>
        <v>2.4863999999999997</v>
      </c>
      <c r="E4" s="245" t="s">
        <v>223</v>
      </c>
      <c r="F4" s="245" t="s">
        <v>333</v>
      </c>
      <c r="G4" s="50" t="s">
        <v>2</v>
      </c>
      <c r="H4" s="51">
        <f>C33</f>
        <v>201</v>
      </c>
      <c r="J4" s="246">
        <f>C4*2.58</f>
        <v>2.4767999999999999</v>
      </c>
      <c r="K4" s="246" t="s">
        <v>308</v>
      </c>
      <c r="N4" s="248" t="s">
        <v>304</v>
      </c>
      <c r="O4" s="245">
        <f>IF('Import Question'!F82="N",0,1)</f>
        <v>0</v>
      </c>
    </row>
    <row r="5" spans="1:18" ht="18.75">
      <c r="A5" s="105" t="s">
        <v>137</v>
      </c>
      <c r="B5" s="342" t="s">
        <v>135</v>
      </c>
      <c r="C5" s="358">
        <v>0.97</v>
      </c>
      <c r="D5" s="247">
        <f t="shared" si="0"/>
        <v>2.5122999999999998</v>
      </c>
      <c r="E5" s="245" t="s">
        <v>223</v>
      </c>
      <c r="F5" s="245" t="s">
        <v>332</v>
      </c>
      <c r="G5" s="137" t="s">
        <v>3</v>
      </c>
      <c r="H5" s="145">
        <f>C8</f>
        <v>2.4</v>
      </c>
      <c r="N5" s="245" t="s">
        <v>305</v>
      </c>
      <c r="O5" s="245">
        <f>'Import Question'!F80</f>
        <v>0</v>
      </c>
      <c r="P5" s="248"/>
    </row>
    <row r="6" spans="1:18" ht="18.75">
      <c r="A6" s="105" t="s">
        <v>138</v>
      </c>
      <c r="B6" s="342" t="s">
        <v>135</v>
      </c>
      <c r="C6" s="49">
        <v>0.68</v>
      </c>
      <c r="D6" s="50">
        <f>C6*1.13</f>
        <v>0.76839999999999997</v>
      </c>
      <c r="E6" s="245" t="s">
        <v>223</v>
      </c>
      <c r="G6" s="50" t="s">
        <v>4</v>
      </c>
      <c r="H6" s="53">
        <f>D3</f>
        <v>5.3612999999999991</v>
      </c>
      <c r="N6" s="245" t="s">
        <v>306</v>
      </c>
      <c r="O6" s="245">
        <f>H6</f>
        <v>5.3612999999999991</v>
      </c>
      <c r="P6" s="248"/>
    </row>
    <row r="7" spans="1:18" ht="18.75">
      <c r="A7" s="105" t="s">
        <v>139</v>
      </c>
      <c r="B7" s="342" t="s">
        <v>140</v>
      </c>
      <c r="C7" s="48"/>
      <c r="G7" s="50" t="s">
        <v>85</v>
      </c>
      <c r="H7" s="107">
        <f>C7</f>
        <v>0</v>
      </c>
      <c r="N7" s="245" t="s">
        <v>307</v>
      </c>
      <c r="O7" s="245">
        <f>H8</f>
        <v>2.4863999999999997</v>
      </c>
      <c r="P7" s="248"/>
    </row>
    <row r="8" spans="1:18" ht="18.75">
      <c r="A8" s="250" t="s">
        <v>336</v>
      </c>
      <c r="B8" s="343" t="s">
        <v>338</v>
      </c>
      <c r="C8" s="114">
        <v>2.4</v>
      </c>
      <c r="D8" s="251">
        <f>C8*4</f>
        <v>9.6</v>
      </c>
      <c r="E8" s="252" t="s">
        <v>339</v>
      </c>
      <c r="F8" s="245" t="s">
        <v>337</v>
      </c>
      <c r="G8" s="50" t="s">
        <v>5</v>
      </c>
      <c r="H8" s="53">
        <f>D4</f>
        <v>2.4863999999999997</v>
      </c>
      <c r="N8" s="245" t="s">
        <v>218</v>
      </c>
      <c r="O8" s="245">
        <f>'Import Question'!H3</f>
        <v>0</v>
      </c>
      <c r="P8" s="248"/>
    </row>
    <row r="9" spans="1:18">
      <c r="A9" s="105" t="s">
        <v>141</v>
      </c>
      <c r="B9" s="342" t="s">
        <v>133</v>
      </c>
      <c r="C9" s="48">
        <v>0.9</v>
      </c>
      <c r="D9" s="253">
        <f>C9*5.5</f>
        <v>4.95</v>
      </c>
      <c r="E9" s="245" t="s">
        <v>223</v>
      </c>
      <c r="G9" s="50" t="s">
        <v>6</v>
      </c>
      <c r="H9" s="51">
        <f>C10</f>
        <v>5.7</v>
      </c>
      <c r="K9" s="246" t="s">
        <v>107</v>
      </c>
      <c r="O9" s="249"/>
    </row>
    <row r="10" spans="1:18">
      <c r="A10" s="105" t="s">
        <v>142</v>
      </c>
      <c r="B10" s="342" t="s">
        <v>143</v>
      </c>
      <c r="C10" s="49">
        <v>5.7</v>
      </c>
      <c r="G10" s="50" t="s">
        <v>79</v>
      </c>
      <c r="H10" s="108">
        <f>C2</f>
        <v>0</v>
      </c>
      <c r="I10" s="246">
        <v>0.3</v>
      </c>
      <c r="K10" s="246" t="s">
        <v>101</v>
      </c>
      <c r="L10" s="50">
        <f>('Import Question'!F6*H25)/((H22*(SQRT(H24))))</f>
        <v>1.1506591338986332</v>
      </c>
    </row>
    <row r="11" spans="1:18">
      <c r="A11" s="105" t="s">
        <v>144</v>
      </c>
      <c r="B11" s="342" t="s">
        <v>145</v>
      </c>
      <c r="C11" s="49"/>
      <c r="G11" s="50" t="s">
        <v>7</v>
      </c>
      <c r="H11" s="55">
        <f>D6</f>
        <v>0.76839999999999997</v>
      </c>
      <c r="L11" s="25" t="s">
        <v>102</v>
      </c>
    </row>
    <row r="12" spans="1:18">
      <c r="A12" s="105" t="s">
        <v>146</v>
      </c>
      <c r="B12" s="342" t="s">
        <v>147</v>
      </c>
      <c r="C12" s="49">
        <v>12.8</v>
      </c>
      <c r="G12" s="50" t="s">
        <v>128</v>
      </c>
      <c r="H12" s="51">
        <f>C5</f>
        <v>0.97</v>
      </c>
    </row>
    <row r="13" spans="1:18">
      <c r="A13" s="105" t="s">
        <v>148</v>
      </c>
      <c r="B13" s="342" t="s">
        <v>149</v>
      </c>
      <c r="C13" s="49">
        <v>91</v>
      </c>
      <c r="G13" s="50" t="s">
        <v>8</v>
      </c>
      <c r="H13" s="51">
        <f>C21</f>
        <v>91</v>
      </c>
      <c r="K13" s="246" t="s">
        <v>233</v>
      </c>
      <c r="L13" s="50">
        <f>(-0.38+L16*1.37)/100</f>
        <v>9.1552000000000008E-2</v>
      </c>
      <c r="M13" s="50">
        <f xml:space="preserve"> (-0.148+0.89*M16)/100</f>
        <v>4.8537999999999998E-2</v>
      </c>
    </row>
    <row r="14" spans="1:18">
      <c r="A14" s="105" t="s">
        <v>150</v>
      </c>
      <c r="B14" s="342" t="s">
        <v>151</v>
      </c>
      <c r="C14" s="49">
        <v>4.4000000000000004</v>
      </c>
      <c r="D14" s="244" t="s">
        <v>254</v>
      </c>
      <c r="G14" s="50" t="s">
        <v>9</v>
      </c>
      <c r="H14" s="55">
        <f>C35</f>
        <v>44</v>
      </c>
      <c r="I14" s="268">
        <f>IF(H14&lt;30,1,0)</f>
        <v>0</v>
      </c>
      <c r="J14" s="268">
        <f>IF(calculRISKS!S6&gt;calculRISKS!R6,1,0)</f>
        <v>0</v>
      </c>
      <c r="N14" s="245" t="s">
        <v>303</v>
      </c>
    </row>
    <row r="15" spans="1:18" ht="16.5">
      <c r="A15" s="105" t="s">
        <v>152</v>
      </c>
      <c r="B15" s="56" t="s">
        <v>153</v>
      </c>
      <c r="C15" s="254">
        <v>4.68</v>
      </c>
      <c r="D15" s="244" t="s">
        <v>253</v>
      </c>
      <c r="G15" s="137" t="s">
        <v>10</v>
      </c>
      <c r="H15" s="138">
        <f>C30</f>
        <v>53</v>
      </c>
      <c r="J15" s="268">
        <f>MAX(I14,J14)</f>
        <v>0</v>
      </c>
      <c r="K15" s="25" t="s">
        <v>103</v>
      </c>
      <c r="L15" s="25" t="s">
        <v>61</v>
      </c>
      <c r="M15" s="25" t="s">
        <v>62</v>
      </c>
      <c r="N15" s="245" t="s">
        <v>61</v>
      </c>
      <c r="O15" s="245" t="s">
        <v>62</v>
      </c>
      <c r="P15" s="255"/>
      <c r="R15" s="256"/>
    </row>
    <row r="16" spans="1:18" ht="18.75">
      <c r="A16" s="105" t="s">
        <v>154</v>
      </c>
      <c r="B16" s="56" t="s">
        <v>153</v>
      </c>
      <c r="C16" s="49">
        <v>1.32</v>
      </c>
      <c r="D16" s="244" t="s">
        <v>256</v>
      </c>
      <c r="G16" s="50" t="s">
        <v>105</v>
      </c>
      <c r="H16" s="52">
        <f>D36</f>
        <v>87.516000000000005</v>
      </c>
      <c r="K16" s="25" t="s">
        <v>27</v>
      </c>
      <c r="L16" s="25">
        <f>-10.2+0.33*'Import Question'!F6</f>
        <v>6.9600000000000009</v>
      </c>
      <c r="M16" s="50">
        <f xml:space="preserve"> -7.9+0.26*'Import Question'!F6</f>
        <v>5.6199999999999992</v>
      </c>
      <c r="P16" s="248"/>
    </row>
    <row r="17" spans="1:16" ht="18.75">
      <c r="A17" s="105" t="s">
        <v>155</v>
      </c>
      <c r="B17" s="56" t="s">
        <v>153</v>
      </c>
      <c r="C17" s="49">
        <v>0.13</v>
      </c>
      <c r="D17" s="244">
        <v>0.1</v>
      </c>
      <c r="G17" s="50" t="s">
        <v>11</v>
      </c>
      <c r="H17" s="51">
        <f>C25</f>
        <v>15</v>
      </c>
      <c r="K17" s="25" t="s">
        <v>63</v>
      </c>
      <c r="L17" s="25">
        <f>-12.3+0.09*'Import Question'!F80</f>
        <v>-12.3</v>
      </c>
      <c r="M17" s="50">
        <f>-20.4+0.15*'Import Question'!F80</f>
        <v>-20.399999999999999</v>
      </c>
      <c r="P17" s="248"/>
    </row>
    <row r="18" spans="1:16" ht="18.75">
      <c r="A18" s="105" t="s">
        <v>156</v>
      </c>
      <c r="B18" s="56" t="s">
        <v>153</v>
      </c>
      <c r="C18" s="49">
        <v>2.9</v>
      </c>
      <c r="D18" s="244" t="s">
        <v>257</v>
      </c>
      <c r="G18" s="50" t="s">
        <v>12</v>
      </c>
      <c r="H18" s="51">
        <f>C12</f>
        <v>12.8</v>
      </c>
      <c r="K18" s="25" t="s">
        <v>64</v>
      </c>
      <c r="L18" s="25">
        <f>IF('Import Question'!F104="Y",1,0)</f>
        <v>0</v>
      </c>
      <c r="M18" s="50">
        <f>IF('Import Question'!F104="Y",1,0)</f>
        <v>0</v>
      </c>
      <c r="P18" s="248"/>
    </row>
    <row r="19" spans="1:16" ht="18.75">
      <c r="A19" s="105" t="s">
        <v>157</v>
      </c>
      <c r="B19" s="56" t="s">
        <v>153</v>
      </c>
      <c r="C19" s="49">
        <v>245</v>
      </c>
      <c r="D19" s="244" t="s">
        <v>255</v>
      </c>
      <c r="G19" s="50" t="s">
        <v>13</v>
      </c>
      <c r="H19" s="57">
        <f>C15</f>
        <v>4.68</v>
      </c>
      <c r="K19" s="25" t="s">
        <v>65</v>
      </c>
      <c r="L19" s="25">
        <f>-4+2.5*(H6*0.386)</f>
        <v>1.1736544999999987</v>
      </c>
      <c r="M19" s="50">
        <f xml:space="preserve"> -5.27+3.29*(H6*0.386)</f>
        <v>1.5385293219999987</v>
      </c>
      <c r="P19" s="248"/>
    </row>
    <row r="20" spans="1:16" ht="18.75">
      <c r="A20" s="105" t="s">
        <v>158</v>
      </c>
      <c r="B20" s="56" t="s">
        <v>159</v>
      </c>
      <c r="C20" s="48">
        <v>22.4</v>
      </c>
      <c r="G20" s="50" t="s">
        <v>561</v>
      </c>
      <c r="H20" s="51">
        <f>C16</f>
        <v>1.32</v>
      </c>
      <c r="K20" s="25" t="s">
        <v>66</v>
      </c>
      <c r="L20" s="25">
        <f>IF('Import Question'!F95="Y",1,0)</f>
        <v>0</v>
      </c>
      <c r="M20" s="50">
        <f>IF('Import Question'!F95="Y",1,0)</f>
        <v>0</v>
      </c>
      <c r="P20" s="248"/>
    </row>
    <row r="21" spans="1:16" ht="18.75">
      <c r="A21" s="105" t="s">
        <v>160</v>
      </c>
      <c r="B21" s="56" t="s">
        <v>161</v>
      </c>
      <c r="C21" s="49">
        <v>91</v>
      </c>
      <c r="G21" s="50" t="s">
        <v>14</v>
      </c>
      <c r="H21" s="51">
        <f>C18</f>
        <v>2.9</v>
      </c>
      <c r="K21" s="25" t="s">
        <v>67</v>
      </c>
      <c r="L21" s="25">
        <f>IF('Import Question'!F82="Y",1,0)</f>
        <v>0</v>
      </c>
      <c r="M21" s="50">
        <f>IF('Import Question'!F82="Y",1,0)</f>
        <v>0</v>
      </c>
      <c r="P21" s="248"/>
    </row>
    <row r="22" spans="1:16" ht="18.75">
      <c r="A22" s="105" t="s">
        <v>162</v>
      </c>
      <c r="B22" s="56" t="s">
        <v>143</v>
      </c>
      <c r="C22" s="48">
        <v>36</v>
      </c>
      <c r="G22" s="50" t="s">
        <v>15</v>
      </c>
      <c r="H22" s="51">
        <f>C19</f>
        <v>245</v>
      </c>
      <c r="K22" s="25" t="s">
        <v>68</v>
      </c>
      <c r="L22" s="50">
        <f>SUM(L16:L21)</f>
        <v>-4.1663455000000011</v>
      </c>
      <c r="M22" s="50">
        <f>SUM(M16:M21)</f>
        <v>-13.241470678000001</v>
      </c>
      <c r="P22" s="248"/>
    </row>
    <row r="23" spans="1:16">
      <c r="A23" s="105" t="s">
        <v>163</v>
      </c>
      <c r="B23" s="56" t="s">
        <v>164</v>
      </c>
      <c r="C23" s="49">
        <v>23</v>
      </c>
      <c r="G23" s="144" t="s">
        <v>16</v>
      </c>
      <c r="H23" s="54"/>
      <c r="K23" s="25" t="s">
        <v>117</v>
      </c>
      <c r="L23" s="50">
        <f>(-0.38+L22*1.37)/100</f>
        <v>-6.0878933350000025E-2</v>
      </c>
      <c r="M23" s="50">
        <f xml:space="preserve"> (-0.148+0.89*M22)/100</f>
        <v>-0.11932908903420002</v>
      </c>
    </row>
    <row r="24" spans="1:16">
      <c r="A24" s="105" t="s">
        <v>165</v>
      </c>
      <c r="B24" s="56" t="s">
        <v>164</v>
      </c>
      <c r="C24" s="49">
        <v>26</v>
      </c>
      <c r="G24" s="50" t="s">
        <v>17</v>
      </c>
      <c r="H24" s="51">
        <f>C23</f>
        <v>23</v>
      </c>
      <c r="K24" s="25"/>
      <c r="L24" s="50"/>
      <c r="M24" s="50"/>
    </row>
    <row r="25" spans="1:16">
      <c r="A25" s="105" t="s">
        <v>166</v>
      </c>
      <c r="B25" s="56" t="s">
        <v>167</v>
      </c>
      <c r="C25" s="49">
        <v>15</v>
      </c>
      <c r="G25" s="50" t="s">
        <v>18</v>
      </c>
      <c r="H25" s="51">
        <f>C24</f>
        <v>26</v>
      </c>
      <c r="K25" s="25" t="s">
        <v>119</v>
      </c>
      <c r="L25" s="25">
        <f>-10.2+0.33*(('Import Question'!F6)+5)</f>
        <v>8.610000000000003</v>
      </c>
      <c r="M25" s="50">
        <f>-7.9+0.26*(('Import Question'!F6)+5)</f>
        <v>6.92</v>
      </c>
    </row>
    <row r="26" spans="1:16">
      <c r="A26" s="56" t="s">
        <v>536</v>
      </c>
      <c r="B26" s="56" t="s">
        <v>168</v>
      </c>
      <c r="C26" s="48">
        <v>120</v>
      </c>
      <c r="G26" s="50" t="s">
        <v>270</v>
      </c>
      <c r="H26" s="58">
        <f>(C53+C54)/12</f>
        <v>0.625</v>
      </c>
      <c r="K26" s="25" t="s">
        <v>120</v>
      </c>
      <c r="L26" s="50">
        <f>(L17+L18+L19+L20+L21+L25)</f>
        <v>-2.5163454999999999</v>
      </c>
      <c r="M26" s="50">
        <f>(M17+M18+M19+M20+M21+M25)</f>
        <v>-11.941470678</v>
      </c>
    </row>
    <row r="27" spans="1:16">
      <c r="A27" s="56" t="s">
        <v>534</v>
      </c>
      <c r="B27" s="56" t="s">
        <v>169</v>
      </c>
      <c r="C27" s="48"/>
      <c r="G27" s="50" t="s">
        <v>271</v>
      </c>
      <c r="H27" s="59" t="str">
        <f>IF(C55&lt;8,"L",(IF(C55&gt;14,"H","N")))</f>
        <v>N</v>
      </c>
      <c r="K27" s="25" t="s">
        <v>118</v>
      </c>
      <c r="L27" s="50">
        <f>(-0.38+L26*1.37)/100</f>
        <v>-3.8273933349999997E-2</v>
      </c>
      <c r="M27" s="50">
        <f xml:space="preserve"> (-0.148+0.89*M26)/100</f>
        <v>-0.10775908903419999</v>
      </c>
    </row>
    <row r="28" spans="1:16">
      <c r="A28" s="56" t="s">
        <v>170</v>
      </c>
      <c r="B28" s="56" t="s">
        <v>171</v>
      </c>
      <c r="C28" s="48"/>
      <c r="G28" s="50" t="s">
        <v>19</v>
      </c>
      <c r="H28" s="51">
        <f>C31</f>
        <v>3.3</v>
      </c>
    </row>
    <row r="29" spans="1:16">
      <c r="A29" s="56" t="s">
        <v>172</v>
      </c>
      <c r="B29" s="56" t="s">
        <v>145</v>
      </c>
      <c r="C29" s="48"/>
      <c r="G29" s="257" t="s">
        <v>327</v>
      </c>
      <c r="H29" s="257">
        <f>'Import Question'!F229</f>
        <v>0</v>
      </c>
      <c r="I29" s="258" t="s">
        <v>328</v>
      </c>
      <c r="J29" s="259" t="e">
        <f>H3/H29</f>
        <v>#DIV/0!</v>
      </c>
      <c r="K29" s="260" t="s">
        <v>121</v>
      </c>
      <c r="L29" s="25">
        <f>IF('Import Question'!F3="H",1.23,1.04)</f>
        <v>1.04</v>
      </c>
    </row>
    <row r="30" spans="1:16">
      <c r="A30" s="136" t="s">
        <v>493</v>
      </c>
      <c r="B30" s="56" t="s">
        <v>164</v>
      </c>
      <c r="C30" s="139">
        <v>53</v>
      </c>
      <c r="G30" s="60" t="s">
        <v>115</v>
      </c>
      <c r="H30" s="61">
        <f>('Import Question'!F6*H25)/((H22+1)*(SQRT(H24+1)))</f>
        <v>1.1218530258275261</v>
      </c>
      <c r="I30" s="261">
        <f>IF(H30&lt;2,0,1.5)</f>
        <v>0</v>
      </c>
    </row>
    <row r="31" spans="1:16">
      <c r="A31" s="105" t="s">
        <v>173</v>
      </c>
      <c r="B31" s="56" t="s">
        <v>174</v>
      </c>
      <c r="C31" s="49">
        <v>3.3</v>
      </c>
      <c r="G31" s="60" t="s">
        <v>104</v>
      </c>
      <c r="H31" s="61">
        <f>MAX(0.01,IF('Import Question'!F3="H",'Import Biologie'!L23,'Import Biologie'!M23))</f>
        <v>0.01</v>
      </c>
      <c r="I31" s="246" t="s">
        <v>116</v>
      </c>
      <c r="J31" s="47">
        <f>IF('Import Question'!F3="H",'Import Biologie'!L27,'Import Biologie'!M27)</f>
        <v>-0.10775908903419999</v>
      </c>
      <c r="K31" s="246">
        <v>8.5</v>
      </c>
    </row>
    <row r="32" spans="1:16">
      <c r="A32" s="56" t="s">
        <v>175</v>
      </c>
      <c r="B32" s="56" t="s">
        <v>176</v>
      </c>
      <c r="C32" s="49">
        <v>0.51300000000000001</v>
      </c>
      <c r="D32" s="244">
        <f>362.47*C32</f>
        <v>185.94711000000001</v>
      </c>
      <c r="E32" s="245" t="s">
        <v>168</v>
      </c>
      <c r="G32" s="109" t="s">
        <v>58</v>
      </c>
      <c r="H32" s="109">
        <f>IF(H3=0,0,(IF('Import Question'!F110="Y",(H3*1.5),H3))*G40)</f>
        <v>0</v>
      </c>
      <c r="K32" s="246">
        <f>2/8.5</f>
        <v>0.23529411764705882</v>
      </c>
    </row>
    <row r="33" spans="1:14">
      <c r="A33" s="105" t="s">
        <v>178</v>
      </c>
      <c r="B33" s="56" t="s">
        <v>159</v>
      </c>
      <c r="C33" s="49">
        <v>201</v>
      </c>
      <c r="D33" s="50">
        <f>C33*0.168</f>
        <v>33.768000000000001</v>
      </c>
      <c r="E33" s="245" t="s">
        <v>135</v>
      </c>
      <c r="F33" s="252" t="s">
        <v>335</v>
      </c>
      <c r="G33" s="109" t="s">
        <v>69</v>
      </c>
      <c r="H33" s="109">
        <f>MAX(IF(H6&gt;5.2,1.2,0),(IF(H11&gt;1.8,1.2,0)),(IF(H6=0,1,0)),(IF(H11&gt;5,2,0)))</f>
        <v>1.2</v>
      </c>
      <c r="I33" s="250"/>
    </row>
    <row r="34" spans="1:14">
      <c r="A34" s="56" t="s">
        <v>179</v>
      </c>
      <c r="B34" s="56" t="s">
        <v>180</v>
      </c>
      <c r="C34" s="48">
        <v>276</v>
      </c>
      <c r="G34" s="109" t="s">
        <v>70</v>
      </c>
      <c r="H34" s="109">
        <f>MAX(IF(H9&gt;6,2,0),IF(H9=0,1,0))</f>
        <v>0</v>
      </c>
      <c r="I34" s="250"/>
    </row>
    <row r="35" spans="1:14">
      <c r="A35" s="105" t="s">
        <v>324</v>
      </c>
      <c r="B35" s="56" t="s">
        <v>161</v>
      </c>
      <c r="C35" s="49">
        <v>44</v>
      </c>
      <c r="G35" s="60" t="s">
        <v>60</v>
      </c>
      <c r="H35" s="60">
        <f>MAX(IF(H5&gt;2.6,2,1),IF(H4&gt;420,2,1),IF(C44&gt;850,2,1),IF(C42&gt;7.5,2,1))</f>
        <v>1</v>
      </c>
      <c r="I35" s="25"/>
      <c r="K35" s="246" t="s">
        <v>582</v>
      </c>
      <c r="N35" s="249"/>
    </row>
    <row r="36" spans="1:14">
      <c r="A36" s="56" t="s">
        <v>181</v>
      </c>
      <c r="B36" s="56" t="s">
        <v>140</v>
      </c>
      <c r="C36" s="49">
        <v>9.9</v>
      </c>
      <c r="D36" s="244">
        <f>C36*8.84</f>
        <v>87.516000000000005</v>
      </c>
      <c r="E36" s="245" t="s">
        <v>169</v>
      </c>
      <c r="G36" s="60" t="s">
        <v>59</v>
      </c>
      <c r="H36" s="63">
        <f>(0.0393+(0.042*H32)-(0.00055*H32^2))/3</f>
        <v>1.3100000000000001E-2</v>
      </c>
      <c r="I36" s="246" t="s">
        <v>240</v>
      </c>
      <c r="J36" s="63">
        <f>(0.0393+(0.042*(H32+1))-(0.00055*(H32+1)^2))/3</f>
        <v>2.6916666666666672E-2</v>
      </c>
    </row>
    <row r="37" spans="1:14" ht="18">
      <c r="A37" s="105" t="s">
        <v>182</v>
      </c>
      <c r="B37" s="56" t="s">
        <v>183</v>
      </c>
      <c r="C37" s="49">
        <v>66</v>
      </c>
      <c r="D37" s="244" t="s">
        <v>177</v>
      </c>
      <c r="E37" s="262" t="s">
        <v>331</v>
      </c>
      <c r="F37" s="262">
        <f>IF(C37&lt;30,2,IF(C37&gt;60,1,1.5))+IF(C37=0,-1,0)</f>
        <v>1</v>
      </c>
      <c r="G37" s="62" t="s">
        <v>121</v>
      </c>
      <c r="H37" s="64">
        <f>((140-'Import Question'!F6)*('Import Question'!F78)*L29/('Import Biologie'!H16))</f>
        <v>43.921568627450981</v>
      </c>
      <c r="J37" s="263"/>
    </row>
    <row r="38" spans="1:14">
      <c r="A38" s="140" t="s">
        <v>345</v>
      </c>
      <c r="B38" s="344" t="s">
        <v>830</v>
      </c>
      <c r="C38" s="114">
        <v>10001</v>
      </c>
      <c r="D38" s="244" t="str">
        <f>IF(C38&gt;10000,"Positive","Negative")</f>
        <v>Positive</v>
      </c>
      <c r="G38" s="60" t="s">
        <v>122</v>
      </c>
      <c r="H38" s="60">
        <f>SUM(J38:J42)</f>
        <v>1.2</v>
      </c>
      <c r="I38" s="246" t="s">
        <v>0</v>
      </c>
      <c r="J38" s="250">
        <f>IF('Import Question'!H77&gt;0.3,2,0)</f>
        <v>0</v>
      </c>
      <c r="L38" s="25">
        <v>2</v>
      </c>
    </row>
    <row r="39" spans="1:14">
      <c r="A39" s="141" t="s">
        <v>346</v>
      </c>
      <c r="B39" s="344" t="s">
        <v>831</v>
      </c>
      <c r="C39" s="114">
        <v>10000</v>
      </c>
      <c r="D39" s="244" t="str">
        <f>IF(C39&gt;10000,"Positive","Negative")</f>
        <v>Negative</v>
      </c>
      <c r="I39" s="246" t="s">
        <v>71</v>
      </c>
      <c r="J39" s="246">
        <f>IF('Import Question'!F79&gt;'Import Biologie'!K39,1.5,0)</f>
        <v>0</v>
      </c>
      <c r="K39" s="264">
        <v>102</v>
      </c>
      <c r="L39" s="25">
        <v>1.5</v>
      </c>
    </row>
    <row r="40" spans="1:14">
      <c r="A40" s="142" t="s">
        <v>347</v>
      </c>
      <c r="B40" s="344" t="s">
        <v>185</v>
      </c>
      <c r="C40" s="114" t="s">
        <v>344</v>
      </c>
      <c r="F40" s="265" t="s">
        <v>252</v>
      </c>
      <c r="G40" s="266">
        <f>IF('Import Question'!H77&gt;0.3,1.5,1)</f>
        <v>1</v>
      </c>
      <c r="I40" s="246" t="s">
        <v>123</v>
      </c>
      <c r="J40" s="246">
        <f>L20</f>
        <v>0</v>
      </c>
      <c r="L40" s="25">
        <v>1</v>
      </c>
    </row>
    <row r="41" spans="1:14">
      <c r="A41" s="66" t="s">
        <v>186</v>
      </c>
      <c r="B41" s="56" t="s">
        <v>832</v>
      </c>
      <c r="C41" s="49">
        <v>1.75</v>
      </c>
      <c r="I41" s="246" t="s">
        <v>124</v>
      </c>
      <c r="J41" s="246">
        <f>H33</f>
        <v>1.2</v>
      </c>
      <c r="L41" s="25">
        <v>1</v>
      </c>
    </row>
    <row r="42" spans="1:14">
      <c r="A42" s="65" t="s">
        <v>187</v>
      </c>
      <c r="B42" s="56" t="s">
        <v>188</v>
      </c>
      <c r="C42" s="49">
        <v>5.95</v>
      </c>
      <c r="D42" s="244">
        <f>C42*40</f>
        <v>238</v>
      </c>
      <c r="E42" s="245" t="s">
        <v>191</v>
      </c>
      <c r="I42" s="246" t="s">
        <v>125</v>
      </c>
      <c r="J42" s="246">
        <f>MAX(IF('Import Question'!F104="Y",1,0),IF('Import Question'!F80&gt;140,1,0))</f>
        <v>0</v>
      </c>
      <c r="L42" s="25">
        <v>1</v>
      </c>
    </row>
    <row r="43" spans="1:14">
      <c r="A43" s="65" t="s">
        <v>189</v>
      </c>
      <c r="B43" s="56" t="s">
        <v>188</v>
      </c>
      <c r="C43" s="49">
        <v>224</v>
      </c>
      <c r="L43" s="25">
        <f>SUM(L38:L42)</f>
        <v>6.5</v>
      </c>
    </row>
    <row r="44" spans="1:14">
      <c r="A44" s="65" t="s">
        <v>190</v>
      </c>
      <c r="B44" s="56" t="s">
        <v>191</v>
      </c>
      <c r="C44" s="49">
        <v>201</v>
      </c>
      <c r="D44" s="244">
        <f>C44/0.168</f>
        <v>1196.4285714285713</v>
      </c>
    </row>
    <row r="45" spans="1:14">
      <c r="A45" s="65" t="s">
        <v>192</v>
      </c>
      <c r="B45" s="56"/>
      <c r="C45" s="49">
        <v>6</v>
      </c>
      <c r="I45" s="246" t="s">
        <v>311</v>
      </c>
      <c r="K45" s="246">
        <f>IF(H37&lt;75,2,(IF(H37&gt;100,0,1)))</f>
        <v>2</v>
      </c>
    </row>
    <row r="46" spans="1:14">
      <c r="A46" s="65" t="s">
        <v>193</v>
      </c>
      <c r="B46" s="56" t="s">
        <v>484</v>
      </c>
      <c r="C46" s="48">
        <v>1010</v>
      </c>
      <c r="M46" s="207"/>
    </row>
    <row r="47" spans="1:14">
      <c r="A47" s="65" t="s">
        <v>194</v>
      </c>
      <c r="B47" s="56" t="s">
        <v>223</v>
      </c>
      <c r="C47" s="49"/>
      <c r="D47" s="244">
        <f>(C47*1000)/8.84</f>
        <v>0</v>
      </c>
      <c r="E47" s="245" t="s">
        <v>227</v>
      </c>
      <c r="G47" s="267" t="s">
        <v>605</v>
      </c>
      <c r="H47" s="268">
        <f>IF(D38="Positive",3,1)</f>
        <v>3</v>
      </c>
      <c r="M47" s="245"/>
    </row>
    <row r="48" spans="1:14">
      <c r="A48" s="65" t="s">
        <v>194</v>
      </c>
      <c r="B48" s="56" t="s">
        <v>188</v>
      </c>
      <c r="C48" s="49">
        <v>8</v>
      </c>
      <c r="D48" s="244">
        <f>(C48*1000)/8.84</f>
        <v>904.97737556561083</v>
      </c>
      <c r="E48" s="245" t="s">
        <v>191</v>
      </c>
      <c r="K48" s="208" t="s">
        <v>202</v>
      </c>
      <c r="L48" s="209">
        <f>C56</f>
        <v>52</v>
      </c>
      <c r="M48" s="245"/>
      <c r="N48" s="269" t="str">
        <f>IF(L59&lt;2.5,"Faible",IF(L59&gt;7.5,"Elevé","intermédiare"))</f>
        <v>Faible</v>
      </c>
    </row>
    <row r="49" spans="1:14">
      <c r="A49" s="65" t="s">
        <v>195</v>
      </c>
      <c r="B49" s="56" t="s">
        <v>188</v>
      </c>
      <c r="C49" s="49">
        <v>77</v>
      </c>
      <c r="E49" s="245" t="s">
        <v>228</v>
      </c>
      <c r="K49" s="208" t="s">
        <v>613</v>
      </c>
      <c r="L49" s="210">
        <f>'Import Question'!H3</f>
        <v>0</v>
      </c>
      <c r="M49" s="245"/>
      <c r="N49" s="269" t="str">
        <f>IF(L59&lt;5,"Faible",IF(L59&gt;10,"Elevé","intermédiare"))</f>
        <v>Faible</v>
      </c>
    </row>
    <row r="50" spans="1:14">
      <c r="A50" s="143" t="s">
        <v>196</v>
      </c>
      <c r="B50" s="344" t="s">
        <v>197</v>
      </c>
      <c r="C50" s="114"/>
      <c r="K50" s="208" t="s">
        <v>614</v>
      </c>
      <c r="L50" s="210">
        <f>IF('Import Question'!F82="Y",1,0)</f>
        <v>0</v>
      </c>
      <c r="M50" s="245"/>
      <c r="N50" s="269" t="str">
        <f>IF(L59&lt;7.5,"Faible",IF(L59&gt;15,"Elevé","intermédiare"))</f>
        <v>Faible</v>
      </c>
    </row>
    <row r="51" spans="1:14">
      <c r="A51" s="143" t="s">
        <v>198</v>
      </c>
      <c r="B51" s="344" t="s">
        <v>197</v>
      </c>
      <c r="C51" s="114"/>
      <c r="K51" s="211" t="s">
        <v>615</v>
      </c>
      <c r="L51" s="210">
        <f>'Import Question'!F80</f>
        <v>0</v>
      </c>
      <c r="M51" s="245"/>
      <c r="N51" s="270"/>
    </row>
    <row r="52" spans="1:14">
      <c r="A52" s="143" t="s">
        <v>199</v>
      </c>
      <c r="B52" s="344" t="s">
        <v>197</v>
      </c>
      <c r="C52" s="114"/>
      <c r="K52" s="208" t="s">
        <v>616</v>
      </c>
      <c r="L52" s="210">
        <f>H6-H8</f>
        <v>2.8748999999999993</v>
      </c>
      <c r="M52" s="245"/>
      <c r="N52" s="271" t="str">
        <f>IF(L48&lt;50,N48,(IF(L48&gt;70,N50,N49)))</f>
        <v>Faible</v>
      </c>
    </row>
    <row r="53" spans="1:14">
      <c r="A53" s="106" t="s">
        <v>265</v>
      </c>
      <c r="B53" s="67" t="s">
        <v>135</v>
      </c>
      <c r="C53" s="68">
        <v>1.8</v>
      </c>
      <c r="D53" s="244" t="s">
        <v>268</v>
      </c>
      <c r="M53" s="245"/>
    </row>
    <row r="54" spans="1:14">
      <c r="A54" s="106" t="s">
        <v>266</v>
      </c>
      <c r="B54" s="67" t="s">
        <v>135</v>
      </c>
      <c r="C54" s="68">
        <v>5.7</v>
      </c>
      <c r="D54" s="244" t="s">
        <v>269</v>
      </c>
    </row>
    <row r="55" spans="1:14">
      <c r="A55" s="105" t="s">
        <v>267</v>
      </c>
      <c r="B55" s="67" t="s">
        <v>135</v>
      </c>
      <c r="C55" s="68">
        <v>12.6</v>
      </c>
    </row>
    <row r="56" spans="1:14">
      <c r="A56" s="246" t="s">
        <v>202</v>
      </c>
      <c r="C56" s="273">
        <f>'Import Question'!F6</f>
        <v>52</v>
      </c>
    </row>
    <row r="57" spans="1:14">
      <c r="A57" s="246" t="s">
        <v>203</v>
      </c>
      <c r="C57" s="274">
        <f>'Import Question'!F78</f>
        <v>42</v>
      </c>
      <c r="D57" s="244" t="s">
        <v>258</v>
      </c>
      <c r="E57" s="275">
        <f>C58-100-((C58-150)/4)</f>
        <v>59</v>
      </c>
      <c r="F57" s="263" t="s">
        <v>262</v>
      </c>
      <c r="G57" s="263" t="s">
        <v>261</v>
      </c>
      <c r="H57" s="276">
        <f>((10*C57)+(6.25*C58)-(5*C56)+5)/1000</f>
        <v>1.1775</v>
      </c>
    </row>
    <row r="58" spans="1:14">
      <c r="A58" s="246" t="s">
        <v>204</v>
      </c>
      <c r="C58" s="274">
        <f>'Import Question'!F77</f>
        <v>162</v>
      </c>
      <c r="F58" s="245" t="s">
        <v>264</v>
      </c>
      <c r="G58" s="263" t="s">
        <v>263</v>
      </c>
      <c r="H58" s="276">
        <f>((10*C57)+(C58*6.25)-(5*C56)-161)/1000</f>
        <v>1.0115000000000001</v>
      </c>
      <c r="L58" s="359" t="s">
        <v>617</v>
      </c>
    </row>
    <row r="59" spans="1:14">
      <c r="A59" s="246" t="s">
        <v>205</v>
      </c>
      <c r="C59" s="277">
        <f>100*C57/C58^2</f>
        <v>0.16003657978966621</v>
      </c>
      <c r="D59" s="244" t="s">
        <v>200</v>
      </c>
      <c r="K59" s="246" t="s">
        <v>612</v>
      </c>
      <c r="L59" s="360">
        <f xml:space="preserve"> -25.7140130071773+0.267011088709677*L48+2.55729166666666*L49+2.97395833333333*L50+0.0753386699507389*L51+0.576041666666669*L52</f>
        <v>-10.17337420677409</v>
      </c>
    </row>
    <row r="60" spans="1:14">
      <c r="A60" s="246" t="s">
        <v>206</v>
      </c>
      <c r="B60" s="278"/>
      <c r="C60" s="279">
        <f>C16/C18</f>
        <v>0.45517241379310347</v>
      </c>
      <c r="D60" s="244" t="s">
        <v>201</v>
      </c>
    </row>
    <row r="61" spans="1:14">
      <c r="A61" s="246" t="s">
        <v>207</v>
      </c>
      <c r="B61" s="278"/>
      <c r="C61" s="279">
        <f>IF(C29&lt;0.8,1.1,1)</f>
        <v>1.1000000000000001</v>
      </c>
    </row>
    <row r="62" spans="1:14">
      <c r="A62" s="246" t="s">
        <v>208</v>
      </c>
      <c r="B62" s="278"/>
      <c r="C62" s="280" t="e">
        <f>C27/C28</f>
        <v>#DIV/0!</v>
      </c>
    </row>
    <row r="63" spans="1:14">
      <c r="A63" s="246" t="s">
        <v>209</v>
      </c>
      <c r="B63" s="278"/>
      <c r="C63" s="280">
        <f>D32/C26</f>
        <v>1.5495592500000002</v>
      </c>
    </row>
    <row r="64" spans="1:14">
      <c r="A64" s="246" t="s">
        <v>210</v>
      </c>
      <c r="B64" s="278"/>
      <c r="C64" s="279">
        <f>IF(C35&lt;30,1.2,1)</f>
        <v>1</v>
      </c>
    </row>
    <row r="65" spans="1:6">
      <c r="A65" s="246" t="s">
        <v>211</v>
      </c>
      <c r="B65" s="278">
        <f>C42/C57</f>
        <v>0.14166666666666666</v>
      </c>
      <c r="C65" s="279">
        <f>IF(B65&gt;0.1,1,0)</f>
        <v>1</v>
      </c>
    </row>
    <row r="66" spans="1:6">
      <c r="A66" s="246" t="s">
        <v>212</v>
      </c>
      <c r="B66" s="278"/>
      <c r="C66" s="279">
        <f>IF(C44&gt;1000,1,0)</f>
        <v>0</v>
      </c>
    </row>
    <row r="67" spans="1:6">
      <c r="A67" s="246" t="s">
        <v>213</v>
      </c>
      <c r="B67" s="278"/>
      <c r="C67" s="279">
        <f>IF(C49&gt;150,1,0)</f>
        <v>0</v>
      </c>
    </row>
    <row r="68" spans="1:6">
      <c r="A68" s="246" t="s">
        <v>214</v>
      </c>
      <c r="B68" s="278"/>
      <c r="C68" s="279">
        <f>IF(C41&lt;2,1,0)</f>
        <v>1</v>
      </c>
      <c r="D68" s="281">
        <f>IF(C63&lt;0.1,1.2,1)</f>
        <v>1</v>
      </c>
    </row>
    <row r="69" spans="1:6">
      <c r="A69" s="246" t="s">
        <v>215</v>
      </c>
      <c r="B69" s="278"/>
      <c r="C69" s="280">
        <f>C49/17</f>
        <v>4.5294117647058822</v>
      </c>
    </row>
    <row r="70" spans="1:6">
      <c r="A70" s="246" t="s">
        <v>217</v>
      </c>
      <c r="B70" s="278"/>
      <c r="C70" s="280">
        <f>C43/5</f>
        <v>44.8</v>
      </c>
      <c r="D70" s="244" t="s">
        <v>259</v>
      </c>
      <c r="E70" s="275">
        <f>E57*0.8</f>
        <v>47.2</v>
      </c>
    </row>
    <row r="71" spans="1:6">
      <c r="A71" s="246" t="s">
        <v>218</v>
      </c>
      <c r="B71" s="278"/>
      <c r="C71" s="282">
        <v>1</v>
      </c>
    </row>
    <row r="72" spans="1:6">
      <c r="A72" s="283" t="s">
        <v>232</v>
      </c>
      <c r="B72" s="278"/>
      <c r="C72" s="279">
        <f>23*(C48/8.84)</f>
        <v>20.81447963800905</v>
      </c>
      <c r="D72" s="244" t="s">
        <v>260</v>
      </c>
    </row>
    <row r="73" spans="1:6">
      <c r="A73" s="283" t="s">
        <v>230</v>
      </c>
      <c r="B73" s="278"/>
      <c r="C73" s="279">
        <f xml:space="preserve"> (30+0.275*C56-0.00375*C56^2)</f>
        <v>34.159999999999997</v>
      </c>
      <c r="D73" s="247" t="s">
        <v>298</v>
      </c>
      <c r="E73" s="284">
        <f>(0.407*C57)+(0.267*C58)-9.2</f>
        <v>51.147999999999996</v>
      </c>
      <c r="F73" s="285" t="s">
        <v>301</v>
      </c>
    </row>
    <row r="74" spans="1:6">
      <c r="A74" s="283" t="s">
        <v>231</v>
      </c>
      <c r="B74" s="278"/>
      <c r="C74" s="279">
        <f>( (42-0.5*C56+0.0025*C56^2))</f>
        <v>22.759999999999998</v>
      </c>
      <c r="D74" s="244" t="s">
        <v>216</v>
      </c>
    </row>
    <row r="75" spans="1:6">
      <c r="A75" s="283" t="s">
        <v>219</v>
      </c>
      <c r="B75" s="278"/>
      <c r="C75" s="286">
        <f>(C72/C73)*(IF('Import Question'!H3=1,1,0))</f>
        <v>0</v>
      </c>
      <c r="D75" s="247" t="s">
        <v>299</v>
      </c>
    </row>
    <row r="76" spans="1:6">
      <c r="A76" s="283" t="s">
        <v>220</v>
      </c>
      <c r="B76" s="278"/>
      <c r="C76" s="280">
        <f>(C72/C74)*(IF('Import Question'!H3=0,1,0))</f>
        <v>0.91452019499161041</v>
      </c>
    </row>
    <row r="77" spans="1:6">
      <c r="A77" s="67" t="s">
        <v>221</v>
      </c>
      <c r="C77" s="287">
        <f>IF(C7&gt;3,1.2,1)</f>
        <v>1</v>
      </c>
    </row>
    <row r="78" spans="1:6">
      <c r="A78" s="246" t="s">
        <v>186</v>
      </c>
      <c r="B78" s="278"/>
      <c r="C78" s="279">
        <f>IF(C41&lt;1800,1,0)</f>
        <v>1</v>
      </c>
    </row>
    <row r="79" spans="1:6">
      <c r="A79" s="246" t="s">
        <v>222</v>
      </c>
      <c r="B79" s="278"/>
      <c r="C79" s="279">
        <f>IF(C12&lt;10,1,0) + IF(C16&lt;4,1,0) + IF(C18&lt;1,1,0) + IF(C19&lt;50,1,0)</f>
        <v>1</v>
      </c>
    </row>
    <row r="80" spans="1:6">
      <c r="A80" s="246" t="s">
        <v>146</v>
      </c>
      <c r="B80" s="278"/>
      <c r="C80" s="279">
        <f>IF(C12&gt;17,1,0)</f>
        <v>0</v>
      </c>
    </row>
    <row r="81" spans="1:5">
      <c r="A81" s="246" t="s">
        <v>152</v>
      </c>
      <c r="B81" s="278"/>
      <c r="C81" s="279">
        <f>IF(C16&gt;70,1,0)</f>
        <v>0</v>
      </c>
    </row>
    <row r="82" spans="1:5">
      <c r="A82" s="246" t="s">
        <v>156</v>
      </c>
      <c r="B82" s="278"/>
      <c r="C82" s="279">
        <f>IF(C18&gt;5,1,0)</f>
        <v>0</v>
      </c>
    </row>
    <row r="83" spans="1:5">
      <c r="A83" s="246" t="s">
        <v>157</v>
      </c>
      <c r="B83" s="278"/>
      <c r="C83" s="279">
        <f>IF(C19&gt;600,1,0)</f>
        <v>0</v>
      </c>
    </row>
    <row r="84" spans="1:5">
      <c r="A84" s="246"/>
      <c r="B84" s="278"/>
      <c r="C84" s="279"/>
    </row>
    <row r="85" spans="1:5">
      <c r="A85" s="246" t="s">
        <v>184</v>
      </c>
      <c r="B85" s="278"/>
      <c r="C85" s="279">
        <f>IF(C38="positive",1.5,1)</f>
        <v>1</v>
      </c>
    </row>
    <row r="86" spans="1:5">
      <c r="A86" s="394" t="s">
        <v>872</v>
      </c>
      <c r="B86" s="278"/>
      <c r="C86" s="288">
        <f>(((C67+C68+C66+C65+C78)*2)/10)+1</f>
        <v>1.6</v>
      </c>
    </row>
    <row r="87" spans="1:5">
      <c r="A87" s="67" t="s">
        <v>224</v>
      </c>
      <c r="C87" s="278">
        <f>C3/C4</f>
        <v>2.15625</v>
      </c>
      <c r="D87" s="244" t="s">
        <v>225</v>
      </c>
      <c r="E87" s="245" t="s">
        <v>226</v>
      </c>
    </row>
    <row r="88" spans="1:5">
      <c r="A88" s="67" t="s">
        <v>845</v>
      </c>
      <c r="B88" s="244" t="s">
        <v>873</v>
      </c>
      <c r="C88" s="244"/>
      <c r="E88" s="246"/>
    </row>
    <row r="89" spans="1:5">
      <c r="A89" s="56" t="s">
        <v>852</v>
      </c>
      <c r="B89" s="395" t="s">
        <v>873</v>
      </c>
      <c r="D89" s="396" t="s">
        <v>874</v>
      </c>
      <c r="E89" s="397">
        <f>(C10*C88)/405</f>
        <v>0</v>
      </c>
    </row>
    <row r="90" spans="1:5">
      <c r="A90" s="56" t="s">
        <v>855</v>
      </c>
      <c r="B90" s="395" t="s">
        <v>875</v>
      </c>
      <c r="E90" s="246"/>
    </row>
    <row r="91" spans="1:5">
      <c r="A91" s="398" t="s">
        <v>857</v>
      </c>
      <c r="B91" s="399" t="s">
        <v>876</v>
      </c>
      <c r="E91" s="246"/>
    </row>
    <row r="92" spans="1:5">
      <c r="A92" s="67" t="s">
        <v>860</v>
      </c>
      <c r="B92" s="395" t="s">
        <v>877</v>
      </c>
      <c r="E92" s="246"/>
    </row>
    <row r="93" spans="1:5">
      <c r="A93" s="67" t="s">
        <v>862</v>
      </c>
      <c r="B93" s="244" t="s">
        <v>878</v>
      </c>
      <c r="E93" s="246"/>
    </row>
    <row r="94" spans="1:5">
      <c r="A94" s="400" t="s">
        <v>879</v>
      </c>
      <c r="B94" s="68" t="s">
        <v>143</v>
      </c>
      <c r="E94" s="246"/>
    </row>
    <row r="95" spans="1:5">
      <c r="A95" s="68"/>
      <c r="B95" s="278"/>
      <c r="C95" s="272"/>
    </row>
    <row r="96" spans="1:5">
      <c r="A96" s="68"/>
      <c r="B96" s="278"/>
      <c r="C96" s="272"/>
    </row>
    <row r="97" spans="1:3">
      <c r="A97" s="68"/>
      <c r="C97" s="272"/>
    </row>
    <row r="98" spans="1:3">
      <c r="A98" s="68"/>
      <c r="C98" s="272"/>
    </row>
    <row r="99" spans="1:3">
      <c r="A99" s="68"/>
      <c r="C99" s="272"/>
    </row>
    <row r="100" spans="1:3">
      <c r="A100" s="68"/>
      <c r="C100" s="272"/>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50:C52 C40" xr:uid="{72E72676-BBF7-4978-A1EF-0012D66CB83A}">
      <formula1>$D$38:$F$38</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pageSetUpPr fitToPage="1"/>
  </sheetPr>
  <dimension ref="A1:AU47"/>
  <sheetViews>
    <sheetView zoomScale="96" zoomScaleNormal="96" workbookViewId="0">
      <pane xSplit="2" ySplit="1" topLeftCell="J2" activePane="bottomRight" state="frozen"/>
      <selection pane="topRight" activeCell="C1" sqref="C1"/>
      <selection pane="bottomLeft" activeCell="A2" sqref="A2"/>
      <selection pane="bottomRight" activeCell="S2" sqref="S2"/>
    </sheetView>
  </sheetViews>
  <sheetFormatPr baseColWidth="10" defaultColWidth="10.86328125" defaultRowHeight="14.25"/>
  <cols>
    <col min="1" max="1" width="8.1328125" style="203" customWidth="1"/>
    <col min="2" max="2" width="36.796875" style="8" bestFit="1" customWidth="1"/>
    <col min="3" max="3" width="12.19921875" style="204" bestFit="1" customWidth="1"/>
    <col min="4" max="4" width="5.19921875" style="204" bestFit="1" customWidth="1"/>
    <col min="5" max="5" width="7.796875" style="204" customWidth="1"/>
    <col min="6" max="6" width="5.53125" style="201" bestFit="1" customWidth="1"/>
    <col min="7" max="7" width="8.53125" style="201" bestFit="1" customWidth="1"/>
    <col min="8" max="8" width="9.53125" style="202" bestFit="1" customWidth="1"/>
    <col min="9" max="9" width="6.796875" style="202" bestFit="1" customWidth="1"/>
    <col min="10" max="10" width="8.53125" style="202" customWidth="1"/>
    <col min="11" max="13" width="15.796875" style="202" customWidth="1"/>
    <col min="14" max="14" width="11.86328125" style="8" bestFit="1" customWidth="1"/>
    <col min="15" max="15" width="13.53125" style="8" bestFit="1" customWidth="1"/>
    <col min="16" max="16" width="11" style="8" bestFit="1" customWidth="1"/>
    <col min="17" max="17" width="34.53125" style="8" bestFit="1" customWidth="1"/>
    <col min="18" max="18" width="10.53125" style="30" bestFit="1" customWidth="1"/>
    <col min="19" max="19" width="13.53125" style="11" bestFit="1" customWidth="1"/>
    <col min="20" max="20" width="34.53125" style="8" bestFit="1" customWidth="1"/>
    <col min="21" max="21" width="10.53125" style="30" bestFit="1" customWidth="1"/>
    <col min="22" max="22" width="13.796875" style="30" bestFit="1" customWidth="1"/>
    <col min="23" max="23" width="21.796875" style="11" customWidth="1"/>
    <col min="24" max="24" width="10.86328125" style="8"/>
    <col min="25" max="25" width="9.796875" style="8" bestFit="1" customWidth="1"/>
    <col min="26" max="26" width="22.796875" style="8" bestFit="1" customWidth="1"/>
    <col min="27" max="27" width="23.53125" style="8" bestFit="1" customWidth="1"/>
    <col min="28" max="28" width="23.3984375" style="8" bestFit="1" customWidth="1"/>
    <col min="29" max="29" width="23.86328125" style="8" bestFit="1" customWidth="1"/>
    <col min="30" max="30" width="23.59765625" style="8" bestFit="1" customWidth="1"/>
    <col min="31" max="31" width="23.6640625" style="8" bestFit="1" customWidth="1"/>
    <col min="32" max="32" width="23.46484375" style="8" bestFit="1" customWidth="1"/>
    <col min="33" max="33" width="23.6640625" style="8" bestFit="1" customWidth="1"/>
    <col min="34" max="34" width="23.53125" style="8" bestFit="1" customWidth="1"/>
    <col min="35" max="36" width="23.46484375" style="8" bestFit="1" customWidth="1"/>
    <col min="37" max="38" width="23.59765625" style="8" bestFit="1" customWidth="1"/>
    <col min="39" max="39" width="23.9296875" style="8" bestFit="1" customWidth="1"/>
    <col min="40" max="40" width="23.53125" style="8" bestFit="1" customWidth="1"/>
    <col min="41" max="41" width="22.73046875" style="8" bestFit="1" customWidth="1"/>
    <col min="42" max="42" width="22.9296875" style="8" bestFit="1" customWidth="1"/>
    <col min="43" max="43" width="24.19921875" style="8" bestFit="1" customWidth="1"/>
    <col min="44" max="44" width="23.3984375" style="8" bestFit="1" customWidth="1"/>
    <col min="45" max="45" width="24.1328125" style="8" bestFit="1" customWidth="1"/>
    <col min="46" max="46" width="23.73046875" style="8" bestFit="1" customWidth="1"/>
    <col min="47" max="47" width="23.265625" style="8" bestFit="1" customWidth="1"/>
    <col min="48" max="16384" width="10.86328125" style="8"/>
  </cols>
  <sheetData>
    <row r="1" spans="1:47" ht="18">
      <c r="A1" s="194" t="s">
        <v>27</v>
      </c>
      <c r="B1" s="195" t="s">
        <v>55</v>
      </c>
      <c r="C1" s="1" t="s">
        <v>24</v>
      </c>
      <c r="D1" s="1" t="s">
        <v>25</v>
      </c>
      <c r="E1" s="1" t="s">
        <v>26</v>
      </c>
      <c r="F1" s="196" t="s">
        <v>20</v>
      </c>
      <c r="G1" s="2" t="s">
        <v>21</v>
      </c>
      <c r="H1" s="3" t="s">
        <v>22</v>
      </c>
      <c r="I1" s="3" t="s">
        <v>23</v>
      </c>
      <c r="J1" s="3" t="s">
        <v>100</v>
      </c>
      <c r="K1" s="9" t="s">
        <v>33</v>
      </c>
      <c r="L1" s="9" t="s">
        <v>57</v>
      </c>
      <c r="M1" s="9" t="s">
        <v>300</v>
      </c>
      <c r="N1" s="9" t="s">
        <v>28</v>
      </c>
      <c r="O1" s="9" t="s">
        <v>29</v>
      </c>
      <c r="P1" s="9" t="s">
        <v>30</v>
      </c>
      <c r="Q1" s="195" t="s">
        <v>808</v>
      </c>
      <c r="R1" s="350" t="s">
        <v>31</v>
      </c>
      <c r="S1" s="11" t="s">
        <v>32</v>
      </c>
      <c r="T1" s="195" t="s">
        <v>807</v>
      </c>
      <c r="U1" s="351" t="s">
        <v>72</v>
      </c>
      <c r="V1" s="30" t="s">
        <v>77</v>
      </c>
      <c r="W1" s="11" t="s">
        <v>239</v>
      </c>
      <c r="X1" s="23"/>
      <c r="Y1" s="31"/>
      <c r="Z1" s="31"/>
      <c r="AA1" s="31"/>
      <c r="AB1" s="31"/>
    </row>
    <row r="2" spans="1:47">
      <c r="A2" s="194">
        <f>'Import Question'!$F$6</f>
        <v>52</v>
      </c>
      <c r="B2" s="197" t="s">
        <v>54</v>
      </c>
      <c r="C2" s="5">
        <v>-4.8000000000000001E-2</v>
      </c>
      <c r="D2" s="5">
        <f>0.000710799200799209</f>
        <v>7.1079920079920899E-4</v>
      </c>
      <c r="E2" s="5">
        <f>0.0000126493506493506</f>
        <v>1.26493506493506E-5</v>
      </c>
      <c r="F2" s="7">
        <v>1</v>
      </c>
      <c r="G2" s="7">
        <v>0</v>
      </c>
      <c r="H2" s="7">
        <v>1.25</v>
      </c>
      <c r="I2" s="7">
        <v>0.8</v>
      </c>
      <c r="J2" s="7">
        <f>IF('Import Question'!$F$3="F",0,1)</f>
        <v>0</v>
      </c>
      <c r="K2" s="7">
        <f>IF('Import Question'!$F$7="AF",H2,IF('Import Question'!$F$7="AS",calculRISKS!I2,1))</f>
        <v>0.8</v>
      </c>
      <c r="L2" s="7">
        <f>IF('Import Question'!H14="Y",0,1)</f>
        <v>1</v>
      </c>
      <c r="M2" s="7">
        <f>IF('Import Question'!H62="Y",0.8,1)</f>
        <v>0.8</v>
      </c>
      <c r="N2" s="4">
        <f>'Import Question'!K$150</f>
        <v>0.9</v>
      </c>
      <c r="O2" s="4">
        <f>'Import Question'!J25</f>
        <v>1.2</v>
      </c>
      <c r="P2" s="4">
        <f>'Import Biologie'!H36</f>
        <v>1.3100000000000001E-2</v>
      </c>
      <c r="Q2" s="30">
        <f>($C2+($D2*($A2+5))+(($E2*(($A2+5)^2))))*$J2*$K2</f>
        <v>0</v>
      </c>
      <c r="R2" s="111">
        <f>IF(T2&lt;0.015,0.015,T2)</f>
        <v>1.4999999999999999E-2</v>
      </c>
      <c r="S2" s="111">
        <f>(MAX(P2,(IF(L2=0,1,0))))*J2*M2</f>
        <v>0</v>
      </c>
      <c r="T2" s="30">
        <f t="shared" ref="T2:T7" si="0">($C2+($D2*$A2)+(($E2*($A2*$A2))))*$J2*$K2</f>
        <v>0</v>
      </c>
      <c r="U2" s="30">
        <f>MAX(IF(Q2&lt;0,0.015,Q2),R2)</f>
        <v>1.4999999999999999E-2</v>
      </c>
      <c r="V2" s="111">
        <f>MAX('Import Biologie'!J36,('Import Biologie'!J36*N2),S2)*J2</f>
        <v>0</v>
      </c>
      <c r="W2" s="111">
        <f>IF(L2=0,1,($N2*$P2*1.5*Z$10))*J2</f>
        <v>0</v>
      </c>
      <c r="Y2" s="32" t="s">
        <v>98</v>
      </c>
      <c r="Z2" s="33" t="s">
        <v>54</v>
      </c>
      <c r="AA2" s="34" t="s">
        <v>35</v>
      </c>
      <c r="AB2" s="34" t="s">
        <v>36</v>
      </c>
      <c r="AC2" s="34" t="s">
        <v>37</v>
      </c>
      <c r="AD2" s="34" t="s">
        <v>38</v>
      </c>
      <c r="AE2" s="34" t="s">
        <v>39</v>
      </c>
      <c r="AF2" s="34" t="s">
        <v>40</v>
      </c>
      <c r="AG2" s="34" t="s">
        <v>41</v>
      </c>
      <c r="AH2" s="34" t="s">
        <v>42</v>
      </c>
      <c r="AI2" s="34" t="s">
        <v>43</v>
      </c>
      <c r="AJ2" s="34" t="s">
        <v>44</v>
      </c>
      <c r="AK2" s="34" t="s">
        <v>45</v>
      </c>
      <c r="AL2" s="34" t="s">
        <v>46</v>
      </c>
      <c r="AM2" s="34" t="s">
        <v>47</v>
      </c>
      <c r="AN2" s="34" t="s">
        <v>48</v>
      </c>
      <c r="AO2" s="34" t="s">
        <v>49</v>
      </c>
      <c r="AP2" s="34" t="s">
        <v>50</v>
      </c>
      <c r="AQ2" s="45" t="s">
        <v>51</v>
      </c>
      <c r="AR2" s="45" t="s">
        <v>52</v>
      </c>
      <c r="AS2" s="45" t="s">
        <v>97</v>
      </c>
      <c r="AT2" s="46" t="s">
        <v>96</v>
      </c>
      <c r="AU2" s="198" t="s">
        <v>606</v>
      </c>
    </row>
    <row r="3" spans="1:47">
      <c r="A3" s="194">
        <f>'Import Question'!$F$6</f>
        <v>52</v>
      </c>
      <c r="B3" s="15" t="s">
        <v>35</v>
      </c>
      <c r="C3" s="5">
        <v>-0.51776223776225105</v>
      </c>
      <c r="D3" s="5">
        <f>0.0177272727272731</f>
        <v>1.7727272727273102E-2</v>
      </c>
      <c r="E3" s="5">
        <v>-1.2167832167832501E-4</v>
      </c>
      <c r="F3" s="7">
        <v>1</v>
      </c>
      <c r="G3" s="7">
        <v>0</v>
      </c>
      <c r="H3" s="7">
        <v>0.8</v>
      </c>
      <c r="I3" s="7">
        <v>0.6</v>
      </c>
      <c r="J3" s="7">
        <f>IF('Import Question'!$F$3="F",0,1)</f>
        <v>0</v>
      </c>
      <c r="K3" s="7">
        <f>IF('Import Question'!$F$7="AF",H3,IF('Import Question'!$F$7="AS",calculRISKS!I3,1))</f>
        <v>0.6</v>
      </c>
      <c r="L3" s="7">
        <v>1</v>
      </c>
      <c r="M3" s="7">
        <v>1</v>
      </c>
      <c r="N3" s="4">
        <v>1</v>
      </c>
      <c r="O3" s="4">
        <f>'Import Question'!K25</f>
        <v>1.2</v>
      </c>
      <c r="P3" s="10">
        <f>IF('Import Question'!H125&gt;2,1.2,IF('Import Question'!H125&lt;1,0.8,1))</f>
        <v>1</v>
      </c>
      <c r="Q3" s="30">
        <f t="shared" ref="Q3:Q22" si="1">($C3+($D3*($A3+5))+(($E3*(($A3+5)^2))))*$J3*$K3</f>
        <v>0</v>
      </c>
      <c r="R3" s="111">
        <f t="shared" ref="R3:R22" si="2">IF(T3&lt;0,0.001,T3)</f>
        <v>0</v>
      </c>
      <c r="S3" s="111">
        <f>(MAX((N3*O3*P3*R3),(IF(L3=0,1,0))))*J3</f>
        <v>0</v>
      </c>
      <c r="T3" s="30">
        <f t="shared" si="0"/>
        <v>0</v>
      </c>
      <c r="U3" s="30">
        <f t="shared" ref="U3:U22" si="3">MAX(IF(Q3&lt;0,0.001,Q3),R3)</f>
        <v>0</v>
      </c>
      <c r="V3" s="111">
        <f>MAX(($N3*$O3*$P3*$U3),S3)</f>
        <v>0</v>
      </c>
      <c r="W3" s="30">
        <f>$N3*$P3*$U3*AA10</f>
        <v>0</v>
      </c>
      <c r="Y3" s="15" t="s">
        <v>0</v>
      </c>
      <c r="Z3" s="15">
        <f>IF(SIMULATEUR!$H$3="N",'Import Question'!J18,0.9)</f>
        <v>1</v>
      </c>
      <c r="AA3" s="15">
        <f>IF(SIMULATEUR!$H$3="N",'Import Question'!K18,0.65)</f>
        <v>1</v>
      </c>
      <c r="AB3" s="15">
        <f>IF(SIMULATEUR!$H$3="N",'Import Question'!L18,0.8)</f>
        <v>1</v>
      </c>
      <c r="AC3" s="15">
        <f>IF(SIMULATEUR!$H$3="N",'Import Question'!M18,0.6)</f>
        <v>1</v>
      </c>
      <c r="AD3" s="15">
        <f>IF(SIMULATEUR!$H$3="N",'Import Question'!N18,1)</f>
        <v>1</v>
      </c>
      <c r="AE3" s="15">
        <f>IF(SIMULATEUR!$H$3="N",'Import Question'!O18,0.65)</f>
        <v>1</v>
      </c>
      <c r="AF3" s="15">
        <f>IF(SIMULATEUR!$H$3="N",'Import Question'!P18,0.65)</f>
        <v>1</v>
      </c>
      <c r="AG3" s="15">
        <f>IF(SIMULATEUR!$H$3="N",'Import Question'!Q18,1)</f>
        <v>1</v>
      </c>
      <c r="AH3" s="15">
        <f>IF(SIMULATEUR!$H$3="N",'Import Question'!R18,0.65)</f>
        <v>1</v>
      </c>
      <c r="AI3" s="15">
        <f>IF(SIMULATEUR!$H$3="N",'Import Question'!S18,0.5)</f>
        <v>1</v>
      </c>
      <c r="AJ3" s="15">
        <f>IF(SIMULATEUR!$H$3="N",'Import Question'!T18,0.6)</f>
        <v>1</v>
      </c>
      <c r="AK3" s="15">
        <f>IF(SIMULATEUR!$H$3="N",'Import Question'!U18,1)</f>
        <v>1</v>
      </c>
      <c r="AL3" s="15">
        <f>IF(SIMULATEUR!$H$3="N",'Import Question'!V18,0.68)</f>
        <v>1</v>
      </c>
      <c r="AM3" s="15">
        <f>IF(SIMULATEUR!$H$3="N",'Import Question'!W18,0.4)</f>
        <v>1</v>
      </c>
      <c r="AN3" s="15">
        <f>IF(SIMULATEUR!$H$3="N",'Import Question'!X18,0.5)</f>
        <v>1</v>
      </c>
      <c r="AO3" s="15">
        <f>IF(SIMULATEUR!$H$3="N",'Import Question'!Y18,1)</f>
        <v>1</v>
      </c>
      <c r="AP3" s="15">
        <f>IF(SIMULATEUR!$H$3="N",'Import Question'!Z18,1)</f>
        <v>1</v>
      </c>
      <c r="AQ3" s="15">
        <f>IF(SIMULATEUR!$H$3="N",'Import Question'!AA18,1)</f>
        <v>1</v>
      </c>
      <c r="AR3" s="15">
        <f>IF(SIMULATEUR!$H$3="N",'Import Question'!AB18,1)</f>
        <v>1</v>
      </c>
      <c r="AS3" s="15">
        <f>IF(SIMULATEUR!$H$3="N",'Import Question'!AC18,0.6)</f>
        <v>1</v>
      </c>
      <c r="AT3" s="15">
        <f>IF(SIMULATEUR!$H$3="N",'Import Question'!AD18,1)</f>
        <v>1</v>
      </c>
      <c r="AU3" s="15">
        <f>IF(SIMULATEUR!$H$3="N",'Import Question'!AE18,1)</f>
        <v>1</v>
      </c>
    </row>
    <row r="4" spans="1:47">
      <c r="A4" s="194">
        <f>'Import Question'!$F$6</f>
        <v>52</v>
      </c>
      <c r="B4" s="15" t="s">
        <v>36</v>
      </c>
      <c r="C4" s="5">
        <v>0.116225714285713</v>
      </c>
      <c r="D4" s="5">
        <f>-0.00573914285714281</f>
        <v>-5.7391428571428099E-3</v>
      </c>
      <c r="E4" s="5">
        <f>0.0000701428571428567</f>
        <v>7.0142857142856699E-5</v>
      </c>
      <c r="F4" s="7">
        <v>1</v>
      </c>
      <c r="G4" s="7">
        <v>0.92</v>
      </c>
      <c r="H4" s="7">
        <v>1.5</v>
      </c>
      <c r="I4" s="7">
        <v>1</v>
      </c>
      <c r="J4" s="7">
        <v>1</v>
      </c>
      <c r="K4" s="7">
        <f>IF('Import Question'!$F$7="AF",H4,IF('Import Question'!$F$7="AS",calculRISKS!I4,1))</f>
        <v>1</v>
      </c>
      <c r="L4" s="7">
        <v>1</v>
      </c>
      <c r="M4" s="7">
        <v>1</v>
      </c>
      <c r="N4" s="4">
        <v>1</v>
      </c>
      <c r="O4" s="4">
        <f>'Import Question'!L25</f>
        <v>1.2</v>
      </c>
      <c r="P4" s="4">
        <f>'Import Biologie'!F37</f>
        <v>1</v>
      </c>
      <c r="Q4" s="30">
        <f t="shared" si="1"/>
        <v>1.6988714285714218E-2</v>
      </c>
      <c r="R4" s="111">
        <f t="shared" si="2"/>
        <v>7.456571428571368E-3</v>
      </c>
      <c r="S4" s="30">
        <f>(N4*O4*P4*R4)</f>
        <v>8.947885714285642E-3</v>
      </c>
      <c r="T4" s="30">
        <f t="shared" si="0"/>
        <v>7.456571428571368E-3</v>
      </c>
      <c r="U4" s="30">
        <f t="shared" si="3"/>
        <v>1.6988714285714218E-2</v>
      </c>
      <c r="V4" s="111">
        <f>MAX(($N4*$O4*$U4*$L4),S4)</f>
        <v>2.038645714285706E-2</v>
      </c>
      <c r="W4" s="30">
        <f>$N4*$U4*AB10</f>
        <v>2.038645714285706E-2</v>
      </c>
      <c r="Y4" s="15" t="s">
        <v>73</v>
      </c>
      <c r="Z4" s="15">
        <f>IF(SIMULATEUR!$H$4="N",'Import Question'!J19,1)</f>
        <v>1</v>
      </c>
      <c r="AA4" s="15">
        <f>IF(SIMULATEUR!$H$4="N",'Import Question'!K19,1)</f>
        <v>1</v>
      </c>
      <c r="AB4" s="15">
        <f>IF(SIMULATEUR!$H$4="N",'Import Question'!L19,0.7)</f>
        <v>1</v>
      </c>
      <c r="AC4" s="15">
        <f>IF(SIMULATEUR!$H$4="N",'Import Question'!M19,1)</f>
        <v>1</v>
      </c>
      <c r="AD4" s="15">
        <f>IF(SIMULATEUR!$H$4="N",'Import Question'!N19,1)</f>
        <v>1</v>
      </c>
      <c r="AE4" s="15">
        <f>IF(SIMULATEUR!$H$4="N",'Import Question'!O19,1)</f>
        <v>1</v>
      </c>
      <c r="AF4" s="15">
        <f>IF(SIMULATEUR!$H$4="N",'Import Question'!P19,1)</f>
        <v>1</v>
      </c>
      <c r="AG4" s="15">
        <f>IF(SIMULATEUR!$H$4="N",'Import Question'!Q19,1)</f>
        <v>1</v>
      </c>
      <c r="AH4" s="15">
        <f>IF(SIMULATEUR!$H$4="N",'Import Question'!R19,1)</f>
        <v>1</v>
      </c>
      <c r="AI4" s="15">
        <f>IF(SIMULATEUR!$H$4="N",'Import Question'!S19,1)</f>
        <v>1</v>
      </c>
      <c r="AJ4" s="15">
        <f>IF(SIMULATEUR!$H$4="N",'Import Question'!T19,1)</f>
        <v>1</v>
      </c>
      <c r="AK4" s="15">
        <f>IF(SIMULATEUR!$H$4="N",'Import Question'!U19,1)</f>
        <v>1</v>
      </c>
      <c r="AL4" s="15">
        <f>IF(SIMULATEUR!$H$4="N",'Import Question'!V19,0.5)</f>
        <v>1</v>
      </c>
      <c r="AM4" s="15">
        <f>IF(SIMULATEUR!$H$4="N",'Import Question'!W19,0.5)</f>
        <v>1</v>
      </c>
      <c r="AN4" s="15">
        <f>IF(SIMULATEUR!$H$4="N",'Import Question'!X19,0.3)</f>
        <v>1</v>
      </c>
      <c r="AO4" s="318">
        <f>IF(SIMULATEUR!$H$4="N",'Import Question'!Y19,10)</f>
        <v>0.1</v>
      </c>
      <c r="AP4" s="15">
        <f>IF(SIMULATEUR!$H$4="N",'Import Question'!Z19,0.95)</f>
        <v>0.1</v>
      </c>
      <c r="AQ4" s="15">
        <f>IF(SIMULATEUR!$H$4="N",'Import Question'!AA19,0.7)</f>
        <v>1</v>
      </c>
      <c r="AR4" s="15">
        <f>IF(SIMULATEUR!$H$4="N",'Import Question'!AB19,1)</f>
        <v>1</v>
      </c>
      <c r="AS4" s="15">
        <f>IF(SIMULATEUR!$H$4="N",'Import Question'!AC19,1)</f>
        <v>1</v>
      </c>
      <c r="AT4" s="15">
        <f>IF(SIMULATEUR!$H$4="N",'Import Question'!AD19,0.8)</f>
        <v>1</v>
      </c>
      <c r="AU4" s="318">
        <f>IF(SIMULATEUR!$H$4="N",'Import Question'!AE19,10)</f>
        <v>1</v>
      </c>
    </row>
    <row r="5" spans="1:47">
      <c r="A5" s="194">
        <f>'Import Question'!$F$6</f>
        <v>52</v>
      </c>
      <c r="B5" s="15" t="s">
        <v>37</v>
      </c>
      <c r="C5" s="5">
        <v>-0.307999999999999</v>
      </c>
      <c r="D5" s="5">
        <f>0.0126</f>
        <v>1.26E-2</v>
      </c>
      <c r="E5" s="5">
        <f>-0.0000999999999999998</f>
        <v>-9.9999999999999802E-5</v>
      </c>
      <c r="F5" s="7">
        <v>1</v>
      </c>
      <c r="G5" s="7">
        <v>1</v>
      </c>
      <c r="H5" s="7">
        <v>1</v>
      </c>
      <c r="I5" s="7">
        <v>1</v>
      </c>
      <c r="J5" s="7">
        <v>1</v>
      </c>
      <c r="K5" s="7">
        <f>IF('Import Question'!$F$7="AF",H5,IF('Import Question'!$F$7="AS",calculRISKS!I5,1))</f>
        <v>1</v>
      </c>
      <c r="L5" s="110">
        <f>IF('Import Question'!H44="Y",2,1)</f>
        <v>1</v>
      </c>
      <c r="M5" s="7">
        <v>1</v>
      </c>
      <c r="N5" s="4">
        <f>'Import Question'!L$150</f>
        <v>0.9</v>
      </c>
      <c r="O5" s="4">
        <f>'Import Question'!M25</f>
        <v>1.2</v>
      </c>
      <c r="P5" s="4">
        <f>'Import Biologie'!H35</f>
        <v>1</v>
      </c>
      <c r="Q5" s="30">
        <f t="shared" si="1"/>
        <v>8.5300000000001597E-2</v>
      </c>
      <c r="R5" s="111">
        <f t="shared" si="2"/>
        <v>7.6800000000001534E-2</v>
      </c>
      <c r="S5" s="30">
        <f>IF((N5*O5*P5*R5*L5)&gt;1,1,(N5*O5*P5*R5*L5))</f>
        <v>8.2944000000001655E-2</v>
      </c>
      <c r="T5" s="30">
        <f t="shared" si="0"/>
        <v>7.6800000000001534E-2</v>
      </c>
      <c r="U5" s="30">
        <f t="shared" si="3"/>
        <v>8.5300000000001597E-2</v>
      </c>
      <c r="V5" s="111">
        <f>MAX(($N5*$O5*$U5*$L5),S5)</f>
        <v>9.2124000000001732E-2</v>
      </c>
      <c r="W5" s="30">
        <f>$N5*$U5*$L5*P5*AC10</f>
        <v>7.369920000000138E-2</v>
      </c>
      <c r="Y5" s="15" t="s">
        <v>74</v>
      </c>
      <c r="Z5" s="15">
        <f>IF(SIMULATEUR!$H$5="Y",1,'Import Question'!J20)</f>
        <v>1</v>
      </c>
      <c r="AA5" s="15">
        <f>IF(SIMULATEUR!$H$5="Y",1,'Import Question'!K20)</f>
        <v>1</v>
      </c>
      <c r="AB5" s="15">
        <f>IF(SIMULATEUR!$H$5="Y",1,'Import Question'!L20)</f>
        <v>1</v>
      </c>
      <c r="AC5" s="15">
        <f>IF(SIMULATEUR!$H$5="Y",1,'Import Question'!M20)</f>
        <v>1</v>
      </c>
      <c r="AD5" s="15">
        <f>IF(SIMULATEUR!$H$5="Y",1,'Import Question'!N20)</f>
        <v>1</v>
      </c>
      <c r="AE5" s="15">
        <f>IF(SIMULATEUR!$H$5="Y",1,'Import Question'!O20)</f>
        <v>1</v>
      </c>
      <c r="AF5" s="15">
        <f>IF(SIMULATEUR!$H$5="Y",0.8,'Import Question'!P20)</f>
        <v>1</v>
      </c>
      <c r="AG5" s="15">
        <f>IF(SIMULATEUR!$H$5="Y",1,'Import Question'!Q20)</f>
        <v>1</v>
      </c>
      <c r="AH5" s="15">
        <f>IF(SIMULATEUR!$H$5="Y",1,'Import Question'!R20)</f>
        <v>1</v>
      </c>
      <c r="AI5" s="15">
        <f>IF(SIMULATEUR!$H$5="Y",1,'Import Question'!S20)</f>
        <v>1</v>
      </c>
      <c r="AJ5" s="15">
        <f>IF(SIMULATEUR!$H$5="Y",1,'Import Question'!T20)</f>
        <v>1</v>
      </c>
      <c r="AK5" s="15">
        <f>IF(SIMULATEUR!$H$5="Y",1,'Import Question'!U20)</f>
        <v>1</v>
      </c>
      <c r="AL5" s="15">
        <f>IF(SIMULATEUR!$H$5="Y",1,'Import Question'!V20)</f>
        <v>1</v>
      </c>
      <c r="AM5" s="15">
        <f>IF(SIMULATEUR!$H$5="Y",1,'Import Question'!W20)</f>
        <v>1</v>
      </c>
      <c r="AN5" s="15">
        <f>IF(SIMULATEUR!$H$5="Y",1,'Import Question'!X20)</f>
        <v>1</v>
      </c>
      <c r="AO5" s="15">
        <f>IF(SIMULATEUR!$H$5="Y",1,'Import Question'!Y20)</f>
        <v>1</v>
      </c>
      <c r="AP5" s="15">
        <f>IF(SIMULATEUR!$H$5="N",'Import Question'!Z20,0.95)</f>
        <v>1</v>
      </c>
      <c r="AQ5" s="15">
        <f>IF(SIMULATEUR!$H$5="Y",1,'Import Question'!AA20)</f>
        <v>1</v>
      </c>
      <c r="AR5" s="15">
        <f>IF(SIMULATEUR!$H$5="Y",1,'Import Question'!AB20)</f>
        <v>1</v>
      </c>
      <c r="AS5" s="15">
        <f>IF(SIMULATEUR!$H$5="Y",1,'Import Question'!AC20)</f>
        <v>1</v>
      </c>
      <c r="AT5" s="15">
        <f>IF(SIMULATEUR!$H$5="Y",1,'Import Question'!AD20)</f>
        <v>1</v>
      </c>
      <c r="AU5" s="15">
        <f>IF(SIMULATEUR!$H$5="Y",1,'Import Question'!AE20)</f>
        <v>1</v>
      </c>
    </row>
    <row r="6" spans="1:47">
      <c r="A6" s="194">
        <f>'Import Question'!$F$6</f>
        <v>52</v>
      </c>
      <c r="B6" s="15" t="s">
        <v>38</v>
      </c>
      <c r="C6" s="5">
        <v>-1.38542857142852E-2</v>
      </c>
      <c r="D6" s="5">
        <f>0.0000558571428571242</f>
        <v>5.5857142857124199E-5</v>
      </c>
      <c r="E6" s="5">
        <f>0.0000066428571428573</f>
        <v>6.6428571428573E-6</v>
      </c>
      <c r="F6" s="7">
        <v>1</v>
      </c>
      <c r="G6" s="7">
        <v>3</v>
      </c>
      <c r="H6" s="7">
        <v>0.5</v>
      </c>
      <c r="I6" s="7">
        <v>0.8</v>
      </c>
      <c r="J6" s="7">
        <v>1</v>
      </c>
      <c r="K6" s="7">
        <f>IF('Import Question'!$F$7="AF",H6,IF('Import Question'!$F$7="AS",calculRISKS!I6,1))</f>
        <v>0.8</v>
      </c>
      <c r="L6" s="7">
        <v>1</v>
      </c>
      <c r="M6" s="7">
        <v>1</v>
      </c>
      <c r="N6" s="4">
        <v>1</v>
      </c>
      <c r="O6" s="4">
        <f>'Import Question'!N25</f>
        <v>1</v>
      </c>
      <c r="P6" s="4">
        <f>IF('Import Biologie'!H14&lt;30,1.2,0.6)</f>
        <v>0.6</v>
      </c>
      <c r="Q6" s="30">
        <f t="shared" si="1"/>
        <v>8.7297714285713996E-3</v>
      </c>
      <c r="R6" s="111">
        <f t="shared" si="2"/>
        <v>5.6100571428571184E-3</v>
      </c>
      <c r="S6" s="30">
        <f>N6*O6*P6*R6*L6*M6</f>
        <v>3.3660342857142708E-3</v>
      </c>
      <c r="T6" s="30">
        <f t="shared" si="0"/>
        <v>5.6100571428571184E-3</v>
      </c>
      <c r="U6" s="30">
        <f t="shared" si="3"/>
        <v>8.7297714285713996E-3</v>
      </c>
      <c r="V6" s="111">
        <f>MAX(($N6*$O6*$U6*$L6*P6),S6)</f>
        <v>5.2378628571428396E-3</v>
      </c>
      <c r="W6" s="30">
        <f>$N6*$U6*AD10*P6</f>
        <v>4.1902902857142718E-3</v>
      </c>
      <c r="Y6" s="15" t="s">
        <v>75</v>
      </c>
      <c r="Z6" s="15">
        <f>IF(SIMULATEUR!$H$6="N",'Import Question'!J21,0.8)</f>
        <v>0.8</v>
      </c>
      <c r="AA6" s="15">
        <f>IF(SIMULATEUR!$H$6="N",'Import Question'!K21,0.8)</f>
        <v>0.8</v>
      </c>
      <c r="AB6" s="15">
        <f>IF(SIMULATEUR!$H$6="N",'Import Question'!L21,0.8)</f>
        <v>1</v>
      </c>
      <c r="AC6" s="15">
        <f>IF(SIMULATEUR!$H$6="N",'Import Question'!M21,1)</f>
        <v>0.8</v>
      </c>
      <c r="AD6" s="15">
        <f>IF(SIMULATEUR!$H$6="N",'Import Question'!N21,0.8)</f>
        <v>0.8</v>
      </c>
      <c r="AE6" s="15">
        <f>IF(SIMULATEUR!$H$6="N",'Import Question'!O21,0.8)</f>
        <v>0.8</v>
      </c>
      <c r="AF6" s="15">
        <f>IF(SIMULATEUR!$H$6="N",'Import Question'!P21,0.9)</f>
        <v>0.8</v>
      </c>
      <c r="AG6" s="15">
        <f>IF(SIMULATEUR!$H$6="N",'Import Question'!Q21,1)</f>
        <v>1</v>
      </c>
      <c r="AH6" s="15">
        <f>IF(SIMULATEUR!$H$6="N",'Import Question'!R21,0.9)</f>
        <v>1</v>
      </c>
      <c r="AI6" s="15">
        <f>IF(SIMULATEUR!$H$6="N",'Import Question'!S21,0.7)</f>
        <v>0.8</v>
      </c>
      <c r="AJ6" s="15">
        <f>IF(SIMULATEUR!$H$6="N",'Import Question'!T21,0.7)</f>
        <v>0.8</v>
      </c>
      <c r="AK6" s="15">
        <f>IF(SIMULATEUR!$H$6="N",'Import Question'!U21,0.9)</f>
        <v>0.8</v>
      </c>
      <c r="AL6" s="15">
        <f>IF(SIMULATEUR!$H$6="N",'Import Question'!V21,0.8)</f>
        <v>0.8</v>
      </c>
      <c r="AM6" s="15">
        <f>IF(SIMULATEUR!$H$6="N",'Import Question'!W21,0.5)</f>
        <v>0.8</v>
      </c>
      <c r="AN6" s="15">
        <f>IF(SIMULATEUR!$H$6="N",'Import Question'!X21,0.5)</f>
        <v>0.8</v>
      </c>
      <c r="AO6" s="15">
        <f>IF(SIMULATEUR!$H$6="N",'Import Question'!Y21,1)</f>
        <v>1</v>
      </c>
      <c r="AP6" s="15">
        <f>IF(SIMULATEUR!$H$6="N",'Import Question'!Z21,1)</f>
        <v>1</v>
      </c>
      <c r="AQ6" s="15">
        <f>IF(SIMULATEUR!$H$6="N",'Import Question'!AA21,1)</f>
        <v>1</v>
      </c>
      <c r="AR6" s="15">
        <f>IF(SIMULATEUR!$H$6="N",'Import Question'!AB21,1)</f>
        <v>1</v>
      </c>
      <c r="AS6" s="15">
        <f>IF(SIMULATEUR!$H$6="N",'Import Question'!AC21,0.8)</f>
        <v>0.8</v>
      </c>
      <c r="AT6" s="15">
        <f>IF(SIMULATEUR!$H$6="N",'Import Question'!AD21,1)</f>
        <v>1</v>
      </c>
      <c r="AU6" s="15">
        <f>IF(SIMULATEUR!$H$6="N",'Import Question'!AE21,1)</f>
        <v>1</v>
      </c>
    </row>
    <row r="7" spans="1:47">
      <c r="A7" s="194">
        <f>'Import Question'!$F$6</f>
        <v>52</v>
      </c>
      <c r="B7" s="199" t="s">
        <v>39</v>
      </c>
      <c r="C7" s="5">
        <v>6.5546184602425797E-2</v>
      </c>
      <c r="D7" s="5">
        <f>-0.00279089539624784</f>
        <v>-2.7908953962478399E-3</v>
      </c>
      <c r="E7" s="5">
        <f>0.000030133820973974</f>
        <v>3.0133820973974001E-5</v>
      </c>
      <c r="F7" s="7">
        <v>1</v>
      </c>
      <c r="G7" s="7">
        <v>1</v>
      </c>
      <c r="H7" s="7">
        <v>1</v>
      </c>
      <c r="I7" s="7">
        <v>1</v>
      </c>
      <c r="J7" s="7">
        <v>1</v>
      </c>
      <c r="K7" s="7">
        <f>IF('Import Question'!$F$7="AF",H7,IF('Import Question'!$F$7="AS",calculRISKS!I7,1))</f>
        <v>1</v>
      </c>
      <c r="L7" s="110">
        <f>IF('Import Question'!H17="Y",0,1)</f>
        <v>1</v>
      </c>
      <c r="M7" s="7">
        <f>IF('Import Question'!H74="Y",0.8,1)</f>
        <v>0.8</v>
      </c>
      <c r="N7" s="4">
        <f>'Import Question'!M$150</f>
        <v>0.9</v>
      </c>
      <c r="O7" s="4">
        <f>'Import Question'!O25</f>
        <v>1</v>
      </c>
      <c r="P7" s="4">
        <v>1</v>
      </c>
      <c r="Q7" s="30">
        <f t="shared" si="1"/>
        <v>4.369931360740445E-3</v>
      </c>
      <c r="R7" s="111">
        <f t="shared" si="2"/>
        <v>1.9014759111638108E-3</v>
      </c>
      <c r="S7" s="111">
        <f>MAX((N7*O7*P7*R7),(IF(L7=0,1,0)))</f>
        <v>1.7113283200474298E-3</v>
      </c>
      <c r="T7" s="30">
        <f t="shared" si="0"/>
        <v>1.9014759111638108E-3</v>
      </c>
      <c r="U7" s="30">
        <f t="shared" si="3"/>
        <v>4.369931360740445E-3</v>
      </c>
      <c r="V7" s="111">
        <f>MAX(($N7*$O7*$U7*$L7),S7)</f>
        <v>3.9329382246664005E-3</v>
      </c>
      <c r="W7" s="111">
        <f>IF(L7=0,1,($N7*$U7*AE10))</f>
        <v>3.1463505797331205E-3</v>
      </c>
      <c r="Y7" s="15" t="s">
        <v>76</v>
      </c>
      <c r="Z7" s="15">
        <f>IF(SIMULATEUR!$H$7="N",'Import Question'!J22,0.8)</f>
        <v>1.2</v>
      </c>
      <c r="AA7" s="15">
        <f>IF(SIMULATEUR!$H$7="N",'Import Question'!K$22,0.8)</f>
        <v>1.2</v>
      </c>
      <c r="AB7" s="15">
        <f>IF(SIMULATEUR!$H$7="N",'Import Question'!L$22,0.8)</f>
        <v>1.2</v>
      </c>
      <c r="AC7" s="15">
        <f>IF(SIMULATEUR!$H$7="N",'Import Question'!M$22,0.8)</f>
        <v>1.2</v>
      </c>
      <c r="AD7" s="15">
        <f>IF(SIMULATEUR!$H$7="N",'Import Question'!N$22,0.8)</f>
        <v>1</v>
      </c>
      <c r="AE7" s="15">
        <f>IF(SIMULATEUR!$H$7="N",'Import Question'!O$22,0.8)</f>
        <v>1</v>
      </c>
      <c r="AF7" s="15">
        <f>IF(SIMULATEUR!$H$7="N",'Import Question'!P$22,0.8)</f>
        <v>1</v>
      </c>
      <c r="AG7" s="15">
        <f>IF(SIMULATEUR!$H$7="N",'Import Question'!Q$22,0.8)</f>
        <v>1</v>
      </c>
      <c r="AH7" s="15">
        <f>IF(SIMULATEUR!$H$7="N",'Import Question'!R$22,0.8)</f>
        <v>1</v>
      </c>
      <c r="AI7" s="15">
        <f>IF(SIMULATEUR!$H$7="N",'Import Question'!S$22,0.8)</f>
        <v>1</v>
      </c>
      <c r="AJ7" s="15">
        <f>IF(SIMULATEUR!$H$7="N",'Import Question'!T$22,0.8)</f>
        <v>1</v>
      </c>
      <c r="AK7" s="15">
        <f>IF(SIMULATEUR!$H$7="N",'Import Question'!U$22,0.8)</f>
        <v>1</v>
      </c>
      <c r="AL7" s="15">
        <f>IF(SIMULATEUR!$H$7="N",'Import Question'!V$22,0.8)</f>
        <v>1</v>
      </c>
      <c r="AM7" s="15">
        <f>IF(SIMULATEUR!$H$7="N",'Import Question'!W$22,0.8)</f>
        <v>1</v>
      </c>
      <c r="AN7" s="15">
        <f>IF(SIMULATEUR!$H$7="N",'Import Question'!X$22,0.8)</f>
        <v>1</v>
      </c>
      <c r="AO7" s="15">
        <f>IF(SIMULATEUR!$H$7="N",'Import Question'!Y$22,1)</f>
        <v>1</v>
      </c>
      <c r="AP7" s="15">
        <f>IF(SIMULATEUR!$H$7="N",'Import Question'!Z$22,1)</f>
        <v>1</v>
      </c>
      <c r="AQ7" s="15">
        <f>IF(SIMULATEUR!$H$7="N",'Import Question'!AA$22,0.8)</f>
        <v>1</v>
      </c>
      <c r="AR7" s="15">
        <f>IF(SIMULATEUR!$H$7="N",'Import Question'!AB$22,1)</f>
        <v>1</v>
      </c>
      <c r="AS7" s="15">
        <f>IF(SIMULATEUR!$H$7="N",'Import Question'!AC$22,0.8)</f>
        <v>1</v>
      </c>
      <c r="AT7" s="15">
        <f>IF(SIMULATEUR!$H$7="N",'Import Question'!AD$22,1)</f>
        <v>1</v>
      </c>
      <c r="AU7" s="15">
        <f>IF(SIMULATEUR!$H$7="N",'Import Question'!AE$22,1)</f>
        <v>1</v>
      </c>
    </row>
    <row r="8" spans="1:47">
      <c r="A8" s="194">
        <f>'Import Question'!$F$6</f>
        <v>52</v>
      </c>
      <c r="B8" s="200" t="s">
        <v>80</v>
      </c>
      <c r="C8" s="5">
        <v>0.22885714285714301</v>
      </c>
      <c r="D8" s="5">
        <f>0.000428571428571423</f>
        <v>4.2857142857142302E-4</v>
      </c>
      <c r="E8" s="5">
        <v>-2.85714285714285E-5</v>
      </c>
      <c r="F8" s="7">
        <v>1</v>
      </c>
      <c r="G8" s="7">
        <v>0.8</v>
      </c>
      <c r="H8" s="7">
        <v>1</v>
      </c>
      <c r="I8" s="7">
        <v>1</v>
      </c>
      <c r="J8" s="7">
        <v>1</v>
      </c>
      <c r="K8" s="7">
        <f>IF('Import Question'!$F$7="AF",H8,IF('Import Question'!$F$7="AS",calculRISKS!I8,1))</f>
        <v>1</v>
      </c>
      <c r="L8" s="7">
        <v>1</v>
      </c>
      <c r="M8" s="7">
        <v>1</v>
      </c>
      <c r="N8" s="4">
        <v>1</v>
      </c>
      <c r="O8" s="4">
        <f>'Import Question'!P25</f>
        <v>1</v>
      </c>
      <c r="P8" s="27">
        <f>(1+((2.73877-0.7)/(1+10^(3.76923-'Import Biologie'!H30))))</f>
        <v>1.0045815687293014</v>
      </c>
      <c r="Q8" s="30">
        <f t="shared" si="1"/>
        <v>0.16045714285714291</v>
      </c>
      <c r="R8" s="111">
        <f t="shared" si="2"/>
        <v>0.17388571428571434</v>
      </c>
      <c r="S8" s="30">
        <f>N8*O8*P8*R8*L8</f>
        <v>0.174682383636758</v>
      </c>
      <c r="T8" s="30">
        <f t="shared" ref="T8:T22" si="4">($C8+($D8*$A8)+(($E8*($A8*$A8))))*$J8*$K8</f>
        <v>0.17388571428571434</v>
      </c>
      <c r="U8" s="30">
        <f t="shared" si="3"/>
        <v>0.17388571428571434</v>
      </c>
      <c r="V8" s="111">
        <f>MAX(($N8*$O8*$U8*$L8*P8),S8)</f>
        <v>0.174682383636758</v>
      </c>
      <c r="W8" s="30">
        <f>$N8*$U8*AF10</f>
        <v>0.13910857142857147</v>
      </c>
      <c r="Y8" s="15" t="s">
        <v>78</v>
      </c>
      <c r="Z8" s="15">
        <f>'Import Question'!J23</f>
        <v>1</v>
      </c>
      <c r="AA8" s="15">
        <f>'Import Question'!K23</f>
        <v>1</v>
      </c>
      <c r="AB8" s="15">
        <f>'Import Question'!L23</f>
        <v>1</v>
      </c>
      <c r="AC8" s="15">
        <f>'Import Question'!M23</f>
        <v>1</v>
      </c>
      <c r="AD8" s="15">
        <f>IF(SIMULATEUR!$H$8="N",'Import Question'!N$23,0.8)</f>
        <v>1</v>
      </c>
      <c r="AE8" s="15">
        <f>'Import Question'!O23</f>
        <v>1</v>
      </c>
      <c r="AF8" s="15">
        <f>'Import Question'!P23</f>
        <v>1</v>
      </c>
      <c r="AG8" s="15">
        <f>'Import Question'!Q23</f>
        <v>1</v>
      </c>
      <c r="AH8" s="15">
        <f>'Import Question'!R23</f>
        <v>1</v>
      </c>
      <c r="AI8" s="15">
        <f>'Import Question'!S23</f>
        <v>1</v>
      </c>
      <c r="AJ8" s="15">
        <f>'Import Question'!T23</f>
        <v>1</v>
      </c>
      <c r="AK8" s="15">
        <f>'Import Question'!U23</f>
        <v>1</v>
      </c>
      <c r="AL8" s="15">
        <f>'Import Question'!V23</f>
        <v>1</v>
      </c>
      <c r="AM8" s="15">
        <f>'Import Question'!W23</f>
        <v>1</v>
      </c>
      <c r="AN8" s="15">
        <f>'Import Question'!X23</f>
        <v>1</v>
      </c>
      <c r="AO8" s="15">
        <f>'Import Question'!Y23</f>
        <v>1</v>
      </c>
      <c r="AP8" s="15">
        <f>'Import Question'!Z23</f>
        <v>1</v>
      </c>
      <c r="AQ8" s="24">
        <f>'Import Question'!AA23</f>
        <v>1</v>
      </c>
      <c r="AR8" s="24">
        <f>'Import Question'!AB23</f>
        <v>1</v>
      </c>
      <c r="AS8" s="24">
        <f>'Import Question'!AC23</f>
        <v>1</v>
      </c>
      <c r="AT8" s="24">
        <f>'Import Question'!AD23</f>
        <v>1</v>
      </c>
      <c r="AU8" s="24">
        <f>'Import Question'!AE23</f>
        <v>1</v>
      </c>
    </row>
    <row r="9" spans="1:47">
      <c r="A9" s="194">
        <f>'Import Question'!$F$6</f>
        <v>52</v>
      </c>
      <c r="B9" s="15" t="s">
        <v>41</v>
      </c>
      <c r="C9" s="5">
        <f>-0.06</f>
        <v>-0.06</v>
      </c>
      <c r="D9" s="5">
        <f>0.002</f>
        <v>2E-3</v>
      </c>
      <c r="E9" s="5"/>
      <c r="F9" s="7">
        <v>1</v>
      </c>
      <c r="G9" s="7">
        <v>2</v>
      </c>
      <c r="H9" s="7">
        <v>1</v>
      </c>
      <c r="I9" s="7">
        <v>1</v>
      </c>
      <c r="J9" s="7">
        <v>1</v>
      </c>
      <c r="K9" s="7">
        <f>IF('Import Question'!$F$7="AF",H9,IF('Import Question'!$F$7="AS",calculRISKS!I9,1))</f>
        <v>1</v>
      </c>
      <c r="L9" s="7">
        <v>1</v>
      </c>
      <c r="M9" s="7">
        <v>1</v>
      </c>
      <c r="N9" s="4">
        <v>1</v>
      </c>
      <c r="O9" s="4">
        <v>1</v>
      </c>
      <c r="P9" s="110">
        <f>IF('Import Biologie'!H28&gt;10,2,(IF('Import Biologie'!H28=0,1,0)))</f>
        <v>0</v>
      </c>
      <c r="Q9" s="30">
        <f t="shared" si="1"/>
        <v>5.4000000000000006E-2</v>
      </c>
      <c r="R9" s="111">
        <f t="shared" si="2"/>
        <v>4.4000000000000011E-2</v>
      </c>
      <c r="S9" s="30">
        <f>N9*O9*P9*R9*L9</f>
        <v>0</v>
      </c>
      <c r="T9" s="30">
        <f t="shared" si="4"/>
        <v>4.4000000000000011E-2</v>
      </c>
      <c r="U9" s="30">
        <f t="shared" si="3"/>
        <v>5.4000000000000006E-2</v>
      </c>
      <c r="V9" s="111">
        <f>(MAX(($N9*$O9*$U9*$L9),S9))</f>
        <v>5.4000000000000006E-2</v>
      </c>
      <c r="W9" s="30">
        <f>$N9*$U9*AG10</f>
        <v>5.4000000000000006E-2</v>
      </c>
      <c r="Y9" s="15" t="s">
        <v>106</v>
      </c>
      <c r="Z9" s="15">
        <f>'Import Question'!J24</f>
        <v>1</v>
      </c>
      <c r="AA9" s="15">
        <f>'Import Question'!K24</f>
        <v>1</v>
      </c>
      <c r="AB9" s="15">
        <f>'Import Question'!L24</f>
        <v>1</v>
      </c>
      <c r="AC9" s="15">
        <f>'Import Question'!M24</f>
        <v>1</v>
      </c>
      <c r="AD9" s="15">
        <f>'Import Question'!N24</f>
        <v>1</v>
      </c>
      <c r="AE9" s="15">
        <f>'Import Question'!O24</f>
        <v>1</v>
      </c>
      <c r="AF9" s="15">
        <f>'Import Question'!P24</f>
        <v>1</v>
      </c>
      <c r="AG9" s="15">
        <f>'Import Question'!Q24</f>
        <v>1</v>
      </c>
      <c r="AH9" s="15">
        <f>'Import Question'!R24</f>
        <v>1</v>
      </c>
      <c r="AI9" s="15">
        <f>'Import Question'!S24</f>
        <v>1</v>
      </c>
      <c r="AJ9" s="15">
        <f>'Import Question'!T24</f>
        <v>1</v>
      </c>
      <c r="AK9" s="15">
        <f>'Import Question'!U24</f>
        <v>1</v>
      </c>
      <c r="AL9" s="15">
        <f>'Import Question'!V24</f>
        <v>1</v>
      </c>
      <c r="AM9" s="15">
        <f>'Import Question'!W24</f>
        <v>1</v>
      </c>
      <c r="AN9" s="15">
        <f>'Import Question'!X24</f>
        <v>1</v>
      </c>
      <c r="AO9" s="15">
        <f>'Import Question'!Y24</f>
        <v>1</v>
      </c>
      <c r="AP9" s="15">
        <f>'Import Question'!Z24</f>
        <v>1</v>
      </c>
      <c r="AQ9" s="15">
        <f>'Import Question'!AA24</f>
        <v>1</v>
      </c>
      <c r="AR9" s="15">
        <f>'Import Question'!AB24</f>
        <v>1</v>
      </c>
      <c r="AS9" s="15">
        <f>'Import Question'!AC24</f>
        <v>1</v>
      </c>
      <c r="AT9" s="15">
        <f>'Import Question'!AD24</f>
        <v>1</v>
      </c>
      <c r="AU9" s="15">
        <f>'Import Question'!AE24</f>
        <v>1</v>
      </c>
    </row>
    <row r="10" spans="1:47">
      <c r="A10" s="194">
        <f>'Import Question'!$F$6</f>
        <v>52</v>
      </c>
      <c r="B10" s="200" t="s">
        <v>42</v>
      </c>
      <c r="C10" s="6">
        <v>-0.4</v>
      </c>
      <c r="D10" s="6">
        <v>0.01</v>
      </c>
      <c r="E10" s="6"/>
      <c r="F10" s="7">
        <v>1</v>
      </c>
      <c r="G10" s="7">
        <v>0.8</v>
      </c>
      <c r="H10" s="7">
        <v>1</v>
      </c>
      <c r="I10" s="7">
        <v>1</v>
      </c>
      <c r="J10" s="7">
        <v>1</v>
      </c>
      <c r="K10" s="7">
        <f>IF('Import Question'!$F$7="AF",H10,IF('Import Question'!$F$7="AS",calculRISKS!I10,1))</f>
        <v>1</v>
      </c>
      <c r="L10" s="110">
        <f>IF('Import Question'!F98="Y",0,1)</f>
        <v>1</v>
      </c>
      <c r="M10" s="7">
        <v>1</v>
      </c>
      <c r="N10" s="4">
        <f>'Import Question'!N$150</f>
        <v>0.9</v>
      </c>
      <c r="O10" s="12">
        <f>'Import Question'!R25</f>
        <v>1</v>
      </c>
      <c r="P10" s="12">
        <f>'Import Biologie'!H33</f>
        <v>1.2</v>
      </c>
      <c r="Q10" s="30">
        <f t="shared" si="1"/>
        <v>0.17000000000000004</v>
      </c>
      <c r="R10" s="111">
        <f t="shared" si="2"/>
        <v>0.12</v>
      </c>
      <c r="S10" s="111">
        <f>MAX((N10*O10*P10*R10),IF(L10=0,1,0))</f>
        <v>0.12959999999999999</v>
      </c>
      <c r="T10" s="30">
        <f t="shared" si="4"/>
        <v>0.12</v>
      </c>
      <c r="U10" s="30">
        <f t="shared" si="3"/>
        <v>0.17000000000000004</v>
      </c>
      <c r="V10" s="111">
        <f>MAX(($N10*$O10*$U10*$L10),S10)</f>
        <v>0.15300000000000005</v>
      </c>
      <c r="W10" s="111">
        <f>IF(L10=0,1,($N10*$U10*AH10))</f>
        <v>0.15300000000000005</v>
      </c>
      <c r="Y10" s="35" t="s">
        <v>825</v>
      </c>
      <c r="Z10" s="35">
        <f>Z3*Z4*Z5*Z6*Z7*Z8*Z9</f>
        <v>0.96</v>
      </c>
      <c r="AA10" s="35">
        <f t="shared" ref="AA10:AT10" si="5">AA3*AA4*AA5*AA6*AA7*AA8*AA9</f>
        <v>0.96</v>
      </c>
      <c r="AB10" s="35">
        <f t="shared" si="5"/>
        <v>1.2</v>
      </c>
      <c r="AC10" s="35">
        <f t="shared" si="5"/>
        <v>0.96</v>
      </c>
      <c r="AD10" s="35">
        <f t="shared" si="5"/>
        <v>0.8</v>
      </c>
      <c r="AE10" s="35">
        <f t="shared" si="5"/>
        <v>0.8</v>
      </c>
      <c r="AF10" s="35">
        <f t="shared" si="5"/>
        <v>0.8</v>
      </c>
      <c r="AG10" s="35">
        <f t="shared" si="5"/>
        <v>1</v>
      </c>
      <c r="AH10" s="35">
        <f t="shared" si="5"/>
        <v>1</v>
      </c>
      <c r="AI10" s="35">
        <f t="shared" si="5"/>
        <v>0.8</v>
      </c>
      <c r="AJ10" s="35">
        <f t="shared" si="5"/>
        <v>0.8</v>
      </c>
      <c r="AK10" s="35">
        <f t="shared" si="5"/>
        <v>0.8</v>
      </c>
      <c r="AL10" s="35">
        <f t="shared" si="5"/>
        <v>0.8</v>
      </c>
      <c r="AM10" s="35">
        <f t="shared" si="5"/>
        <v>0.8</v>
      </c>
      <c r="AN10" s="35">
        <f t="shared" si="5"/>
        <v>0.8</v>
      </c>
      <c r="AO10" s="35">
        <f t="shared" si="5"/>
        <v>0.1</v>
      </c>
      <c r="AP10" s="35">
        <f t="shared" si="5"/>
        <v>0.1</v>
      </c>
      <c r="AQ10" s="35">
        <f t="shared" si="5"/>
        <v>1</v>
      </c>
      <c r="AR10" s="35">
        <f t="shared" si="5"/>
        <v>1</v>
      </c>
      <c r="AS10" s="35">
        <f t="shared" si="5"/>
        <v>0.8</v>
      </c>
      <c r="AT10" s="35">
        <f t="shared" si="5"/>
        <v>1</v>
      </c>
      <c r="AU10" s="35">
        <f t="shared" ref="AU10" si="6">AU3*AU4*AU5*AU6*AU7*AU8*AU9</f>
        <v>1</v>
      </c>
    </row>
    <row r="11" spans="1:47">
      <c r="A11" s="194">
        <f>'Import Question'!$F$6</f>
        <v>52</v>
      </c>
      <c r="B11" s="15" t="s">
        <v>43</v>
      </c>
      <c r="C11" s="6">
        <v>-3.6142857142856602E-2</v>
      </c>
      <c r="D11" s="6">
        <f>0.00117857142857141</f>
        <v>1.1785714285714099E-3</v>
      </c>
      <c r="E11" s="6">
        <f>-3.57142857142841E-06</f>
        <v>-3.57142857142841E-6</v>
      </c>
      <c r="F11" s="7">
        <v>1</v>
      </c>
      <c r="G11" s="7">
        <v>0.94</v>
      </c>
      <c r="H11" s="7">
        <v>1.3</v>
      </c>
      <c r="I11" s="7">
        <v>1</v>
      </c>
      <c r="J11" s="7">
        <v>1</v>
      </c>
      <c r="K11" s="7">
        <f>IF('Import Question'!$F$7="AF",H11,IF('Import Question'!$F$7="AS",calculRISKS!I11,1))</f>
        <v>1</v>
      </c>
      <c r="L11" s="110">
        <f>IF('Import Question'!F95="Y",0,1)</f>
        <v>1</v>
      </c>
      <c r="M11" s="7">
        <v>1</v>
      </c>
      <c r="N11" s="4">
        <f>'Import Question'!O$150</f>
        <v>0.9</v>
      </c>
      <c r="O11" s="4">
        <f>'Import Question'!S25</f>
        <v>1</v>
      </c>
      <c r="P11" s="12">
        <f>'Import Biologie'!H34</f>
        <v>0</v>
      </c>
      <c r="Q11" s="30">
        <f t="shared" si="1"/>
        <v>1.943214285714286E-2</v>
      </c>
      <c r="R11" s="111">
        <f t="shared" si="2"/>
        <v>1.5485714285714297E-2</v>
      </c>
      <c r="S11" s="111">
        <f>MAX((N11*O11*P11*R11),(IF(L11=0,1,0)))</f>
        <v>0</v>
      </c>
      <c r="T11" s="30">
        <f t="shared" si="4"/>
        <v>1.5485714285714297E-2</v>
      </c>
      <c r="U11" s="30">
        <f t="shared" si="3"/>
        <v>1.943214285714286E-2</v>
      </c>
      <c r="V11" s="111">
        <f>MAX(($N11*$O11*$U11*$L11),S11)</f>
        <v>1.7488928571428575E-2</v>
      </c>
      <c r="W11" s="111">
        <f>IF($L11=0,1,($N11*$U11*AI10*$P11))</f>
        <v>0</v>
      </c>
    </row>
    <row r="12" spans="1:47">
      <c r="A12" s="194">
        <f>'Import Question'!$F$6</f>
        <v>52</v>
      </c>
      <c r="B12" s="15" t="s">
        <v>44</v>
      </c>
      <c r="C12" s="6">
        <v>-7.0714285714284397E-2</v>
      </c>
      <c r="D12" s="6">
        <f>0.0048928571428571</f>
        <v>4.8928571428570999E-3</v>
      </c>
      <c r="E12" s="6">
        <f>-0.0000178571428571425</f>
        <v>-1.7857142857142499E-5</v>
      </c>
      <c r="F12" s="7">
        <v>1</v>
      </c>
      <c r="G12" s="7">
        <v>1</v>
      </c>
      <c r="H12" s="7">
        <v>1.5</v>
      </c>
      <c r="I12" s="7">
        <v>1</v>
      </c>
      <c r="J12" s="7">
        <v>1</v>
      </c>
      <c r="K12" s="7">
        <f>IF('Import Question'!$F$7="AF",H12,IF('Import Question'!$F$7="AS",calculRISKS!I12,1))</f>
        <v>1</v>
      </c>
      <c r="L12" s="4">
        <v>1</v>
      </c>
      <c r="M12" s="7">
        <v>1</v>
      </c>
      <c r="N12" s="4">
        <v>1</v>
      </c>
      <c r="O12" s="4">
        <f>'Import Question'!T25</f>
        <v>1</v>
      </c>
      <c r="P12" s="12">
        <f>IF('Import Biologie'!H38&lt;3,0.5,(IF('Import Biologie'!H38&gt;4,2,1.5)))</f>
        <v>0.5</v>
      </c>
      <c r="Q12" s="30">
        <f t="shared" si="1"/>
        <v>0.15016071428571429</v>
      </c>
      <c r="R12" s="111">
        <f t="shared" si="2"/>
        <v>0.13542857142857145</v>
      </c>
      <c r="S12" s="30">
        <f t="shared" ref="S12" si="7">N12*O12*P12*R12*L12</f>
        <v>6.7714285714285727E-2</v>
      </c>
      <c r="T12" s="30">
        <f t="shared" si="4"/>
        <v>0.13542857142857145</v>
      </c>
      <c r="U12" s="30">
        <f t="shared" si="3"/>
        <v>0.15016071428571429</v>
      </c>
      <c r="V12" s="111">
        <f>MAX(($N12*$O12*$U12*$L12*P12),S12)</f>
        <v>7.5080357142857143E-2</v>
      </c>
      <c r="W12" s="30">
        <f>MIN($N12*$U12*P12*AJ10,V12)</f>
        <v>6.0064285714285716E-2</v>
      </c>
      <c r="Y12" s="8" t="s">
        <v>127</v>
      </c>
      <c r="Z12" s="8">
        <f>Z20</f>
        <v>0.96</v>
      </c>
      <c r="AA12" s="8">
        <f t="shared" ref="AA12:AU12" si="8">AA20</f>
        <v>0.96</v>
      </c>
      <c r="AB12" s="8">
        <f t="shared" si="8"/>
        <v>1.2</v>
      </c>
      <c r="AC12" s="8">
        <f t="shared" si="8"/>
        <v>0.96</v>
      </c>
      <c r="AD12" s="8">
        <f t="shared" si="8"/>
        <v>0.8</v>
      </c>
      <c r="AE12" s="8">
        <f t="shared" si="8"/>
        <v>0.8</v>
      </c>
      <c r="AF12" s="8">
        <f t="shared" si="8"/>
        <v>0.8</v>
      </c>
      <c r="AG12" s="8">
        <f t="shared" si="8"/>
        <v>1</v>
      </c>
      <c r="AH12" s="8">
        <f t="shared" si="8"/>
        <v>1</v>
      </c>
      <c r="AI12" s="8">
        <f t="shared" si="8"/>
        <v>0.8</v>
      </c>
      <c r="AJ12" s="8">
        <f t="shared" si="8"/>
        <v>0.8</v>
      </c>
      <c r="AK12" s="8">
        <f t="shared" si="8"/>
        <v>0.8</v>
      </c>
      <c r="AL12" s="8">
        <f t="shared" si="8"/>
        <v>0.8</v>
      </c>
      <c r="AM12" s="8">
        <f t="shared" si="8"/>
        <v>0.8</v>
      </c>
      <c r="AN12" s="8">
        <f t="shared" si="8"/>
        <v>0.8</v>
      </c>
      <c r="AO12" s="8">
        <f t="shared" si="8"/>
        <v>0.1</v>
      </c>
      <c r="AP12" s="8">
        <f t="shared" si="8"/>
        <v>0.1</v>
      </c>
      <c r="AQ12" s="8">
        <f t="shared" si="8"/>
        <v>1</v>
      </c>
      <c r="AR12" s="8">
        <f t="shared" si="8"/>
        <v>1</v>
      </c>
      <c r="AS12" s="8">
        <f t="shared" si="8"/>
        <v>0.8</v>
      </c>
      <c r="AT12" s="8">
        <f t="shared" si="8"/>
        <v>1</v>
      </c>
      <c r="AU12" s="8">
        <f t="shared" si="8"/>
        <v>1</v>
      </c>
    </row>
    <row r="13" spans="1:47">
      <c r="A13" s="194">
        <f>'Import Question'!$F$6</f>
        <v>52</v>
      </c>
      <c r="B13" s="15" t="s">
        <v>45</v>
      </c>
      <c r="C13" s="5">
        <v>0.02</v>
      </c>
      <c r="D13" s="5"/>
      <c r="E13" s="5"/>
      <c r="F13" s="7">
        <v>1</v>
      </c>
      <c r="G13" s="7">
        <v>1.2</v>
      </c>
      <c r="H13" s="7">
        <v>1</v>
      </c>
      <c r="I13" s="7">
        <v>1</v>
      </c>
      <c r="J13" s="7">
        <v>1</v>
      </c>
      <c r="K13" s="7">
        <f>IF('Import Question'!$F$7="AF",H13,IF('Import Question'!$F$7="AS",calculRISKS!I13,1))</f>
        <v>1</v>
      </c>
      <c r="L13" s="110">
        <f>IF('Import Question'!H47="Y",0,1)</f>
        <v>1</v>
      </c>
      <c r="M13" s="7">
        <v>1</v>
      </c>
      <c r="N13" s="4">
        <f>'Import Question'!P$150</f>
        <v>0.9</v>
      </c>
      <c r="O13" s="4">
        <f>'Import Question'!U25</f>
        <v>1</v>
      </c>
      <c r="P13" s="4">
        <f>IF('Import Question'!H53="N",1,1.2)</f>
        <v>1</v>
      </c>
      <c r="Q13" s="30">
        <f t="shared" si="1"/>
        <v>0.02</v>
      </c>
      <c r="R13" s="111">
        <f t="shared" si="2"/>
        <v>0.02</v>
      </c>
      <c r="S13" s="111">
        <f>MAX((N13*O13*P13*R13),(IF(L13=0,1,0)))</f>
        <v>1.8000000000000002E-2</v>
      </c>
      <c r="T13" s="30">
        <f t="shared" si="4"/>
        <v>0.02</v>
      </c>
      <c r="U13" s="30">
        <f t="shared" si="3"/>
        <v>0.02</v>
      </c>
      <c r="V13" s="111">
        <f>MAX(($N13*$O13*$U13*$L13),S13)</f>
        <v>1.8000000000000002E-2</v>
      </c>
      <c r="W13" s="111">
        <f>IF(L13=0,1,($N13*$U13*AK10))</f>
        <v>1.4400000000000003E-2</v>
      </c>
      <c r="Y13" s="15" t="s">
        <v>0</v>
      </c>
      <c r="Z13" s="15">
        <f>'Import Question'!J18</f>
        <v>1</v>
      </c>
      <c r="AA13" s="15">
        <f>'Import Question'!K18</f>
        <v>1</v>
      </c>
      <c r="AB13" s="15">
        <f>'Import Question'!L18</f>
        <v>1</v>
      </c>
      <c r="AC13" s="15">
        <f>'Import Question'!M18</f>
        <v>1</v>
      </c>
      <c r="AD13" s="15">
        <f>'Import Question'!N18</f>
        <v>1</v>
      </c>
      <c r="AE13" s="15">
        <f>'Import Question'!O18</f>
        <v>1</v>
      </c>
      <c r="AF13" s="15">
        <f>'Import Question'!P18</f>
        <v>1</v>
      </c>
      <c r="AG13" s="15">
        <f>'Import Question'!Q18</f>
        <v>1</v>
      </c>
      <c r="AH13" s="15">
        <f>'Import Question'!R18</f>
        <v>1</v>
      </c>
      <c r="AI13" s="15">
        <f>'Import Question'!S18</f>
        <v>1</v>
      </c>
      <c r="AJ13" s="15">
        <f>'Import Question'!T18</f>
        <v>1</v>
      </c>
      <c r="AK13" s="15">
        <f>'Import Question'!U18</f>
        <v>1</v>
      </c>
      <c r="AL13" s="15">
        <f>'Import Question'!V18</f>
        <v>1</v>
      </c>
      <c r="AM13" s="15">
        <f>'Import Question'!W18</f>
        <v>1</v>
      </c>
      <c r="AN13" s="15">
        <f>'Import Question'!X18</f>
        <v>1</v>
      </c>
      <c r="AO13" s="15">
        <f>'Import Question'!Y18</f>
        <v>1</v>
      </c>
      <c r="AP13" s="15">
        <f>'Import Question'!Z18</f>
        <v>1</v>
      </c>
      <c r="AQ13" s="15">
        <f>'Import Question'!AA18</f>
        <v>1</v>
      </c>
      <c r="AR13" s="15">
        <f>'Import Question'!AB18</f>
        <v>1</v>
      </c>
      <c r="AS13" s="15">
        <f>'Import Question'!AC18</f>
        <v>1</v>
      </c>
      <c r="AT13" s="15">
        <f>'Import Question'!AD18</f>
        <v>1</v>
      </c>
      <c r="AU13" s="15">
        <f>'Import Question'!AE18</f>
        <v>1</v>
      </c>
    </row>
    <row r="14" spans="1:47">
      <c r="A14" s="194">
        <f>'Import Question'!$F$6</f>
        <v>52</v>
      </c>
      <c r="B14" s="15" t="s">
        <v>46</v>
      </c>
      <c r="C14" s="5">
        <v>0.04</v>
      </c>
      <c r="D14" s="5"/>
      <c r="E14" s="5"/>
      <c r="F14" s="7">
        <v>1</v>
      </c>
      <c r="G14" s="7">
        <v>0.4</v>
      </c>
      <c r="H14" s="7">
        <v>0.3</v>
      </c>
      <c r="I14" s="7">
        <v>0.3</v>
      </c>
      <c r="J14" s="7">
        <v>1</v>
      </c>
      <c r="K14" s="7">
        <f>IF('Import Question'!$F$7="AF",H14,IF('Import Question'!$F$7="AS",calculRISKS!I14,1))</f>
        <v>0.3</v>
      </c>
      <c r="L14" s="110">
        <f>IF('Import Question'!H35="Y",0,1)</f>
        <v>1</v>
      </c>
      <c r="M14" s="7">
        <v>1</v>
      </c>
      <c r="N14" s="4">
        <f>'Import Question'!Q$150</f>
        <v>0.9</v>
      </c>
      <c r="O14" s="4">
        <f>'Import Question'!V25</f>
        <v>1</v>
      </c>
      <c r="P14" s="4">
        <v>1</v>
      </c>
      <c r="Q14" s="30">
        <f t="shared" si="1"/>
        <v>1.2E-2</v>
      </c>
      <c r="R14" s="111">
        <f t="shared" si="2"/>
        <v>1.2E-2</v>
      </c>
      <c r="S14" s="111">
        <f>MAX((N14*O14*P14*R14),(IF(L14=0,1,0)))</f>
        <v>1.0800000000000001E-2</v>
      </c>
      <c r="T14" s="30">
        <f t="shared" si="4"/>
        <v>1.2E-2</v>
      </c>
      <c r="U14" s="30">
        <f t="shared" si="3"/>
        <v>1.2E-2</v>
      </c>
      <c r="V14" s="111">
        <f>(MAX(($N14*$O14*$U14*$L14),S14))</f>
        <v>1.0800000000000001E-2</v>
      </c>
      <c r="W14" s="111">
        <f>IF(L14=0,1,($N14*$U14*AL10))</f>
        <v>8.6400000000000001E-3</v>
      </c>
      <c r="Y14" s="15" t="s">
        <v>73</v>
      </c>
      <c r="Z14" s="15">
        <f>'Import Question'!J19</f>
        <v>1</v>
      </c>
      <c r="AA14" s="15">
        <f>'Import Question'!K19</f>
        <v>1</v>
      </c>
      <c r="AB14" s="15">
        <f>'Import Question'!L19</f>
        <v>1</v>
      </c>
      <c r="AC14" s="15">
        <f>'Import Question'!M19</f>
        <v>1</v>
      </c>
      <c r="AD14" s="15">
        <f>'Import Question'!N19</f>
        <v>1</v>
      </c>
      <c r="AE14" s="15">
        <f>'Import Question'!O19</f>
        <v>1</v>
      </c>
      <c r="AF14" s="15">
        <f>'Import Question'!P19</f>
        <v>1</v>
      </c>
      <c r="AG14" s="15">
        <f>'Import Question'!Q19</f>
        <v>1</v>
      </c>
      <c r="AH14" s="15">
        <f>'Import Question'!R19</f>
        <v>1</v>
      </c>
      <c r="AI14" s="15">
        <f>'Import Question'!S19</f>
        <v>1</v>
      </c>
      <c r="AJ14" s="15">
        <f>'Import Question'!T19</f>
        <v>1</v>
      </c>
      <c r="AK14" s="15">
        <f>'Import Question'!U19</f>
        <v>1</v>
      </c>
      <c r="AL14" s="15">
        <f>'Import Question'!V19</f>
        <v>1</v>
      </c>
      <c r="AM14" s="15">
        <f>'Import Question'!W19</f>
        <v>1</v>
      </c>
      <c r="AN14" s="15">
        <f>'Import Question'!X19</f>
        <v>1</v>
      </c>
      <c r="AO14" s="15">
        <f>'Import Question'!Y19</f>
        <v>0.1</v>
      </c>
      <c r="AP14" s="15">
        <f>'Import Question'!Z19</f>
        <v>0.1</v>
      </c>
      <c r="AQ14" s="15">
        <f>'Import Question'!AA19</f>
        <v>1</v>
      </c>
      <c r="AR14" s="15">
        <f>'Import Question'!AB19</f>
        <v>1</v>
      </c>
      <c r="AS14" s="15">
        <f>'Import Question'!AC19</f>
        <v>1</v>
      </c>
      <c r="AT14" s="15">
        <f>'Import Question'!AD19</f>
        <v>1</v>
      </c>
      <c r="AU14" s="15">
        <f>'Import Question'!AE19</f>
        <v>1</v>
      </c>
    </row>
    <row r="15" spans="1:47">
      <c r="A15" s="194">
        <f>'Import Question'!$F$6</f>
        <v>52</v>
      </c>
      <c r="B15" s="15" t="s">
        <v>47</v>
      </c>
      <c r="C15" s="5">
        <v>9.4515746493517599E-2</v>
      </c>
      <c r="D15" s="5">
        <v>-4.6575542823482597E-3</v>
      </c>
      <c r="E15" s="5">
        <v>6.4542448496534202E-5</v>
      </c>
      <c r="F15" s="7">
        <v>1</v>
      </c>
      <c r="G15" s="7">
        <v>0.95</v>
      </c>
      <c r="H15" s="7">
        <v>1</v>
      </c>
      <c r="I15" s="7">
        <v>1</v>
      </c>
      <c r="J15" s="7">
        <v>1</v>
      </c>
      <c r="K15" s="7">
        <f>IF('Import Question'!$F$7="AF",H15,IF('Import Question'!$F$7="AS",calculRISKS!I15,1))</f>
        <v>1</v>
      </c>
      <c r="L15" s="110">
        <f>IF('Import Question'!H41="Y",0,1)</f>
        <v>1</v>
      </c>
      <c r="M15" s="7">
        <v>1</v>
      </c>
      <c r="N15" s="4">
        <f>'Import Question'!R$150</f>
        <v>0.9</v>
      </c>
      <c r="O15" s="4">
        <f>'Import Question'!W25</f>
        <v>1</v>
      </c>
      <c r="P15" s="4">
        <f>P16/3</f>
        <v>3.3333333333333335E-3</v>
      </c>
      <c r="Q15" s="30">
        <f t="shared" si="1"/>
        <v>3.8733567564906396E-2</v>
      </c>
      <c r="R15" s="111">
        <f t="shared" si="2"/>
        <v>2.6845704546036575E-2</v>
      </c>
      <c r="S15" s="111">
        <f>MAX((S16/3),(IF(L15=0,1,0)))</f>
        <v>2.6666666666666666E-3</v>
      </c>
      <c r="T15" s="30">
        <f t="shared" si="4"/>
        <v>2.6845704546036575E-2</v>
      </c>
      <c r="U15" s="30">
        <f t="shared" si="3"/>
        <v>3.8733567564906396E-2</v>
      </c>
      <c r="V15" s="111">
        <f>MAX(($V16/3),S15)</f>
        <v>2.6666666666666666E-3</v>
      </c>
      <c r="W15" s="111">
        <f>IF(L15=0,1,($V16/3)*$AM10)</f>
        <v>2.1333333333333334E-3</v>
      </c>
      <c r="Y15" s="15" t="s">
        <v>74</v>
      </c>
      <c r="Z15" s="15">
        <f>'Import Question'!J20</f>
        <v>1</v>
      </c>
      <c r="AA15" s="15">
        <f>'Import Question'!K20</f>
        <v>1</v>
      </c>
      <c r="AB15" s="15">
        <f>'Import Question'!L20</f>
        <v>1</v>
      </c>
      <c r="AC15" s="15">
        <f>'Import Question'!M20</f>
        <v>1</v>
      </c>
      <c r="AD15" s="15">
        <f>'Import Question'!N20</f>
        <v>1</v>
      </c>
      <c r="AE15" s="15">
        <f>'Import Question'!O20</f>
        <v>1</v>
      </c>
      <c r="AF15" s="15">
        <f>'Import Question'!P20</f>
        <v>1</v>
      </c>
      <c r="AG15" s="15">
        <f>'Import Question'!Q20</f>
        <v>1</v>
      </c>
      <c r="AH15" s="15">
        <f>'Import Question'!R20</f>
        <v>1</v>
      </c>
      <c r="AI15" s="15">
        <f>'Import Question'!S20</f>
        <v>1</v>
      </c>
      <c r="AJ15" s="15">
        <f>'Import Question'!T20</f>
        <v>1</v>
      </c>
      <c r="AK15" s="15">
        <f>'Import Question'!U20</f>
        <v>1</v>
      </c>
      <c r="AL15" s="15">
        <f>'Import Question'!V20</f>
        <v>1</v>
      </c>
      <c r="AM15" s="15">
        <f>'Import Question'!W20</f>
        <v>1</v>
      </c>
      <c r="AN15" s="15">
        <f>'Import Question'!X20</f>
        <v>1</v>
      </c>
      <c r="AO15" s="15">
        <f>'Import Question'!Y20</f>
        <v>1</v>
      </c>
      <c r="AP15" s="15">
        <f>'Import Question'!Z20</f>
        <v>1</v>
      </c>
      <c r="AQ15" s="15">
        <f>'Import Question'!AA20</f>
        <v>1</v>
      </c>
      <c r="AR15" s="15">
        <f>'Import Question'!AB20</f>
        <v>1</v>
      </c>
      <c r="AS15" s="15">
        <f>'Import Question'!AC20</f>
        <v>1</v>
      </c>
      <c r="AT15" s="15">
        <f>'Import Question'!AD20</f>
        <v>1</v>
      </c>
      <c r="AU15" s="15">
        <f>'Import Question'!AE20</f>
        <v>1</v>
      </c>
    </row>
    <row r="16" spans="1:47">
      <c r="A16" s="194">
        <f>'Import Question'!$F$6</f>
        <v>52</v>
      </c>
      <c r="B16" s="15" t="s">
        <v>48</v>
      </c>
      <c r="C16" s="5"/>
      <c r="D16" s="5"/>
      <c r="E16" s="5"/>
      <c r="F16" s="7">
        <v>1</v>
      </c>
      <c r="G16" s="7">
        <v>0.5</v>
      </c>
      <c r="H16" s="7">
        <v>1</v>
      </c>
      <c r="I16" s="7">
        <v>1</v>
      </c>
      <c r="J16" s="7">
        <v>1</v>
      </c>
      <c r="K16" s="7">
        <f>IF('Import Question'!$F$7="AF",H16,IF('Import Question'!$F$7="AS",calculRISKS!I16,1))</f>
        <v>1</v>
      </c>
      <c r="L16" s="110">
        <f>IF('Import Question'!H41="Y",0,1)</f>
        <v>1</v>
      </c>
      <c r="M16" s="7">
        <f>IF('Import Question'!H71="Y",0.8,1)</f>
        <v>0.8</v>
      </c>
      <c r="N16" s="4">
        <f>MAX('Import Question'!S$150,IF('Import Biologie'!H10&gt;0.3,1.2,1))</f>
        <v>1</v>
      </c>
      <c r="O16" s="4">
        <f>'Import Question'!X25</f>
        <v>1</v>
      </c>
      <c r="P16" s="4">
        <f>'Import Biologie'!H31</f>
        <v>0.01</v>
      </c>
      <c r="Q16" s="30">
        <f>(($C16+($D16*($A16+5))+(($E16*(($A16+5)^2))))*$J16*$K16)+$R16</f>
        <v>6.9733333333333231E-2</v>
      </c>
      <c r="R16" s="111">
        <f>IF(T16&lt;0,0.01,T16)</f>
        <v>6.9733333333333231E-2</v>
      </c>
      <c r="S16" s="111">
        <f>MAX((P16*N16*M16),(IF(L16=0,1,0)))</f>
        <v>8.0000000000000002E-3</v>
      </c>
      <c r="T16" s="30">
        <f xml:space="preserve"> (-0.154969696969697+0.00432121212121212*$A16)*$J16*$K16</f>
        <v>6.9733333333333231E-2</v>
      </c>
      <c r="U16" s="30">
        <f>MAX(IF(Q16&lt;0,0.01,Q16),R16)</f>
        <v>6.9733333333333231E-2</v>
      </c>
      <c r="V16" s="111">
        <f>MAX(('Import Biologie'!J31*N16),S16)</f>
        <v>8.0000000000000002E-3</v>
      </c>
      <c r="W16" s="111">
        <f>IF(L16=0,1,(V16*AN10))</f>
        <v>6.4000000000000003E-3</v>
      </c>
      <c r="Y16" s="15" t="s">
        <v>75</v>
      </c>
      <c r="Z16" s="15">
        <f>'Import Question'!J21</f>
        <v>0.8</v>
      </c>
      <c r="AA16" s="15">
        <f>'Import Question'!K21</f>
        <v>0.8</v>
      </c>
      <c r="AB16" s="15">
        <f>'Import Question'!L21</f>
        <v>1</v>
      </c>
      <c r="AC16" s="15">
        <f>'Import Question'!M21</f>
        <v>0.8</v>
      </c>
      <c r="AD16" s="15">
        <f>'Import Question'!N21</f>
        <v>0.8</v>
      </c>
      <c r="AE16" s="15">
        <f>'Import Question'!O21</f>
        <v>0.8</v>
      </c>
      <c r="AF16" s="15">
        <f>'Import Question'!P21</f>
        <v>0.8</v>
      </c>
      <c r="AG16" s="15">
        <f>'Import Question'!Q21</f>
        <v>1</v>
      </c>
      <c r="AH16" s="15">
        <f>'Import Question'!R21</f>
        <v>1</v>
      </c>
      <c r="AI16" s="15">
        <f>'Import Question'!S21</f>
        <v>0.8</v>
      </c>
      <c r="AJ16" s="15">
        <f>'Import Question'!T21</f>
        <v>0.8</v>
      </c>
      <c r="AK16" s="15">
        <f>'Import Question'!U21</f>
        <v>0.8</v>
      </c>
      <c r="AL16" s="15">
        <f>'Import Question'!V21</f>
        <v>0.8</v>
      </c>
      <c r="AM16" s="15">
        <f>'Import Question'!W21</f>
        <v>0.8</v>
      </c>
      <c r="AN16" s="15">
        <f>'Import Question'!X21</f>
        <v>0.8</v>
      </c>
      <c r="AO16" s="15">
        <f>'Import Question'!Y21</f>
        <v>1</v>
      </c>
      <c r="AP16" s="15">
        <f>'Import Question'!Z21</f>
        <v>1</v>
      </c>
      <c r="AQ16" s="15">
        <f>'Import Question'!AA21</f>
        <v>1</v>
      </c>
      <c r="AR16" s="15">
        <f>'Import Question'!AB21</f>
        <v>1</v>
      </c>
      <c r="AS16" s="15">
        <f>'Import Question'!AC21</f>
        <v>0.8</v>
      </c>
      <c r="AT16" s="15">
        <f>'Import Question'!AD21</f>
        <v>1</v>
      </c>
      <c r="AU16" s="15">
        <f>'Import Question'!AE21</f>
        <v>1</v>
      </c>
    </row>
    <row r="17" spans="1:47">
      <c r="A17" s="194">
        <f>'Import Question'!$F$6</f>
        <v>52</v>
      </c>
      <c r="B17" s="199" t="s">
        <v>49</v>
      </c>
      <c r="C17" s="5">
        <v>9.1456090629207995E-2</v>
      </c>
      <c r="D17" s="5">
        <f>-0.00368968864614031</f>
        <v>-3.6896886461403101E-3</v>
      </c>
      <c r="E17" s="5">
        <f>0.0000367445520814403</f>
        <v>3.6744552081440303E-5</v>
      </c>
      <c r="F17" s="7">
        <v>1</v>
      </c>
      <c r="G17" s="7">
        <v>0.68</v>
      </c>
      <c r="H17" s="7">
        <v>1</v>
      </c>
      <c r="I17" s="7">
        <v>1</v>
      </c>
      <c r="J17" s="7">
        <v>1</v>
      </c>
      <c r="K17" s="7">
        <f>IF('Import Question'!$F$7="AF",H17,IF('Import Question'!$F$7="AS",calculRISKS!I17,1))</f>
        <v>1</v>
      </c>
      <c r="L17" s="110">
        <f>IF('Import Question'!H23="Y",0,1)</f>
        <v>1</v>
      </c>
      <c r="M17" s="7">
        <f>IF('Import Question'!H59="Y",0.8,1)</f>
        <v>0.8</v>
      </c>
      <c r="N17" s="4">
        <v>1</v>
      </c>
      <c r="O17" s="4">
        <f>'Import Question'!Y25</f>
        <v>0.1</v>
      </c>
      <c r="P17" s="4">
        <v>1</v>
      </c>
      <c r="Q17" s="30">
        <f t="shared" si="1"/>
        <v>5.2688751180984816E-4</v>
      </c>
      <c r="R17" s="111">
        <f t="shared" si="2"/>
        <v>1E-3</v>
      </c>
      <c r="S17" s="111">
        <f>(MAX((N17*O17*P17*R17*M17),(IF(L17=0,1,0))))/10</f>
        <v>8.0000000000000013E-6</v>
      </c>
      <c r="T17" s="30">
        <f t="shared" si="4"/>
        <v>-1.0504501418735629E-3</v>
      </c>
      <c r="U17" s="30">
        <f t="shared" si="3"/>
        <v>1E-3</v>
      </c>
      <c r="V17" s="111">
        <f>(MAX(($N17*$O17*$U17*$L17),S17))/10</f>
        <v>1.0000000000000001E-5</v>
      </c>
      <c r="W17" s="111">
        <f>(IF(L17=0,1,($N17*$U17*AO10)))/10</f>
        <v>1.0000000000000001E-5</v>
      </c>
      <c r="Y17" s="15" t="s">
        <v>76</v>
      </c>
      <c r="Z17" s="15">
        <f>'Import Question'!J22</f>
        <v>1.2</v>
      </c>
      <c r="AA17" s="15">
        <f>'Import Question'!K22</f>
        <v>1.2</v>
      </c>
      <c r="AB17" s="15">
        <f>'Import Question'!L22</f>
        <v>1.2</v>
      </c>
      <c r="AC17" s="15">
        <f>'Import Question'!M22</f>
        <v>1.2</v>
      </c>
      <c r="AD17" s="15">
        <f>'Import Question'!N22</f>
        <v>1</v>
      </c>
      <c r="AE17" s="15">
        <f>'Import Question'!O22</f>
        <v>1</v>
      </c>
      <c r="AF17" s="15">
        <f>'Import Question'!P22</f>
        <v>1</v>
      </c>
      <c r="AG17" s="15">
        <f>'Import Question'!Q22</f>
        <v>1</v>
      </c>
      <c r="AH17" s="15">
        <f>'Import Question'!R22</f>
        <v>1</v>
      </c>
      <c r="AI17" s="15">
        <f>'Import Question'!S22</f>
        <v>1</v>
      </c>
      <c r="AJ17" s="15">
        <f>'Import Question'!T22</f>
        <v>1</v>
      </c>
      <c r="AK17" s="15">
        <f>'Import Question'!U22</f>
        <v>1</v>
      </c>
      <c r="AL17" s="15">
        <f>'Import Question'!V22</f>
        <v>1</v>
      </c>
      <c r="AM17" s="15">
        <f>'Import Question'!W22</f>
        <v>1</v>
      </c>
      <c r="AN17" s="15">
        <f>'Import Question'!X22</f>
        <v>1</v>
      </c>
      <c r="AO17" s="15">
        <f>'Import Question'!Y22</f>
        <v>1</v>
      </c>
      <c r="AP17" s="15">
        <f>'Import Question'!Z22</f>
        <v>1</v>
      </c>
      <c r="AQ17" s="15">
        <f>'Import Question'!AA22</f>
        <v>1</v>
      </c>
      <c r="AR17" s="15">
        <f>'Import Question'!AB22</f>
        <v>1</v>
      </c>
      <c r="AS17" s="15">
        <f>'Import Question'!AC22</f>
        <v>1</v>
      </c>
      <c r="AT17" s="15">
        <f>'Import Question'!AD22</f>
        <v>1</v>
      </c>
      <c r="AU17" s="15">
        <f>'Import Question'!AE22</f>
        <v>1</v>
      </c>
    </row>
    <row r="18" spans="1:47">
      <c r="A18" s="194">
        <f>'Import Question'!$F$6</f>
        <v>52</v>
      </c>
      <c r="B18" s="199" t="s">
        <v>50</v>
      </c>
      <c r="C18" s="5">
        <v>-2.7423955339312398E-3</v>
      </c>
      <c r="D18" s="5">
        <f>-0.000200376142790573</f>
        <v>-2.0037614279057301E-4</v>
      </c>
      <c r="E18" s="5">
        <f>7.72972860283012E-06</f>
        <v>7.7297286028301195E-6</v>
      </c>
      <c r="F18" s="7">
        <v>1</v>
      </c>
      <c r="G18" s="7">
        <v>0.27</v>
      </c>
      <c r="H18" s="7">
        <v>1</v>
      </c>
      <c r="I18" s="7">
        <v>1</v>
      </c>
      <c r="J18" s="7">
        <v>1</v>
      </c>
      <c r="K18" s="7">
        <f>IF('Import Question'!$F$7="AF",H18,IF('Import Question'!$F$7="AS",calculRISKS!I18,1))</f>
        <v>1</v>
      </c>
      <c r="L18" s="110">
        <f>IF('Import Question'!H29="Y",0,1)</f>
        <v>1</v>
      </c>
      <c r="M18" s="7">
        <v>1</v>
      </c>
      <c r="N18" s="4">
        <v>1</v>
      </c>
      <c r="O18" s="4">
        <f>'Import Question'!Z25</f>
        <v>0.1</v>
      </c>
      <c r="P18" s="4">
        <v>1</v>
      </c>
      <c r="Q18" s="30">
        <f t="shared" si="1"/>
        <v>1.0950052557601156E-2</v>
      </c>
      <c r="R18" s="111">
        <f t="shared" si="2"/>
        <v>7.7392311830116068E-3</v>
      </c>
      <c r="S18" s="111">
        <f>(MAX((N18*O18*P18*R18),(IF(L18=0,1,0))))/10</f>
        <v>7.7392311830116071E-5</v>
      </c>
      <c r="T18" s="30">
        <f t="shared" si="4"/>
        <v>7.7392311830116068E-3</v>
      </c>
      <c r="U18" s="30">
        <f t="shared" si="3"/>
        <v>1.0950052557601156E-2</v>
      </c>
      <c r="V18" s="111">
        <f>(MAX(($N18*$O18*$P18*$U18*$L18),S18))/10</f>
        <v>1.0950052557601156E-4</v>
      </c>
      <c r="W18" s="111">
        <f>IF(L18=0,1,($N18*$P18*$U18*AP10))/10</f>
        <v>1.0950052557601156E-4</v>
      </c>
      <c r="Y18" s="15" t="s">
        <v>78</v>
      </c>
      <c r="Z18" s="15">
        <f>'Import Question'!J23</f>
        <v>1</v>
      </c>
      <c r="AA18" s="15">
        <f>'Import Question'!K23</f>
        <v>1</v>
      </c>
      <c r="AB18" s="15">
        <f>'Import Question'!L23</f>
        <v>1</v>
      </c>
      <c r="AC18" s="15">
        <f>'Import Question'!M23</f>
        <v>1</v>
      </c>
      <c r="AD18" s="15">
        <f>'Import Question'!N23</f>
        <v>1</v>
      </c>
      <c r="AE18" s="15">
        <f>'Import Question'!O23</f>
        <v>1</v>
      </c>
      <c r="AF18" s="15">
        <f>'Import Question'!P23</f>
        <v>1</v>
      </c>
      <c r="AG18" s="15">
        <f>'Import Question'!Q23</f>
        <v>1</v>
      </c>
      <c r="AH18" s="15">
        <f>'Import Question'!R23</f>
        <v>1</v>
      </c>
      <c r="AI18" s="15">
        <f>'Import Question'!S23</f>
        <v>1</v>
      </c>
      <c r="AJ18" s="15">
        <f>'Import Question'!T23</f>
        <v>1</v>
      </c>
      <c r="AK18" s="15">
        <f>'Import Question'!U23</f>
        <v>1</v>
      </c>
      <c r="AL18" s="15">
        <f>'Import Question'!V23</f>
        <v>1</v>
      </c>
      <c r="AM18" s="15">
        <f>'Import Question'!W23</f>
        <v>1</v>
      </c>
      <c r="AN18" s="15">
        <f>'Import Question'!X23</f>
        <v>1</v>
      </c>
      <c r="AO18" s="15">
        <f>'Import Question'!Y23</f>
        <v>1</v>
      </c>
      <c r="AP18" s="15">
        <f>'Import Question'!Z23</f>
        <v>1</v>
      </c>
      <c r="AQ18" s="15">
        <f>'Import Question'!AA23</f>
        <v>1</v>
      </c>
      <c r="AR18" s="15">
        <f>'Import Question'!AB23</f>
        <v>1</v>
      </c>
      <c r="AS18" s="15">
        <f>'Import Question'!AC23</f>
        <v>1</v>
      </c>
      <c r="AT18" s="15">
        <f>'Import Question'!AD23</f>
        <v>1</v>
      </c>
      <c r="AU18" s="15">
        <f>'Import Question'!AE23</f>
        <v>1</v>
      </c>
    </row>
    <row r="19" spans="1:47">
      <c r="A19" s="194">
        <f>'Import Question'!$F$6</f>
        <v>52</v>
      </c>
      <c r="B19" s="15" t="s">
        <v>51</v>
      </c>
      <c r="C19" s="5">
        <v>0.06</v>
      </c>
      <c r="D19" s="5"/>
      <c r="E19" s="5"/>
      <c r="F19" s="13">
        <v>1</v>
      </c>
      <c r="G19" s="7">
        <v>1.1000000000000001</v>
      </c>
      <c r="H19" s="7">
        <v>1</v>
      </c>
      <c r="I19" s="7">
        <v>1</v>
      </c>
      <c r="J19" s="7">
        <v>1</v>
      </c>
      <c r="K19" s="7">
        <f>IF('Import Question'!$F$7="AF",H19,IF('Import Question'!$F$7="AS",calculRISKS!I19,1))</f>
        <v>1</v>
      </c>
      <c r="L19" s="7">
        <f>IF('Import Question'!H50="Y",0,1)</f>
        <v>1</v>
      </c>
      <c r="M19" s="7">
        <v>1</v>
      </c>
      <c r="N19" s="4">
        <f>'Import Question'!T$150</f>
        <v>0.9</v>
      </c>
      <c r="O19" s="4">
        <f>'Import Question'!AA25</f>
        <v>1</v>
      </c>
      <c r="P19" s="4">
        <v>1</v>
      </c>
      <c r="Q19" s="30">
        <f t="shared" si="1"/>
        <v>0.06</v>
      </c>
      <c r="R19" s="111">
        <f t="shared" si="2"/>
        <v>0.06</v>
      </c>
      <c r="S19" s="30">
        <f t="shared" ref="S19:S20" si="9">MAX((N19*O19*P19*R19),(IF(L19=0,1,0)))</f>
        <v>5.3999999999999999E-2</v>
      </c>
      <c r="T19" s="30">
        <f t="shared" si="4"/>
        <v>0.06</v>
      </c>
      <c r="U19" s="30">
        <f t="shared" si="3"/>
        <v>0.06</v>
      </c>
      <c r="V19" s="111">
        <f>MAX(($N19*$O19*$U19*$L19),S19)</f>
        <v>5.3999999999999999E-2</v>
      </c>
      <c r="W19" s="111">
        <f>IF(L19=0,1,($N19*$U19*AQ10))</f>
        <v>5.3999999999999999E-2</v>
      </c>
      <c r="Y19" s="15" t="s">
        <v>106</v>
      </c>
      <c r="Z19" s="15">
        <f>'Import Question'!J24</f>
        <v>1</v>
      </c>
      <c r="AA19" s="15">
        <f>'Import Question'!K24</f>
        <v>1</v>
      </c>
      <c r="AB19" s="15">
        <f>'Import Question'!L24</f>
        <v>1</v>
      </c>
      <c r="AC19" s="15">
        <f>'Import Question'!M24</f>
        <v>1</v>
      </c>
      <c r="AD19" s="15">
        <f>'Import Question'!N24</f>
        <v>1</v>
      </c>
      <c r="AE19" s="15">
        <f>'Import Question'!O24</f>
        <v>1</v>
      </c>
      <c r="AF19" s="15">
        <f>'Import Question'!P24</f>
        <v>1</v>
      </c>
      <c r="AG19" s="15">
        <f>'Import Question'!Q24</f>
        <v>1</v>
      </c>
      <c r="AH19" s="15">
        <f>'Import Question'!R24</f>
        <v>1</v>
      </c>
      <c r="AI19" s="15">
        <f>'Import Question'!S24</f>
        <v>1</v>
      </c>
      <c r="AJ19" s="15">
        <f>'Import Question'!T24</f>
        <v>1</v>
      </c>
      <c r="AK19" s="15">
        <f>'Import Question'!U24</f>
        <v>1</v>
      </c>
      <c r="AL19" s="15">
        <f>'Import Question'!V24</f>
        <v>1</v>
      </c>
      <c r="AM19" s="15">
        <f>'Import Question'!W24</f>
        <v>1</v>
      </c>
      <c r="AN19" s="15">
        <f>'Import Question'!X24</f>
        <v>1</v>
      </c>
      <c r="AO19" s="15">
        <f>'Import Question'!Y24</f>
        <v>1</v>
      </c>
      <c r="AP19" s="15">
        <f>'Import Question'!Z24</f>
        <v>1</v>
      </c>
      <c r="AQ19" s="15">
        <f>'Import Question'!AA24</f>
        <v>1</v>
      </c>
      <c r="AR19" s="15">
        <f>'Import Question'!AB24</f>
        <v>1</v>
      </c>
      <c r="AS19" s="15">
        <f>'Import Question'!AC24</f>
        <v>1</v>
      </c>
      <c r="AT19" s="15">
        <f>'Import Question'!AD24</f>
        <v>1</v>
      </c>
      <c r="AU19" s="15">
        <f>'Import Question'!AE24</f>
        <v>1</v>
      </c>
    </row>
    <row r="20" spans="1:47">
      <c r="A20" s="194">
        <f>'Import Question'!$F$6</f>
        <v>52</v>
      </c>
      <c r="B20" s="199" t="s">
        <v>52</v>
      </c>
      <c r="C20" s="5">
        <v>1.6220396466750199E-2</v>
      </c>
      <c r="D20" s="5">
        <f>-0.000493949673365258</f>
        <v>-4.9394967336525801E-4</v>
      </c>
      <c r="E20" s="5">
        <f>4.35923721975401E-06</f>
        <v>4.3592372197540102E-6</v>
      </c>
      <c r="F20" s="7">
        <v>1</v>
      </c>
      <c r="G20" s="7">
        <v>1</v>
      </c>
      <c r="H20" s="7">
        <v>1</v>
      </c>
      <c r="I20" s="7">
        <v>1</v>
      </c>
      <c r="J20" s="7">
        <v>1</v>
      </c>
      <c r="K20" s="7">
        <f>IF('Import Question'!$F$7="AF",H20,IF('Import Question'!$F$7="AS",calculRISKS!I20,1))</f>
        <v>1</v>
      </c>
      <c r="L20" s="110">
        <f>IF('Import Question'!H20="Y",0,1)</f>
        <v>1</v>
      </c>
      <c r="M20" s="7">
        <v>1</v>
      </c>
      <c r="N20" s="4">
        <f>'Import Question'!U$150</f>
        <v>0.9</v>
      </c>
      <c r="O20" s="4">
        <f>'Import Question'!AB25</f>
        <v>1</v>
      </c>
      <c r="P20" s="4">
        <v>1</v>
      </c>
      <c r="Q20" s="30">
        <f t="shared" si="1"/>
        <v>2.2284268119112712E-3</v>
      </c>
      <c r="R20" s="111">
        <f t="shared" si="2"/>
        <v>2.3223908939716282E-3</v>
      </c>
      <c r="S20" s="111">
        <f t="shared" si="9"/>
        <v>2.0901518045744654E-3</v>
      </c>
      <c r="T20" s="30">
        <f t="shared" si="4"/>
        <v>2.3223908939716282E-3</v>
      </c>
      <c r="U20" s="30">
        <f t="shared" si="3"/>
        <v>2.3223908939716282E-3</v>
      </c>
      <c r="V20" s="111">
        <f>MAX(($N20*$O20*$U20*$L20),S20)</f>
        <v>2.0901518045744654E-3</v>
      </c>
      <c r="W20" s="111">
        <f>IF(L20=0,1,($N20*$U20*AR10))</f>
        <v>2.0901518045744654E-3</v>
      </c>
      <c r="Y20" s="15" t="s">
        <v>826</v>
      </c>
      <c r="Z20" s="35">
        <f>Z13*Z14*Z15*Z16*Z17*Z18*Z19</f>
        <v>0.96</v>
      </c>
      <c r="AA20" s="35">
        <f t="shared" ref="AA20:AU20" si="10">AA13*AA14*AA15*AA16*AA17*AA18*AA19</f>
        <v>0.96</v>
      </c>
      <c r="AB20" s="35">
        <f t="shared" si="10"/>
        <v>1.2</v>
      </c>
      <c r="AC20" s="35">
        <f t="shared" si="10"/>
        <v>0.96</v>
      </c>
      <c r="AD20" s="35">
        <f t="shared" si="10"/>
        <v>0.8</v>
      </c>
      <c r="AE20" s="35">
        <f t="shared" si="10"/>
        <v>0.8</v>
      </c>
      <c r="AF20" s="35">
        <f t="shared" si="10"/>
        <v>0.8</v>
      </c>
      <c r="AG20" s="35">
        <f t="shared" si="10"/>
        <v>1</v>
      </c>
      <c r="AH20" s="35">
        <f t="shared" si="10"/>
        <v>1</v>
      </c>
      <c r="AI20" s="35">
        <f t="shared" si="10"/>
        <v>0.8</v>
      </c>
      <c r="AJ20" s="35">
        <f t="shared" si="10"/>
        <v>0.8</v>
      </c>
      <c r="AK20" s="35">
        <f t="shared" si="10"/>
        <v>0.8</v>
      </c>
      <c r="AL20" s="35">
        <f t="shared" si="10"/>
        <v>0.8</v>
      </c>
      <c r="AM20" s="35">
        <f t="shared" si="10"/>
        <v>0.8</v>
      </c>
      <c r="AN20" s="35">
        <f t="shared" si="10"/>
        <v>0.8</v>
      </c>
      <c r="AO20" s="35">
        <f t="shared" si="10"/>
        <v>0.1</v>
      </c>
      <c r="AP20" s="35">
        <f t="shared" si="10"/>
        <v>0.1</v>
      </c>
      <c r="AQ20" s="35">
        <f t="shared" si="10"/>
        <v>1</v>
      </c>
      <c r="AR20" s="35">
        <f t="shared" si="10"/>
        <v>1</v>
      </c>
      <c r="AS20" s="35">
        <f t="shared" si="10"/>
        <v>0.8</v>
      </c>
      <c r="AT20" s="35">
        <f t="shared" si="10"/>
        <v>1</v>
      </c>
      <c r="AU20" s="35">
        <f t="shared" si="10"/>
        <v>1</v>
      </c>
    </row>
    <row r="21" spans="1:47">
      <c r="A21" s="194">
        <f>'Import Question'!$F$6</f>
        <v>52</v>
      </c>
      <c r="B21" s="199" t="s">
        <v>53</v>
      </c>
      <c r="C21" s="5">
        <v>4.50002597402595E-2</v>
      </c>
      <c r="D21" s="5">
        <f>-0.00273747186147185</f>
        <v>-2.73747186147185E-3</v>
      </c>
      <c r="E21" s="5">
        <v>4.1290043290043201E-5</v>
      </c>
      <c r="F21" s="7">
        <v>0.01</v>
      </c>
      <c r="G21" s="7">
        <v>1</v>
      </c>
      <c r="H21" s="7">
        <v>0.8</v>
      </c>
      <c r="I21" s="7">
        <v>0.6</v>
      </c>
      <c r="J21" s="7">
        <f>IF('Import Question'!$F$3="H",0.01,1)</f>
        <v>1</v>
      </c>
      <c r="K21" s="7">
        <f>IF('Import Question'!$F$7="AF",H21,IF('Import Question'!$F$7="AS",calculRISKS!I21,1))</f>
        <v>0.6</v>
      </c>
      <c r="L21" s="110">
        <f>IF('Import Question'!H26="Y",0,1)</f>
        <v>1</v>
      </c>
      <c r="M21" s="7">
        <f>IF('Import Question'!H65="Y",0.8,1)</f>
        <v>0.8</v>
      </c>
      <c r="N21" s="4">
        <f>'Import Question'!V$150</f>
        <v>0.9</v>
      </c>
      <c r="O21" s="4">
        <f>'Import Question'!AC25</f>
        <v>1</v>
      </c>
      <c r="P21" s="4">
        <v>1</v>
      </c>
      <c r="Q21" s="30">
        <f t="shared" si="1"/>
        <v>1.3869428571428644E-2</v>
      </c>
      <c r="R21" s="111">
        <f t="shared" si="2"/>
        <v>8.5800000000000789E-3</v>
      </c>
      <c r="S21" s="111">
        <f>MAX((N21*O21*P21*R21*M21),(IF(L21=0,1,0)))</f>
        <v>6.1776000000000574E-3</v>
      </c>
      <c r="T21" s="30">
        <f t="shared" si="4"/>
        <v>8.5800000000000789E-3</v>
      </c>
      <c r="U21" s="30">
        <f t="shared" si="3"/>
        <v>1.3869428571428644E-2</v>
      </c>
      <c r="V21" s="111">
        <f>MAX(($N21*$O21*$U21*$L21),S21)</f>
        <v>1.248248571428578E-2</v>
      </c>
      <c r="W21" s="111">
        <f>IF(L21=0,1,($N21*$U21*AS10))</f>
        <v>9.9859885714286244E-3</v>
      </c>
    </row>
    <row r="22" spans="1:47" ht="14.65" thickBot="1">
      <c r="A22" s="194">
        <f>'Import Question'!$F$6</f>
        <v>52</v>
      </c>
      <c r="B22" s="15" t="s">
        <v>822</v>
      </c>
      <c r="C22" s="110">
        <v>3.6911486561970901E-2</v>
      </c>
      <c r="D22" s="110">
        <f>-0.00157457925283427</f>
        <v>-1.57457925283427E-3</v>
      </c>
      <c r="E22" s="110">
        <f>0.0000167532085580737</f>
        <v>1.6753208558073701E-5</v>
      </c>
      <c r="F22" s="201">
        <v>1</v>
      </c>
      <c r="G22" s="201">
        <v>0.4</v>
      </c>
      <c r="H22" s="202">
        <v>1</v>
      </c>
      <c r="I22" s="202">
        <v>1</v>
      </c>
      <c r="J22" s="202">
        <v>1</v>
      </c>
      <c r="K22" s="7">
        <f>IF('Import Question'!$F$7="AF",H22,IF('Import Question'!$F$7="AS",calculRISKS!I22,1))</f>
        <v>1</v>
      </c>
      <c r="L22" s="202">
        <v>1</v>
      </c>
      <c r="M22" s="202">
        <v>1</v>
      </c>
      <c r="N22" s="8">
        <f>'Import Question'!W150</f>
        <v>0.9</v>
      </c>
      <c r="O22" s="8">
        <f>'Import Question'!AE25</f>
        <v>1</v>
      </c>
      <c r="P22" s="204">
        <f>'Import Biologie'!H47</f>
        <v>3</v>
      </c>
      <c r="Q22" s="30">
        <f t="shared" si="1"/>
        <v>1.5916437555989621E-3</v>
      </c>
      <c r="R22" s="111">
        <f t="shared" si="2"/>
        <v>3.3404135562015158E-4</v>
      </c>
      <c r="S22" s="111">
        <f>(MAX((N22*O22*P22*R22),(IF(L22=0,1,0))))/10</f>
        <v>9.0191166017440928E-5</v>
      </c>
      <c r="T22" s="30">
        <f t="shared" si="4"/>
        <v>3.3404135562015158E-4</v>
      </c>
      <c r="U22" s="30">
        <f t="shared" si="3"/>
        <v>1.5916437555989621E-3</v>
      </c>
      <c r="V22" s="111">
        <f>(MAX(($N22*$O22*$U22*$L22),S22))/10</f>
        <v>1.4324793800390658E-4</v>
      </c>
      <c r="W22" s="362">
        <f>(IF(L22=0,1,($N22*$U22*AU10)))/10</f>
        <v>1.4324793800390658E-4</v>
      </c>
      <c r="X22" s="363" t="s">
        <v>823</v>
      </c>
      <c r="Y22" s="363" t="s">
        <v>824</v>
      </c>
      <c r="Z22" s="363" t="s">
        <v>820</v>
      </c>
      <c r="AA22" s="363"/>
      <c r="AB22" s="363" t="s">
        <v>821</v>
      </c>
    </row>
    <row r="23" spans="1:47">
      <c r="B23" s="8" t="s">
        <v>809</v>
      </c>
      <c r="V23" s="361"/>
      <c r="W23" s="366" t="s">
        <v>54</v>
      </c>
      <c r="X23" s="367">
        <f>$V2*Z$10</f>
        <v>0</v>
      </c>
      <c r="Y23" s="367">
        <f>$V2*Z$12</f>
        <v>0</v>
      </c>
      <c r="Z23" s="367" t="e">
        <f>X23/Y23</f>
        <v>#DIV/0!</v>
      </c>
      <c r="AA23" s="368" t="s">
        <v>54</v>
      </c>
      <c r="AB23" s="369" t="e">
        <f>IF(Z23&gt;1,1,Z23)</f>
        <v>#DIV/0!</v>
      </c>
      <c r="AC23"/>
    </row>
    <row r="24" spans="1:47">
      <c r="B24" s="8" t="s">
        <v>810</v>
      </c>
      <c r="P24" s="30"/>
      <c r="V24" s="361"/>
      <c r="W24" s="370" t="s">
        <v>35</v>
      </c>
      <c r="X24" s="204">
        <f>V3*AA$10</f>
        <v>0</v>
      </c>
      <c r="Y24" s="204">
        <f>$V3*AA$12</f>
        <v>0</v>
      </c>
      <c r="Z24" s="204" t="e">
        <f t="shared" ref="Z24:Z43" si="11">X24/Y24</f>
        <v>#DIV/0!</v>
      </c>
      <c r="AA24" s="15" t="s">
        <v>35</v>
      </c>
      <c r="AB24" s="371" t="e">
        <f t="shared" ref="AB24:AB42" si="12">IF(Z24&gt;1,1,Z24)</f>
        <v>#DIV/0!</v>
      </c>
      <c r="AC24"/>
    </row>
    <row r="25" spans="1:47">
      <c r="B25" s="8" t="s">
        <v>811</v>
      </c>
      <c r="S25" s="347"/>
      <c r="V25" s="361"/>
      <c r="W25" s="370" t="s">
        <v>36</v>
      </c>
      <c r="X25" s="204">
        <f>V4*AB$10</f>
        <v>2.4463748571428471E-2</v>
      </c>
      <c r="Y25" s="204">
        <f>$V4*AB$12</f>
        <v>2.4463748571428471E-2</v>
      </c>
      <c r="Z25" s="204">
        <f t="shared" si="11"/>
        <v>1</v>
      </c>
      <c r="AA25" s="15" t="s">
        <v>36</v>
      </c>
      <c r="AB25" s="371">
        <f t="shared" si="12"/>
        <v>1</v>
      </c>
      <c r="AC25"/>
    </row>
    <row r="26" spans="1:47">
      <c r="B26" s="8" t="s">
        <v>812</v>
      </c>
      <c r="M26" s="197" t="s">
        <v>54</v>
      </c>
      <c r="N26" s="204">
        <f>N2</f>
        <v>0.9</v>
      </c>
      <c r="O26" s="204">
        <f t="shared" ref="O26:O46" si="13">O2</f>
        <v>1.2</v>
      </c>
      <c r="Q26" s="8">
        <f>N26*O26</f>
        <v>1.08</v>
      </c>
      <c r="V26" s="361"/>
      <c r="W26" s="370" t="s">
        <v>37</v>
      </c>
      <c r="X26" s="204">
        <f>V5*AC$10</f>
        <v>8.8439040000001662E-2</v>
      </c>
      <c r="Y26" s="204">
        <f>$V5*AC$12</f>
        <v>8.8439040000001662E-2</v>
      </c>
      <c r="Z26" s="204">
        <f t="shared" si="11"/>
        <v>1</v>
      </c>
      <c r="AA26" s="15" t="s">
        <v>37</v>
      </c>
      <c r="AB26" s="371">
        <f t="shared" si="12"/>
        <v>1</v>
      </c>
      <c r="AC26"/>
    </row>
    <row r="27" spans="1:47">
      <c r="B27" s="8" t="s">
        <v>813</v>
      </c>
      <c r="M27" s="15" t="s">
        <v>35</v>
      </c>
      <c r="N27" s="204">
        <f t="shared" ref="N27" si="14">N3</f>
        <v>1</v>
      </c>
      <c r="O27" s="204">
        <f t="shared" si="13"/>
        <v>1.2</v>
      </c>
      <c r="P27" s="204"/>
      <c r="Q27" s="8">
        <f t="shared" ref="Q27:Q46" si="15">N27*O27</f>
        <v>1.2</v>
      </c>
      <c r="V27" s="361"/>
      <c r="W27" s="370" t="s">
        <v>38</v>
      </c>
      <c r="X27" s="204">
        <f>V6*AD$10</f>
        <v>4.1902902857142718E-3</v>
      </c>
      <c r="Y27" s="204">
        <f>$V6*AD$12</f>
        <v>4.1902902857142718E-3</v>
      </c>
      <c r="Z27" s="204">
        <f t="shared" si="11"/>
        <v>1</v>
      </c>
      <c r="AA27" s="15" t="s">
        <v>38</v>
      </c>
      <c r="AB27" s="371">
        <f t="shared" si="12"/>
        <v>1</v>
      </c>
      <c r="AC27"/>
    </row>
    <row r="28" spans="1:47">
      <c r="B28" s="8" t="s">
        <v>814</v>
      </c>
      <c r="M28" s="15" t="s">
        <v>36</v>
      </c>
      <c r="N28" s="204">
        <f t="shared" ref="N28" si="16">N4</f>
        <v>1</v>
      </c>
      <c r="O28" s="204">
        <f t="shared" si="13"/>
        <v>1.2</v>
      </c>
      <c r="P28" s="204"/>
      <c r="Q28" s="8">
        <f t="shared" si="15"/>
        <v>1.2</v>
      </c>
      <c r="V28" s="361"/>
      <c r="W28" s="372" t="s">
        <v>39</v>
      </c>
      <c r="X28" s="204">
        <f>V7*AE$10</f>
        <v>3.1463505797331205E-3</v>
      </c>
      <c r="Y28" s="204">
        <f>$V7*AE$12</f>
        <v>3.1463505797331205E-3</v>
      </c>
      <c r="Z28" s="204">
        <f t="shared" si="11"/>
        <v>1</v>
      </c>
      <c r="AA28" s="199" t="s">
        <v>39</v>
      </c>
      <c r="AB28" s="371">
        <f t="shared" si="12"/>
        <v>1</v>
      </c>
      <c r="AC28"/>
    </row>
    <row r="29" spans="1:47">
      <c r="B29" s="8" t="s">
        <v>815</v>
      </c>
      <c r="M29" s="15" t="s">
        <v>37</v>
      </c>
      <c r="N29" s="204">
        <f t="shared" ref="N29" si="17">N5</f>
        <v>0.9</v>
      </c>
      <c r="O29" s="204">
        <f t="shared" si="13"/>
        <v>1.2</v>
      </c>
      <c r="P29" s="204"/>
      <c r="Q29" s="8">
        <f t="shared" si="15"/>
        <v>1.08</v>
      </c>
      <c r="V29" s="361"/>
      <c r="W29" s="373" t="s">
        <v>80</v>
      </c>
      <c r="X29" s="204">
        <f>V8*AF$10</f>
        <v>0.13974590690940641</v>
      </c>
      <c r="Y29" s="204">
        <f>$V8*AF$12</f>
        <v>0.13974590690940641</v>
      </c>
      <c r="Z29" s="204">
        <f t="shared" si="11"/>
        <v>1</v>
      </c>
      <c r="AA29" s="200" t="s">
        <v>80</v>
      </c>
      <c r="AB29" s="371">
        <f t="shared" si="12"/>
        <v>1</v>
      </c>
      <c r="AC29"/>
    </row>
    <row r="30" spans="1:47">
      <c r="B30" s="8" t="s">
        <v>816</v>
      </c>
      <c r="M30" s="15" t="s">
        <v>38</v>
      </c>
      <c r="N30" s="204">
        <f t="shared" ref="N30" si="18">N6</f>
        <v>1</v>
      </c>
      <c r="O30" s="204">
        <f t="shared" si="13"/>
        <v>1</v>
      </c>
      <c r="P30" s="204"/>
      <c r="Q30" s="8">
        <f t="shared" si="15"/>
        <v>1</v>
      </c>
      <c r="V30" s="361"/>
      <c r="W30" s="370" t="s">
        <v>41</v>
      </c>
      <c r="X30" s="204">
        <f>V9*AG$10</f>
        <v>5.4000000000000006E-2</v>
      </c>
      <c r="Y30" s="204">
        <f>$V9*AG$12</f>
        <v>5.4000000000000006E-2</v>
      </c>
      <c r="Z30" s="204">
        <f t="shared" si="11"/>
        <v>1</v>
      </c>
      <c r="AA30" s="15" t="s">
        <v>41</v>
      </c>
      <c r="AB30" s="371">
        <f t="shared" si="12"/>
        <v>1</v>
      </c>
      <c r="AC30"/>
    </row>
    <row r="31" spans="1:47">
      <c r="B31" s="8" t="s">
        <v>817</v>
      </c>
      <c r="M31" s="199" t="s">
        <v>39</v>
      </c>
      <c r="N31" s="204">
        <f t="shared" ref="N31" si="19">N7</f>
        <v>0.9</v>
      </c>
      <c r="O31" s="204">
        <f t="shared" si="13"/>
        <v>1</v>
      </c>
      <c r="P31" s="204"/>
      <c r="Q31" s="8">
        <f t="shared" si="15"/>
        <v>0.9</v>
      </c>
      <c r="V31" s="361"/>
      <c r="W31" s="373" t="s">
        <v>42</v>
      </c>
      <c r="X31" s="204">
        <f>V10*AH$10</f>
        <v>0.15300000000000005</v>
      </c>
      <c r="Y31" s="204">
        <f>$V10*AH$12</f>
        <v>0.15300000000000005</v>
      </c>
      <c r="Z31" s="204">
        <f t="shared" si="11"/>
        <v>1</v>
      </c>
      <c r="AA31" s="200" t="s">
        <v>42</v>
      </c>
      <c r="AB31" s="371">
        <f t="shared" si="12"/>
        <v>1</v>
      </c>
      <c r="AC31"/>
    </row>
    <row r="32" spans="1:47">
      <c r="M32" s="200" t="s">
        <v>80</v>
      </c>
      <c r="N32" s="204">
        <f t="shared" ref="N32" si="20">N8</f>
        <v>1</v>
      </c>
      <c r="O32" s="204">
        <f t="shared" si="13"/>
        <v>1</v>
      </c>
      <c r="P32" s="204"/>
      <c r="Q32" s="8">
        <f t="shared" si="15"/>
        <v>1</v>
      </c>
      <c r="V32" s="361"/>
      <c r="W32" s="370" t="s">
        <v>43</v>
      </c>
      <c r="X32" s="204">
        <f>V11*AI$10</f>
        <v>1.3991142857142862E-2</v>
      </c>
      <c r="Y32" s="204">
        <f>$V11*AI$12</f>
        <v>1.3991142857142862E-2</v>
      </c>
      <c r="Z32" s="204">
        <f t="shared" si="11"/>
        <v>1</v>
      </c>
      <c r="AA32" s="15" t="s">
        <v>43</v>
      </c>
      <c r="AB32" s="371">
        <f t="shared" si="12"/>
        <v>1</v>
      </c>
      <c r="AC32"/>
    </row>
    <row r="33" spans="13:29">
      <c r="M33" s="15" t="s">
        <v>41</v>
      </c>
      <c r="N33" s="204">
        <f t="shared" ref="N33" si="21">N9</f>
        <v>1</v>
      </c>
      <c r="O33" s="204">
        <f t="shared" si="13"/>
        <v>1</v>
      </c>
      <c r="P33" s="204"/>
      <c r="Q33" s="8">
        <f t="shared" si="15"/>
        <v>1</v>
      </c>
      <c r="V33" s="361"/>
      <c r="W33" s="370" t="s">
        <v>44</v>
      </c>
      <c r="X33" s="204">
        <f>V12*AJ$10</f>
        <v>6.0064285714285716E-2</v>
      </c>
      <c r="Y33" s="204">
        <f>$V12*AJ$12</f>
        <v>6.0064285714285716E-2</v>
      </c>
      <c r="Z33" s="204">
        <f t="shared" si="11"/>
        <v>1</v>
      </c>
      <c r="AA33" s="15" t="s">
        <v>44</v>
      </c>
      <c r="AB33" s="371">
        <f t="shared" si="12"/>
        <v>1</v>
      </c>
      <c r="AC33"/>
    </row>
    <row r="34" spans="13:29">
      <c r="M34" s="200" t="s">
        <v>42</v>
      </c>
      <c r="N34" s="204">
        <f t="shared" ref="N34" si="22">N10</f>
        <v>0.9</v>
      </c>
      <c r="O34" s="204">
        <f t="shared" si="13"/>
        <v>1</v>
      </c>
      <c r="P34" s="204"/>
      <c r="Q34" s="8">
        <f t="shared" si="15"/>
        <v>0.9</v>
      </c>
      <c r="V34" s="361"/>
      <c r="W34" s="370" t="s">
        <v>45</v>
      </c>
      <c r="X34" s="204">
        <f>V13*AK$10</f>
        <v>1.4400000000000003E-2</v>
      </c>
      <c r="Y34" s="204">
        <f>$V13*AK$12</f>
        <v>1.4400000000000003E-2</v>
      </c>
      <c r="Z34" s="204">
        <f t="shared" si="11"/>
        <v>1</v>
      </c>
      <c r="AA34" s="15" t="s">
        <v>45</v>
      </c>
      <c r="AB34" s="371">
        <f t="shared" si="12"/>
        <v>1</v>
      </c>
      <c r="AC34"/>
    </row>
    <row r="35" spans="13:29">
      <c r="M35" s="15" t="s">
        <v>43</v>
      </c>
      <c r="N35" s="204">
        <f t="shared" ref="N35" si="23">N11</f>
        <v>0.9</v>
      </c>
      <c r="O35" s="204">
        <f t="shared" si="13"/>
        <v>1</v>
      </c>
      <c r="P35" s="204"/>
      <c r="Q35" s="8">
        <f t="shared" si="15"/>
        <v>0.9</v>
      </c>
      <c r="V35" s="361"/>
      <c r="W35" s="370" t="s">
        <v>46</v>
      </c>
      <c r="X35" s="204">
        <f>V14*AL$10</f>
        <v>8.6400000000000001E-3</v>
      </c>
      <c r="Y35" s="204">
        <f>$V14*AL$12</f>
        <v>8.6400000000000001E-3</v>
      </c>
      <c r="Z35" s="204">
        <f t="shared" si="11"/>
        <v>1</v>
      </c>
      <c r="AA35" s="15" t="s">
        <v>46</v>
      </c>
      <c r="AB35" s="371">
        <f t="shared" si="12"/>
        <v>1</v>
      </c>
      <c r="AC35"/>
    </row>
    <row r="36" spans="13:29">
      <c r="M36" s="15" t="s">
        <v>44</v>
      </c>
      <c r="N36" s="204">
        <f t="shared" ref="N36" si="24">N12</f>
        <v>1</v>
      </c>
      <c r="O36" s="204">
        <f t="shared" si="13"/>
        <v>1</v>
      </c>
      <c r="P36" s="204"/>
      <c r="Q36" s="8">
        <f t="shared" si="15"/>
        <v>1</v>
      </c>
      <c r="V36" s="361"/>
      <c r="W36" s="370" t="s">
        <v>47</v>
      </c>
      <c r="X36" s="204">
        <f>V15*AM$10</f>
        <v>2.1333333333333334E-3</v>
      </c>
      <c r="Y36" s="204">
        <f>$V15*AM$12</f>
        <v>2.1333333333333334E-3</v>
      </c>
      <c r="Z36" s="204">
        <f t="shared" si="11"/>
        <v>1</v>
      </c>
      <c r="AA36" s="15" t="s">
        <v>47</v>
      </c>
      <c r="AB36" s="371">
        <f t="shared" si="12"/>
        <v>1</v>
      </c>
      <c r="AC36"/>
    </row>
    <row r="37" spans="13:29">
      <c r="M37" s="15" t="s">
        <v>45</v>
      </c>
      <c r="N37" s="204">
        <f t="shared" ref="N37" si="25">N13</f>
        <v>0.9</v>
      </c>
      <c r="O37" s="204">
        <f t="shared" si="13"/>
        <v>1</v>
      </c>
      <c r="P37" s="204"/>
      <c r="Q37" s="8">
        <f t="shared" si="15"/>
        <v>0.9</v>
      </c>
      <c r="V37" s="361"/>
      <c r="W37" s="370" t="s">
        <v>48</v>
      </c>
      <c r="X37" s="204">
        <f>V16*AN$10</f>
        <v>6.4000000000000003E-3</v>
      </c>
      <c r="Y37" s="204">
        <f>$V16*AN$12</f>
        <v>6.4000000000000003E-3</v>
      </c>
      <c r="Z37" s="204">
        <f t="shared" si="11"/>
        <v>1</v>
      </c>
      <c r="AA37" s="15" t="s">
        <v>48</v>
      </c>
      <c r="AB37" s="371">
        <f t="shared" si="12"/>
        <v>1</v>
      </c>
      <c r="AC37"/>
    </row>
    <row r="38" spans="13:29">
      <c r="M38" s="15" t="s">
        <v>46</v>
      </c>
      <c r="N38" s="204">
        <f t="shared" ref="N38" si="26">N14</f>
        <v>0.9</v>
      </c>
      <c r="O38" s="204">
        <f t="shared" si="13"/>
        <v>1</v>
      </c>
      <c r="P38" s="204"/>
      <c r="Q38" s="8">
        <f t="shared" si="15"/>
        <v>0.9</v>
      </c>
      <c r="V38" s="361"/>
      <c r="W38" s="372" t="s">
        <v>49</v>
      </c>
      <c r="X38" s="204">
        <f>V17*AO$10</f>
        <v>1.0000000000000002E-6</v>
      </c>
      <c r="Y38" s="204">
        <f>$V17*AO$12</f>
        <v>1.0000000000000002E-6</v>
      </c>
      <c r="Z38" s="204">
        <f t="shared" si="11"/>
        <v>1</v>
      </c>
      <c r="AA38" s="199" t="s">
        <v>49</v>
      </c>
      <c r="AB38" s="371">
        <f t="shared" si="12"/>
        <v>1</v>
      </c>
      <c r="AC38"/>
    </row>
    <row r="39" spans="13:29">
      <c r="M39" s="15" t="s">
        <v>47</v>
      </c>
      <c r="N39" s="204">
        <f t="shared" ref="N39" si="27">N15</f>
        <v>0.9</v>
      </c>
      <c r="O39" s="204">
        <f t="shared" si="13"/>
        <v>1</v>
      </c>
      <c r="P39" s="204"/>
      <c r="Q39" s="8">
        <f t="shared" si="15"/>
        <v>0.9</v>
      </c>
      <c r="V39" s="361"/>
      <c r="W39" s="372" t="s">
        <v>50</v>
      </c>
      <c r="X39" s="204">
        <f>V18*AP$10</f>
        <v>1.0950052557601156E-5</v>
      </c>
      <c r="Y39" s="204">
        <f>$V18*AP$12</f>
        <v>1.0950052557601156E-5</v>
      </c>
      <c r="Z39" s="204">
        <f t="shared" si="11"/>
        <v>1</v>
      </c>
      <c r="AA39" s="199" t="s">
        <v>50</v>
      </c>
      <c r="AB39" s="371">
        <f t="shared" si="12"/>
        <v>1</v>
      </c>
      <c r="AC39"/>
    </row>
    <row r="40" spans="13:29">
      <c r="M40" s="15" t="s">
        <v>48</v>
      </c>
      <c r="N40" s="204">
        <f t="shared" ref="N40" si="28">N16</f>
        <v>1</v>
      </c>
      <c r="O40" s="204">
        <f t="shared" si="13"/>
        <v>1</v>
      </c>
      <c r="P40" s="204"/>
      <c r="Q40" s="8">
        <f t="shared" si="15"/>
        <v>1</v>
      </c>
      <c r="V40" s="361"/>
      <c r="W40" s="370" t="s">
        <v>51</v>
      </c>
      <c r="X40" s="204">
        <f>V19*AQ$10</f>
        <v>5.3999999999999999E-2</v>
      </c>
      <c r="Y40" s="204">
        <f>$V19*AQ$12</f>
        <v>5.3999999999999999E-2</v>
      </c>
      <c r="Z40" s="204">
        <f t="shared" si="11"/>
        <v>1</v>
      </c>
      <c r="AA40" s="15" t="s">
        <v>51</v>
      </c>
      <c r="AB40" s="371">
        <f t="shared" si="12"/>
        <v>1</v>
      </c>
      <c r="AC40"/>
    </row>
    <row r="41" spans="13:29">
      <c r="M41" s="199" t="s">
        <v>49</v>
      </c>
      <c r="N41" s="204">
        <f t="shared" ref="N41" si="29">N17</f>
        <v>1</v>
      </c>
      <c r="O41" s="204">
        <f t="shared" si="13"/>
        <v>0.1</v>
      </c>
      <c r="P41" s="204"/>
      <c r="Q41" s="8">
        <f t="shared" si="15"/>
        <v>0.1</v>
      </c>
      <c r="V41" s="361"/>
      <c r="W41" s="372" t="s">
        <v>52</v>
      </c>
      <c r="X41" s="204">
        <f>V20*AR$10</f>
        <v>2.0901518045744654E-3</v>
      </c>
      <c r="Y41" s="204">
        <f>$V20*AR$12</f>
        <v>2.0901518045744654E-3</v>
      </c>
      <c r="Z41" s="204">
        <f t="shared" si="11"/>
        <v>1</v>
      </c>
      <c r="AA41" s="199" t="s">
        <v>52</v>
      </c>
      <c r="AB41" s="371">
        <f t="shared" si="12"/>
        <v>1</v>
      </c>
      <c r="AC41"/>
    </row>
    <row r="42" spans="13:29">
      <c r="M42" s="199" t="s">
        <v>50</v>
      </c>
      <c r="N42" s="204">
        <f t="shared" ref="N42" si="30">N18</f>
        <v>1</v>
      </c>
      <c r="O42" s="204">
        <f t="shared" si="13"/>
        <v>0.1</v>
      </c>
      <c r="P42" s="204"/>
      <c r="Q42" s="8">
        <f t="shared" si="15"/>
        <v>0.1</v>
      </c>
      <c r="V42" s="361"/>
      <c r="W42" s="372" t="s">
        <v>53</v>
      </c>
      <c r="X42" s="204">
        <f>V21*AS$10</f>
        <v>9.9859885714286244E-3</v>
      </c>
      <c r="Y42" s="204">
        <f>$V21*AS$12</f>
        <v>9.9859885714286244E-3</v>
      </c>
      <c r="Z42" s="204">
        <f t="shared" si="11"/>
        <v>1</v>
      </c>
      <c r="AA42" s="199" t="s">
        <v>53</v>
      </c>
      <c r="AB42" s="371">
        <f t="shared" si="12"/>
        <v>1</v>
      </c>
      <c r="AC42"/>
    </row>
    <row r="43" spans="13:29" ht="14.65" thickBot="1">
      <c r="M43" s="15" t="s">
        <v>51</v>
      </c>
      <c r="N43" s="204">
        <f t="shared" ref="N43" si="31">N19</f>
        <v>0.9</v>
      </c>
      <c r="O43" s="204">
        <f t="shared" si="13"/>
        <v>1</v>
      </c>
      <c r="P43" s="204"/>
      <c r="Q43" s="8">
        <f t="shared" si="15"/>
        <v>0.9</v>
      </c>
      <c r="V43" s="361"/>
      <c r="W43" s="374" t="s">
        <v>822</v>
      </c>
      <c r="X43" s="375">
        <f>V22*AU$10</f>
        <v>1.4324793800390658E-4</v>
      </c>
      <c r="Y43" s="375">
        <f>$V22*AU$12</f>
        <v>1.4324793800390658E-4</v>
      </c>
      <c r="Z43" s="375">
        <f t="shared" si="11"/>
        <v>1</v>
      </c>
      <c r="AA43" s="376" t="s">
        <v>822</v>
      </c>
      <c r="AB43" s="377">
        <f>IF(Z43&gt;1,1,Z43)</f>
        <v>1</v>
      </c>
      <c r="AC43"/>
    </row>
    <row r="44" spans="13:29">
      <c r="M44" s="199" t="s">
        <v>52</v>
      </c>
      <c r="N44" s="204">
        <f t="shared" ref="N44" si="32">N20</f>
        <v>0.9</v>
      </c>
      <c r="O44" s="204">
        <f t="shared" si="13"/>
        <v>1</v>
      </c>
      <c r="P44" s="204"/>
      <c r="Q44" s="8">
        <f t="shared" si="15"/>
        <v>0.9</v>
      </c>
      <c r="W44" s="364"/>
      <c r="X44" s="365"/>
      <c r="Y44" s="365"/>
      <c r="Z44" s="365"/>
      <c r="AA44" s="365"/>
      <c r="AB44" s="365"/>
    </row>
    <row r="45" spans="13:29">
      <c r="M45" s="199" t="s">
        <v>53</v>
      </c>
      <c r="N45" s="204">
        <f t="shared" ref="N45" si="33">N21</f>
        <v>0.9</v>
      </c>
      <c r="O45" s="204">
        <f t="shared" si="13"/>
        <v>1</v>
      </c>
      <c r="P45" s="204"/>
      <c r="Q45" s="8">
        <f t="shared" si="15"/>
        <v>0.9</v>
      </c>
    </row>
    <row r="46" spans="13:29">
      <c r="M46" s="15" t="s">
        <v>602</v>
      </c>
      <c r="N46" s="204">
        <f t="shared" ref="N46" si="34">N22</f>
        <v>0.9</v>
      </c>
      <c r="O46" s="204">
        <f t="shared" si="13"/>
        <v>1</v>
      </c>
      <c r="P46" s="204"/>
      <c r="Q46" s="8">
        <f t="shared" si="15"/>
        <v>0.9</v>
      </c>
    </row>
    <row r="47" spans="13:29">
      <c r="M47"/>
      <c r="N47" s="204"/>
      <c r="O47" s="204"/>
      <c r="P47" s="204"/>
    </row>
  </sheetData>
  <conditionalFormatting sqref="B1">
    <cfRule type="iconSet" priority="114">
      <iconSet reverse="1">
        <cfvo type="percent" val="0"/>
        <cfvo type="percent" val="33"/>
        <cfvo type="percent" val="67"/>
      </iconSet>
    </cfRule>
  </conditionalFormatting>
  <conditionalFormatting sqref="B12">
    <cfRule type="colorScale" priority="113">
      <colorScale>
        <cfvo type="min"/>
        <cfvo type="percentile" val="50"/>
        <cfvo type="max"/>
        <color rgb="FF5A8AC6"/>
        <color rgb="FFFCFCFF"/>
        <color rgb="FFF8696B"/>
      </colorScale>
    </cfRule>
  </conditionalFormatting>
  <conditionalFormatting sqref="B13:B18 B3:B11">
    <cfRule type="colorScale" priority="1173">
      <colorScale>
        <cfvo type="min"/>
        <cfvo type="percentile" val="50"/>
        <cfvo type="max"/>
        <color rgb="FF5A8AC6"/>
        <color rgb="FFFCFCFF"/>
        <color rgb="FFF8696B"/>
      </colorScale>
    </cfRule>
  </conditionalFormatting>
  <conditionalFormatting sqref="B19">
    <cfRule type="colorScale" priority="112">
      <colorScale>
        <cfvo type="min"/>
        <cfvo type="percentile" val="50"/>
        <cfvo type="max"/>
        <color rgb="FF5A8AC6"/>
        <color rgb="FFFCFCFF"/>
        <color rgb="FFF8696B"/>
      </colorScale>
    </cfRule>
  </conditionalFormatting>
  <conditionalFormatting sqref="B20">
    <cfRule type="colorScale" priority="111">
      <colorScale>
        <cfvo type="min"/>
        <cfvo type="percentile" val="50"/>
        <cfvo type="max"/>
        <color rgb="FF5A8AC6"/>
        <color rgb="FFFCFCFF"/>
        <color rgb="FFF8696B"/>
      </colorScale>
    </cfRule>
  </conditionalFormatting>
  <conditionalFormatting sqref="B21">
    <cfRule type="iconSet" priority="110">
      <iconSet reverse="1">
        <cfvo type="percent" val="0"/>
        <cfvo type="percent" val="33"/>
        <cfvo type="percent" val="67"/>
      </iconSet>
    </cfRule>
  </conditionalFormatting>
  <conditionalFormatting sqref="C1:E1">
    <cfRule type="iconSet" priority="522">
      <iconSet reverse="1">
        <cfvo type="percent" val="0"/>
        <cfvo type="percent" val="33"/>
        <cfvo type="percent" val="67"/>
      </iconSet>
    </cfRule>
  </conditionalFormatting>
  <conditionalFormatting sqref="F22:G1048576 F1:G1">
    <cfRule type="colorScale" priority="1140">
      <colorScale>
        <cfvo type="min"/>
        <cfvo type="percentile" val="50"/>
        <cfvo type="max"/>
        <color rgb="FF63BE7B"/>
        <color rgb="FFFFEB84"/>
        <color rgb="FFF8696B"/>
      </colorScale>
    </cfRule>
  </conditionalFormatting>
  <conditionalFormatting sqref="F2:M21">
    <cfRule type="colorScale" priority="1185">
      <colorScale>
        <cfvo type="min"/>
        <cfvo type="percentile" val="50"/>
        <cfvo type="max"/>
        <color rgb="FF63BE7B"/>
        <color rgb="FFFFEB84"/>
        <color rgb="FFF8696B"/>
      </colorScale>
    </cfRule>
  </conditionalFormatting>
  <conditionalFormatting sqref="H22:M25 H1:M1 H48:M1048576 H26:L47">
    <cfRule type="colorScale" priority="136">
      <colorScale>
        <cfvo type="min"/>
        <cfvo type="percentile" val="50"/>
        <cfvo type="max"/>
        <color rgb="FF5A8AC6"/>
        <color rgb="FFFCFCFF"/>
        <color rgb="FFF8696B"/>
      </colorScale>
    </cfRule>
  </conditionalFormatting>
  <conditionalFormatting sqref="K22">
    <cfRule type="colorScale" priority="72">
      <colorScale>
        <cfvo type="min"/>
        <cfvo type="percentile" val="50"/>
        <cfvo type="max"/>
        <color rgb="FF63BE7B"/>
        <color rgb="FFFFEB84"/>
        <color rgb="FFF8696B"/>
      </colorScale>
    </cfRule>
  </conditionalFormatting>
  <conditionalFormatting sqref="K1:M25 K48:M1048576 K26:L47">
    <cfRule type="colorScale" priority="133">
      <colorScale>
        <cfvo type="min"/>
        <cfvo type="percentile" val="50"/>
        <cfvo type="max"/>
        <color rgb="FFF8696B"/>
        <color rgb="FFFCFCFF"/>
        <color rgb="FF5A8AC6"/>
      </colorScale>
    </cfRule>
  </conditionalFormatting>
  <conditionalFormatting sqref="M36">
    <cfRule type="colorScale" priority="38">
      <colorScale>
        <cfvo type="min"/>
        <cfvo type="percentile" val="50"/>
        <cfvo type="max"/>
        <color rgb="FF5A8AC6"/>
        <color rgb="FFFCFCFF"/>
        <color rgb="FFF8696B"/>
      </colorScale>
    </cfRule>
  </conditionalFormatting>
  <conditionalFormatting sqref="M37:M42 M27:M35">
    <cfRule type="colorScale" priority="39">
      <colorScale>
        <cfvo type="min"/>
        <cfvo type="percentile" val="50"/>
        <cfvo type="max"/>
        <color rgb="FF5A8AC6"/>
        <color rgb="FFFCFCFF"/>
        <color rgb="FFF8696B"/>
      </colorScale>
    </cfRule>
  </conditionalFormatting>
  <conditionalFormatting sqref="M43">
    <cfRule type="colorScale" priority="37">
      <colorScale>
        <cfvo type="min"/>
        <cfvo type="percentile" val="50"/>
        <cfvo type="max"/>
        <color rgb="FF5A8AC6"/>
        <color rgb="FFFCFCFF"/>
        <color rgb="FFF8696B"/>
      </colorScale>
    </cfRule>
  </conditionalFormatting>
  <conditionalFormatting sqref="M44">
    <cfRule type="colorScale" priority="36">
      <colorScale>
        <cfvo type="min"/>
        <cfvo type="percentile" val="50"/>
        <cfvo type="max"/>
        <color rgb="FF5A8AC6"/>
        <color rgb="FFFCFCFF"/>
        <color rgb="FFF8696B"/>
      </colorScale>
    </cfRule>
  </conditionalFormatting>
  <conditionalFormatting sqref="M45">
    <cfRule type="iconSet" priority="35">
      <iconSet reverse="1">
        <cfvo type="percent" val="0"/>
        <cfvo type="percent" val="33"/>
        <cfvo type="percent" val="67"/>
      </iconSet>
    </cfRule>
  </conditionalFormatting>
  <conditionalFormatting sqref="N1:P1048576">
    <cfRule type="colorScale" priority="128">
      <colorScale>
        <cfvo type="min"/>
        <cfvo type="percentile" val="50"/>
        <cfvo type="max"/>
        <color rgb="FF63BE7B"/>
        <color rgb="FFFFEB84"/>
        <color rgb="FFF8696B"/>
      </colorScale>
    </cfRule>
  </conditionalFormatting>
  <conditionalFormatting sqref="Q1">
    <cfRule type="iconSet" priority="120">
      <iconSet reverse="1">
        <cfvo type="percent" val="0"/>
        <cfvo type="percent" val="33"/>
        <cfvo type="percent" val="67"/>
      </iconSet>
    </cfRule>
  </conditionalFormatting>
  <conditionalFormatting sqref="Q2:Q15 Q17:Q22">
    <cfRule type="colorScale" priority="52">
      <colorScale>
        <cfvo type="min"/>
        <cfvo type="percentile" val="50"/>
        <cfvo type="max"/>
        <color rgb="FF63BE7B"/>
        <color rgb="FFFCFCFF"/>
        <color rgb="FFF8696B"/>
      </colorScale>
    </cfRule>
    <cfRule type="colorScale" priority="53">
      <colorScale>
        <cfvo type="min"/>
        <cfvo type="percentile" val="50"/>
        <cfvo type="max"/>
        <color rgb="FF63BE7B"/>
        <color rgb="FFFCFCFF"/>
        <color rgb="FFF8696B"/>
      </colorScale>
    </cfRule>
  </conditionalFormatting>
  <conditionalFormatting sqref="Q16">
    <cfRule type="colorScale" priority="50">
      <colorScale>
        <cfvo type="min"/>
        <cfvo type="percentile" val="50"/>
        <cfvo type="max"/>
        <color rgb="FF63BE7B"/>
        <color rgb="FFFCFCFF"/>
        <color rgb="FFF8696B"/>
      </colorScale>
    </cfRule>
    <cfRule type="colorScale" priority="51">
      <colorScale>
        <cfvo type="min"/>
        <cfvo type="percentile" val="50"/>
        <cfvo type="max"/>
        <color rgb="FF63BE7B"/>
        <color rgb="FFFCFCFF"/>
        <color rgb="FFF8696B"/>
      </colorScale>
    </cfRule>
  </conditionalFormatting>
  <conditionalFormatting sqref="R1">
    <cfRule type="colorScale" priority="160">
      <colorScale>
        <cfvo type="min"/>
        <cfvo type="percentile" val="50"/>
        <cfvo type="max"/>
        <color rgb="FF63BE7B"/>
        <color rgb="FFFFEB84"/>
        <color rgb="FFF8696B"/>
      </colorScale>
    </cfRule>
  </conditionalFormatting>
  <conditionalFormatting sqref="R1:R1048576">
    <cfRule type="colorScale" priority="139">
      <colorScale>
        <cfvo type="min"/>
        <cfvo type="percentile" val="50"/>
        <cfvo type="max"/>
        <color rgb="FF63BE7B"/>
        <color rgb="FFFCFCFF"/>
        <color rgb="FFF8696B"/>
      </colorScale>
    </cfRule>
  </conditionalFormatting>
  <conditionalFormatting sqref="R2:R22 U2:U22">
    <cfRule type="colorScale" priority="1180">
      <colorScale>
        <cfvo type="min"/>
        <cfvo type="percentile" val="50"/>
        <cfvo type="max"/>
        <color rgb="FF63BE7B"/>
        <color rgb="FFFCFCFF"/>
        <color rgb="FFF8696B"/>
      </colorScale>
    </cfRule>
  </conditionalFormatting>
  <conditionalFormatting sqref="R2:R22">
    <cfRule type="colorScale" priority="1178">
      <colorScale>
        <cfvo type="min"/>
        <cfvo type="max"/>
        <color rgb="FFFCFCFF"/>
        <color rgb="FFF8696B"/>
      </colorScale>
    </cfRule>
  </conditionalFormatting>
  <conditionalFormatting sqref="S1">
    <cfRule type="colorScale" priority="141">
      <colorScale>
        <cfvo type="min"/>
        <cfvo type="percentile" val="50"/>
        <cfvo type="max"/>
        <color rgb="FF63BE7B"/>
        <color rgb="FFFFEB84"/>
        <color rgb="FFF8696B"/>
      </colorScale>
    </cfRule>
  </conditionalFormatting>
  <conditionalFormatting sqref="S1:S1048576">
    <cfRule type="dataBar" priority="130">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66">
      <colorScale>
        <cfvo type="min"/>
        <cfvo type="percentile" val="50"/>
        <cfvo type="max"/>
        <color rgb="FF63BE7B"/>
        <color rgb="FFFCFCFF"/>
        <color rgb="FFF8696B"/>
      </colorScale>
    </cfRule>
    <cfRule type="colorScale" priority="67">
      <colorScale>
        <cfvo type="min"/>
        <cfvo type="max"/>
        <color rgb="FFFCFCFF"/>
        <color rgb="FFF8696B"/>
      </colorScale>
    </cfRule>
    <cfRule type="colorScale" priority="68">
      <colorScale>
        <cfvo type="min"/>
        <cfvo type="percentile" val="50"/>
        <cfvo type="max"/>
        <color rgb="FF63BE7B"/>
        <color rgb="FFFCFCFF"/>
        <color rgb="FFF8696B"/>
      </colorScale>
    </cfRule>
  </conditionalFormatting>
  <conditionalFormatting sqref="T4">
    <cfRule type="colorScale" priority="63">
      <colorScale>
        <cfvo type="min"/>
        <cfvo type="percentile" val="50"/>
        <cfvo type="max"/>
        <color rgb="FF63BE7B"/>
        <color rgb="FFFCFCFF"/>
        <color rgb="FFF8696B"/>
      </colorScale>
    </cfRule>
    <cfRule type="colorScale" priority="64">
      <colorScale>
        <cfvo type="min"/>
        <cfvo type="max"/>
        <color rgb="FFFCFCFF"/>
        <color rgb="FFF8696B"/>
      </colorScale>
    </cfRule>
    <cfRule type="colorScale" priority="65">
      <colorScale>
        <cfvo type="min"/>
        <cfvo type="percentile" val="50"/>
        <cfvo type="max"/>
        <color rgb="FF63BE7B"/>
        <color rgb="FFFCFCFF"/>
        <color rgb="FFF8696B"/>
      </colorScale>
    </cfRule>
  </conditionalFormatting>
  <conditionalFormatting sqref="T5">
    <cfRule type="colorScale" priority="60">
      <colorScale>
        <cfvo type="min"/>
        <cfvo type="percentile" val="50"/>
        <cfvo type="max"/>
        <color rgb="FF63BE7B"/>
        <color rgb="FFFCFCFF"/>
        <color rgb="FFF8696B"/>
      </colorScale>
    </cfRule>
    <cfRule type="colorScale" priority="61">
      <colorScale>
        <cfvo type="min"/>
        <cfvo type="max"/>
        <color rgb="FFFCFCFF"/>
        <color rgb="FFF8696B"/>
      </colorScale>
    </cfRule>
    <cfRule type="colorScale" priority="62">
      <colorScale>
        <cfvo type="min"/>
        <cfvo type="percentile" val="50"/>
        <cfvo type="max"/>
        <color rgb="FF63BE7B"/>
        <color rgb="FFFCFCFF"/>
        <color rgb="FFF8696B"/>
      </colorScale>
    </cfRule>
  </conditionalFormatting>
  <conditionalFormatting sqref="T6:T15 T17:T22">
    <cfRule type="colorScale" priority="57">
      <colorScale>
        <cfvo type="min"/>
        <cfvo type="percentile" val="50"/>
        <cfvo type="max"/>
        <color rgb="FF63BE7B"/>
        <color rgb="FFFCFCFF"/>
        <color rgb="FFF8696B"/>
      </colorScale>
    </cfRule>
    <cfRule type="colorScale" priority="58">
      <colorScale>
        <cfvo type="min"/>
        <cfvo type="max"/>
        <color rgb="FFFCFCFF"/>
        <color rgb="FFF8696B"/>
      </colorScale>
    </cfRule>
    <cfRule type="colorScale" priority="59">
      <colorScale>
        <cfvo type="min"/>
        <cfvo type="percentile" val="50"/>
        <cfvo type="max"/>
        <color rgb="FF63BE7B"/>
        <color rgb="FFFCFCFF"/>
        <color rgb="FFF8696B"/>
      </colorScale>
    </cfRule>
  </conditionalFormatting>
  <conditionalFormatting sqref="T16">
    <cfRule type="colorScale" priority="54">
      <colorScale>
        <cfvo type="min"/>
        <cfvo type="percentile" val="50"/>
        <cfvo type="max"/>
        <color rgb="FF63BE7B"/>
        <color rgb="FFFCFCFF"/>
        <color rgb="FFF8696B"/>
      </colorScale>
    </cfRule>
    <cfRule type="colorScale" priority="55">
      <colorScale>
        <cfvo type="min"/>
        <cfvo type="max"/>
        <color rgb="FFFCFCFF"/>
        <color rgb="FFF8696B"/>
      </colorScale>
    </cfRule>
    <cfRule type="colorScale" priority="56">
      <colorScale>
        <cfvo type="min"/>
        <cfvo type="percentile" val="50"/>
        <cfvo type="max"/>
        <color rgb="FF63BE7B"/>
        <color rgb="FFFCFCFF"/>
        <color rgb="FFF8696B"/>
      </colorScale>
    </cfRule>
  </conditionalFormatting>
  <conditionalFormatting sqref="U1:U1048576">
    <cfRule type="colorScale" priority="140">
      <colorScale>
        <cfvo type="min"/>
        <cfvo type="percentile" val="50"/>
        <cfvo type="max"/>
        <color rgb="FF63BE7B"/>
        <color rgb="FFFCFCFF"/>
        <color rgb="FFF8696B"/>
      </colorScale>
    </cfRule>
  </conditionalFormatting>
  <conditionalFormatting sqref="V1:V1048576">
    <cfRule type="dataBar" priority="129">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22 W44:W1048576">
    <cfRule type="dataBar" priority="81">
      <dataBar>
        <cfvo type="min"/>
        <cfvo type="max"/>
        <color rgb="FF008AEF"/>
      </dataBar>
      <extLst>
        <ext xmlns:x14="http://schemas.microsoft.com/office/spreadsheetml/2009/9/main" uri="{B025F937-C7B1-47D3-B67F-A62EFF666E3E}">
          <x14:id>{078CFDEC-A5A7-4504-B4FD-3DED17D3E9A7}</x14:id>
        </ext>
      </extLst>
    </cfRule>
  </conditionalFormatting>
  <conditionalFormatting sqref="W33">
    <cfRule type="colorScale" priority="24">
      <colorScale>
        <cfvo type="min"/>
        <cfvo type="percentile" val="50"/>
        <cfvo type="max"/>
        <color rgb="FF5A8AC6"/>
        <color rgb="FFFCFCFF"/>
        <color rgb="FFF8696B"/>
      </colorScale>
    </cfRule>
  </conditionalFormatting>
  <conditionalFormatting sqref="W34:W39 W24:W32">
    <cfRule type="colorScale" priority="25">
      <colorScale>
        <cfvo type="min"/>
        <cfvo type="percentile" val="50"/>
        <cfvo type="max"/>
        <color rgb="FF5A8AC6"/>
        <color rgb="FFFCFCFF"/>
        <color rgb="FFF8696B"/>
      </colorScale>
    </cfRule>
  </conditionalFormatting>
  <conditionalFormatting sqref="W40">
    <cfRule type="colorScale" priority="23">
      <colorScale>
        <cfvo type="min"/>
        <cfvo type="percentile" val="50"/>
        <cfvo type="max"/>
        <color rgb="FF5A8AC6"/>
        <color rgb="FFFCFCFF"/>
        <color rgb="FFF8696B"/>
      </colorScale>
    </cfRule>
  </conditionalFormatting>
  <conditionalFormatting sqref="W41">
    <cfRule type="colorScale" priority="22">
      <colorScale>
        <cfvo type="min"/>
        <cfvo type="percentile" val="50"/>
        <cfvo type="max"/>
        <color rgb="FF5A8AC6"/>
        <color rgb="FFFCFCFF"/>
        <color rgb="FFF8696B"/>
      </colorScale>
    </cfRule>
  </conditionalFormatting>
  <conditionalFormatting sqref="W42">
    <cfRule type="iconSet" priority="21">
      <iconSet reverse="1">
        <cfvo type="percent" val="0"/>
        <cfvo type="percent" val="33"/>
        <cfvo type="percent" val="67"/>
      </iconSet>
    </cfRule>
  </conditionalFormatting>
  <conditionalFormatting sqref="Z23:Z43 AB23:AB43">
    <cfRule type="colorScale" priority="1186">
      <colorScale>
        <cfvo type="min"/>
        <cfvo type="percentile" val="50"/>
        <cfvo type="max"/>
        <color rgb="FF63BE7B"/>
        <color rgb="FFFFEB84"/>
        <color rgb="FFF8696B"/>
      </colorScale>
    </cfRule>
  </conditionalFormatting>
  <conditionalFormatting sqref="Z8:AC8 AE8:AU8">
    <cfRule type="colorScale" priority="29">
      <colorScale>
        <cfvo type="min"/>
        <cfvo type="percentile" val="50"/>
        <cfvo type="max"/>
        <color rgb="FF63BE7B"/>
        <color rgb="FFFFEB84"/>
        <color rgb="FFF8696B"/>
      </colorScale>
    </cfRule>
  </conditionalFormatting>
  <conditionalFormatting sqref="Z18:AC18 AE18:AR18">
    <cfRule type="colorScale" priority="4">
      <colorScale>
        <cfvo type="min"/>
        <cfvo type="percentile" val="50"/>
        <cfvo type="max"/>
        <color rgb="FF63BE7B"/>
        <color rgb="FFFFEB84"/>
        <color rgb="FFF8696B"/>
      </colorScale>
    </cfRule>
  </conditionalFormatting>
  <conditionalFormatting sqref="Z15:AR15">
    <cfRule type="colorScale" priority="7">
      <colorScale>
        <cfvo type="min"/>
        <cfvo type="percentile" val="50"/>
        <cfvo type="max"/>
        <color rgb="FF63BE7B"/>
        <color rgb="FFFFEB84"/>
        <color rgb="FFF8696B"/>
      </colorScale>
    </cfRule>
  </conditionalFormatting>
  <conditionalFormatting sqref="Z16:AR16">
    <cfRule type="colorScale" priority="6">
      <colorScale>
        <cfvo type="min"/>
        <cfvo type="percentile" val="50"/>
        <cfvo type="max"/>
        <color rgb="FF63BE7B"/>
        <color rgb="FFFFEB84"/>
        <color rgb="FFF8696B"/>
      </colorScale>
    </cfRule>
  </conditionalFormatting>
  <conditionalFormatting sqref="Z17:AR17">
    <cfRule type="colorScale" priority="5">
      <colorScale>
        <cfvo type="min"/>
        <cfvo type="percentile" val="50"/>
        <cfvo type="max"/>
        <color rgb="FF63BE7B"/>
        <color rgb="FFFFEB84"/>
        <color rgb="FFF8696B"/>
      </colorScale>
    </cfRule>
  </conditionalFormatting>
  <conditionalFormatting sqref="Z3:AU3">
    <cfRule type="colorScale" priority="34">
      <colorScale>
        <cfvo type="min"/>
        <cfvo type="percentile" val="50"/>
        <cfvo type="max"/>
        <color rgb="FF63BE7B"/>
        <color rgb="FFFFEB84"/>
        <color rgb="FFF8696B"/>
      </colorScale>
    </cfRule>
  </conditionalFormatting>
  <conditionalFormatting sqref="Z4:AU4">
    <cfRule type="colorScale" priority="33">
      <colorScale>
        <cfvo type="min"/>
        <cfvo type="percentile" val="50"/>
        <cfvo type="max"/>
        <color rgb="FF63BE7B"/>
        <color rgb="FFFFEB84"/>
        <color rgb="FFF8696B"/>
      </colorScale>
    </cfRule>
  </conditionalFormatting>
  <conditionalFormatting sqref="Z5:AU5">
    <cfRule type="colorScale" priority="32">
      <colorScale>
        <cfvo type="min"/>
        <cfvo type="percentile" val="50"/>
        <cfvo type="max"/>
        <color rgb="FF63BE7B"/>
        <color rgb="FFFFEB84"/>
        <color rgb="FFF8696B"/>
      </colorScale>
    </cfRule>
  </conditionalFormatting>
  <conditionalFormatting sqref="Z6:AU6">
    <cfRule type="colorScale" priority="31">
      <colorScale>
        <cfvo type="min"/>
        <cfvo type="percentile" val="50"/>
        <cfvo type="max"/>
        <color rgb="FF63BE7B"/>
        <color rgb="FFFFEB84"/>
        <color rgb="FFF8696B"/>
      </colorScale>
    </cfRule>
  </conditionalFormatting>
  <conditionalFormatting sqref="Z7:AU7">
    <cfRule type="colorScale" priority="30">
      <colorScale>
        <cfvo type="min"/>
        <cfvo type="percentile" val="50"/>
        <cfvo type="max"/>
        <color rgb="FF63BE7B"/>
        <color rgb="FFFFEB84"/>
        <color rgb="FFF8696B"/>
      </colorScale>
    </cfRule>
  </conditionalFormatting>
  <conditionalFormatting sqref="Z9:AU9">
    <cfRule type="colorScale" priority="1">
      <colorScale>
        <cfvo type="min"/>
        <cfvo type="percentile" val="50"/>
        <cfvo type="max"/>
        <color rgb="FF63BE7B"/>
        <color rgb="FFFFEB84"/>
        <color rgb="FFF8696B"/>
      </colorScale>
    </cfRule>
  </conditionalFormatting>
  <conditionalFormatting sqref="Z13:AU13">
    <cfRule type="colorScale" priority="9">
      <colorScale>
        <cfvo type="min"/>
        <cfvo type="percentile" val="50"/>
        <cfvo type="max"/>
        <color rgb="FF63BE7B"/>
        <color rgb="FFFFEB84"/>
        <color rgb="FFF8696B"/>
      </colorScale>
    </cfRule>
  </conditionalFormatting>
  <conditionalFormatting sqref="Z14:AU19">
    <cfRule type="colorScale" priority="2">
      <colorScale>
        <cfvo type="min"/>
        <cfvo type="percentile" val="50"/>
        <cfvo type="max"/>
        <color rgb="FF63BE7B"/>
        <color rgb="FFFFEB84"/>
        <color rgb="FFF8696B"/>
      </colorScale>
    </cfRule>
  </conditionalFormatting>
  <conditionalFormatting sqref="AA33">
    <cfRule type="colorScale" priority="13">
      <colorScale>
        <cfvo type="min"/>
        <cfvo type="percentile" val="50"/>
        <cfvo type="max"/>
        <color rgb="FF5A8AC6"/>
        <color rgb="FFFCFCFF"/>
        <color rgb="FFF8696B"/>
      </colorScale>
    </cfRule>
  </conditionalFormatting>
  <conditionalFormatting sqref="AA34:AA39 AA24:AA32">
    <cfRule type="colorScale" priority="14">
      <colorScale>
        <cfvo type="min"/>
        <cfvo type="percentile" val="50"/>
        <cfvo type="max"/>
        <color rgb="FF5A8AC6"/>
        <color rgb="FFFCFCFF"/>
        <color rgb="FFF8696B"/>
      </colorScale>
    </cfRule>
  </conditionalFormatting>
  <conditionalFormatting sqref="AA40">
    <cfRule type="colorScale" priority="12">
      <colorScale>
        <cfvo type="min"/>
        <cfvo type="percentile" val="50"/>
        <cfvo type="max"/>
        <color rgb="FF5A8AC6"/>
        <color rgb="FFFCFCFF"/>
        <color rgb="FFF8696B"/>
      </colorScale>
    </cfRule>
  </conditionalFormatting>
  <conditionalFormatting sqref="AA41">
    <cfRule type="colorScale" priority="11">
      <colorScale>
        <cfvo type="min"/>
        <cfvo type="percentile" val="50"/>
        <cfvo type="max"/>
        <color rgb="FF5A8AC6"/>
        <color rgb="FFFCFCFF"/>
        <color rgb="FFF8696B"/>
      </colorScale>
    </cfRule>
  </conditionalFormatting>
  <conditionalFormatting sqref="AA42">
    <cfRule type="iconSet" priority="10">
      <iconSet reverse="1">
        <cfvo type="percent" val="0"/>
        <cfvo type="percent" val="33"/>
        <cfvo type="percent" val="67"/>
      </iconSet>
    </cfRule>
  </conditionalFormatting>
  <conditionalFormatting sqref="AA14:AR14">
    <cfRule type="colorScale" priority="8">
      <colorScale>
        <cfvo type="min"/>
        <cfvo type="percentile" val="50"/>
        <cfvo type="max"/>
        <color rgb="FF63BE7B"/>
        <color rgb="FFFFEB84"/>
        <color rgb="FFF8696B"/>
      </colorScale>
    </cfRule>
  </conditionalFormatting>
  <conditionalFormatting sqref="AB23:AB43">
    <cfRule type="colorScale" priority="15">
      <colorScale>
        <cfvo type="min"/>
        <cfvo type="percentile" val="50"/>
        <cfvo type="max"/>
        <color rgb="FF63BE7B"/>
        <color rgb="FFFFEB84"/>
        <color rgb="FFF8696B"/>
      </colorScale>
    </cfRule>
  </conditionalFormatting>
  <conditionalFormatting sqref="AD8">
    <cfRule type="colorScale" priority="28">
      <colorScale>
        <cfvo type="min"/>
        <cfvo type="percentile" val="50"/>
        <cfvo type="max"/>
        <color rgb="FF63BE7B"/>
        <color rgb="FFFFEB84"/>
        <color rgb="FFF8696B"/>
      </colorScale>
    </cfRule>
  </conditionalFormatting>
  <conditionalFormatting sqref="AD18">
    <cfRule type="colorScale" priority="3">
      <colorScale>
        <cfvo type="min"/>
        <cfvo type="percentile" val="50"/>
        <cfvo type="max"/>
        <color rgb="FF63BE7B"/>
        <color rgb="FFFFEB84"/>
        <color rgb="FFF8696B"/>
      </colorScale>
    </cfRule>
  </conditionalFormatting>
  <conditionalFormatting sqref="AJ2">
    <cfRule type="colorScale" priority="79">
      <colorScale>
        <cfvo type="min"/>
        <cfvo type="percentile" val="50"/>
        <cfvo type="max"/>
        <color rgb="FF5A8AC6"/>
        <color rgb="FFFCFCFF"/>
        <color rgb="FFF8696B"/>
      </colorScale>
    </cfRule>
  </conditionalFormatting>
  <conditionalFormatting sqref="AK2:AP2 AA2:AI2">
    <cfRule type="colorScale" priority="80">
      <colorScale>
        <cfvo type="min"/>
        <cfvo type="percentile" val="50"/>
        <cfvo type="max"/>
        <color rgb="FF5A8AC6"/>
        <color rgb="FFFCFCFF"/>
        <color rgb="FFF8696B"/>
      </colorScale>
    </cfRule>
  </conditionalFormatting>
  <conditionalFormatting sqref="AQ2">
    <cfRule type="colorScale" priority="75">
      <colorScale>
        <cfvo type="min"/>
        <cfvo type="percentile" val="50"/>
        <cfvo type="max"/>
        <color rgb="FF5A8AC6"/>
        <color rgb="FFFCFCFF"/>
        <color rgb="FFF8696B"/>
      </colorScale>
    </cfRule>
  </conditionalFormatting>
  <conditionalFormatting sqref="AR2">
    <cfRule type="colorScale" priority="74">
      <colorScale>
        <cfvo type="min"/>
        <cfvo type="percentile" val="50"/>
        <cfvo type="max"/>
        <color rgb="FF5A8AC6"/>
        <color rgb="FFFCFCFF"/>
        <color rgb="FFF8696B"/>
      </colorScale>
    </cfRule>
  </conditionalFormatting>
  <conditionalFormatting sqref="AS2">
    <cfRule type="iconSet" priority="73">
      <iconSet reverse="1">
        <cfvo type="percent" val="0"/>
        <cfvo type="percent" val="33"/>
        <cfvo type="percent" val="67"/>
      </iconSet>
    </cfRule>
  </conditionalFormatting>
  <pageMargins left="0.7" right="0.7" top="0.75" bottom="0.75" header="0.3" footer="0.3"/>
  <pageSetup paperSize="9" scale="70" fitToWidth="0" orientation="landscape" r:id="rId1"/>
  <drawing r:id="rId2"/>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W1:W22 W44:W1048576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dimension ref="C2:Y48"/>
  <sheetViews>
    <sheetView topLeftCell="F19" zoomScale="75" zoomScaleNormal="75" zoomScaleSheetLayoutView="75" workbookViewId="0">
      <selection activeCell="Z25" sqref="Z25"/>
    </sheetView>
  </sheetViews>
  <sheetFormatPr baseColWidth="10" defaultColWidth="11.53125" defaultRowHeight="14.25"/>
  <cols>
    <col min="8" max="8" width="15.265625" style="349" customWidth="1"/>
    <col min="9" max="10" width="10.86328125" style="14"/>
    <col min="11" max="11" width="14.46484375" style="14" customWidth="1"/>
    <col min="13" max="13" width="15.796875" customWidth="1"/>
    <col min="14" max="14" width="11.53125" style="14"/>
    <col min="17" max="17" width="16.46484375" customWidth="1"/>
  </cols>
  <sheetData>
    <row r="2" spans="7:25" ht="21">
      <c r="G2" s="320" t="s">
        <v>55</v>
      </c>
      <c r="H2" s="348" t="s">
        <v>34</v>
      </c>
      <c r="I2" s="321" t="s">
        <v>56</v>
      </c>
      <c r="J2" s="321" t="s">
        <v>81</v>
      </c>
      <c r="K2" s="321" t="s">
        <v>608</v>
      </c>
      <c r="R2" t="s">
        <v>777</v>
      </c>
      <c r="W2" s="319"/>
      <c r="X2" s="20"/>
      <c r="Y2" s="21"/>
    </row>
    <row r="3" spans="7:25" ht="21">
      <c r="G3" s="322" t="s">
        <v>54</v>
      </c>
      <c r="H3" s="346">
        <f>calculRISKS!R2</f>
        <v>1.4999999999999999E-2</v>
      </c>
      <c r="I3" s="323">
        <f>calculRISKS!S2</f>
        <v>0</v>
      </c>
      <c r="J3" s="323">
        <f>calculRISKS!V2</f>
        <v>0</v>
      </c>
      <c r="K3" s="346">
        <f>(MAX(I3,J3)-(H3+(H3*0.1)))</f>
        <v>-1.6500000000000001E-2</v>
      </c>
      <c r="M3" s="324" t="s">
        <v>92</v>
      </c>
      <c r="N3" s="27"/>
      <c r="O3" s="327">
        <v>-5</v>
      </c>
      <c r="Q3" s="322" t="s">
        <v>54</v>
      </c>
      <c r="R3" s="329">
        <f>MIN(I3:J3)/H3</f>
        <v>0</v>
      </c>
      <c r="S3">
        <v>1.2</v>
      </c>
      <c r="T3" s="27">
        <f>IF(R3&gt;3,3,R3)</f>
        <v>0</v>
      </c>
      <c r="U3" s="27">
        <v>2.2000000000000002</v>
      </c>
      <c r="V3" s="27">
        <v>3</v>
      </c>
      <c r="W3" s="19" t="s">
        <v>778</v>
      </c>
      <c r="X3" s="19" t="s">
        <v>780</v>
      </c>
      <c r="Y3" s="19" t="s">
        <v>779</v>
      </c>
    </row>
    <row r="4" spans="7:25" ht="21">
      <c r="G4" s="325" t="s">
        <v>35</v>
      </c>
      <c r="H4" s="346">
        <f>calculRISKS!R3</f>
        <v>0</v>
      </c>
      <c r="I4" s="323">
        <f>calculRISKS!S3</f>
        <v>0</v>
      </c>
      <c r="J4" s="323">
        <f>calculRISKS!V3</f>
        <v>0</v>
      </c>
      <c r="K4" s="346">
        <f t="shared" ref="K4:K23" si="0">MAX(I4,J4)-(H4+(H4*0.1))</f>
        <v>0</v>
      </c>
      <c r="M4" s="324" t="s">
        <v>93</v>
      </c>
      <c r="N4" s="27"/>
      <c r="O4" s="327"/>
      <c r="Q4" s="325" t="s">
        <v>35</v>
      </c>
      <c r="R4" s="329" t="e">
        <f t="shared" ref="R4:R23" si="1">MIN(I4:J4)/H4</f>
        <v>#DIV/0!</v>
      </c>
      <c r="S4">
        <v>1.2</v>
      </c>
      <c r="T4" s="27" t="e">
        <f t="shared" ref="T4:T23" si="2">IF(R4&gt;3,3,R4)</f>
        <v>#DIV/0!</v>
      </c>
      <c r="U4" s="27">
        <v>2.2000000000000002</v>
      </c>
      <c r="V4" s="27">
        <v>3</v>
      </c>
      <c r="W4" s="19" t="s">
        <v>778</v>
      </c>
      <c r="X4" s="19" t="s">
        <v>780</v>
      </c>
      <c r="Y4" s="19" t="s">
        <v>779</v>
      </c>
    </row>
    <row r="5" spans="7:25" ht="21">
      <c r="G5" s="325" t="s">
        <v>36</v>
      </c>
      <c r="H5" s="346">
        <f>calculRISKS!R4</f>
        <v>7.456571428571368E-3</v>
      </c>
      <c r="I5" s="323">
        <f>calculRISKS!S4</f>
        <v>8.947885714285642E-3</v>
      </c>
      <c r="J5" s="323">
        <f>calculRISKS!V4</f>
        <v>2.038645714285706E-2</v>
      </c>
      <c r="K5" s="346">
        <f t="shared" si="0"/>
        <v>1.2184228571428556E-2</v>
      </c>
      <c r="M5" s="324" t="s">
        <v>94</v>
      </c>
      <c r="N5" s="27"/>
      <c r="O5" s="327">
        <v>5</v>
      </c>
      <c r="Q5" s="325" t="s">
        <v>36</v>
      </c>
      <c r="R5" s="329">
        <f t="shared" si="1"/>
        <v>1.2</v>
      </c>
      <c r="S5">
        <v>1.2</v>
      </c>
      <c r="T5" s="27">
        <f t="shared" si="2"/>
        <v>1.2</v>
      </c>
      <c r="U5" s="27">
        <v>2.2000000000000002</v>
      </c>
      <c r="V5" s="27">
        <v>3</v>
      </c>
      <c r="W5" s="19" t="s">
        <v>778</v>
      </c>
      <c r="X5" s="19" t="s">
        <v>780</v>
      </c>
      <c r="Y5" s="19" t="s">
        <v>779</v>
      </c>
    </row>
    <row r="6" spans="7:25" ht="21">
      <c r="G6" s="325" t="s">
        <v>37</v>
      </c>
      <c r="H6" s="346">
        <f>calculRISKS!R5</f>
        <v>7.6800000000001534E-2</v>
      </c>
      <c r="I6" s="323">
        <f>calculRISKS!S5</f>
        <v>8.2944000000001655E-2</v>
      </c>
      <c r="J6" s="323">
        <f>calculRISKS!V5</f>
        <v>9.2124000000001732E-2</v>
      </c>
      <c r="K6" s="346">
        <f t="shared" si="0"/>
        <v>7.6440000000000397E-3</v>
      </c>
      <c r="M6" s="324" t="s">
        <v>95</v>
      </c>
      <c r="N6" s="27"/>
      <c r="O6" s="327">
        <v>20</v>
      </c>
      <c r="Q6" s="325" t="s">
        <v>37</v>
      </c>
      <c r="R6" s="329">
        <f t="shared" si="1"/>
        <v>1.08</v>
      </c>
      <c r="S6">
        <v>1.2</v>
      </c>
      <c r="T6" s="27">
        <f t="shared" si="2"/>
        <v>1.08</v>
      </c>
      <c r="U6" s="27">
        <v>2.2000000000000002</v>
      </c>
      <c r="V6" s="27">
        <v>3</v>
      </c>
      <c r="W6" s="19" t="s">
        <v>778</v>
      </c>
      <c r="X6" s="19" t="s">
        <v>780</v>
      </c>
      <c r="Y6" s="19" t="s">
        <v>779</v>
      </c>
    </row>
    <row r="7" spans="7:25" ht="21">
      <c r="G7" s="325" t="s">
        <v>38</v>
      </c>
      <c r="H7" s="346">
        <f>calculRISKS!R6</f>
        <v>5.6100571428571184E-3</v>
      </c>
      <c r="I7" s="323">
        <f>calculRISKS!S6</f>
        <v>3.3660342857142708E-3</v>
      </c>
      <c r="J7" s="323">
        <f>calculRISKS!V6</f>
        <v>5.2378628571428396E-3</v>
      </c>
      <c r="K7" s="346">
        <f t="shared" si="0"/>
        <v>-9.3319999999999081E-4</v>
      </c>
      <c r="N7" s="27"/>
      <c r="Q7" s="325" t="s">
        <v>38</v>
      </c>
      <c r="R7" s="329">
        <f t="shared" si="1"/>
        <v>0.6</v>
      </c>
      <c r="S7">
        <v>1.2</v>
      </c>
      <c r="T7" s="27">
        <f t="shared" si="2"/>
        <v>0.6</v>
      </c>
      <c r="U7" s="27">
        <v>2.2000000000000002</v>
      </c>
      <c r="V7" s="27">
        <v>3</v>
      </c>
      <c r="W7" s="19" t="s">
        <v>778</v>
      </c>
      <c r="X7" s="19" t="s">
        <v>780</v>
      </c>
      <c r="Y7" s="19" t="s">
        <v>779</v>
      </c>
    </row>
    <row r="8" spans="7:25" ht="21">
      <c r="G8" s="325" t="s">
        <v>39</v>
      </c>
      <c r="H8" s="346">
        <f>calculRISKS!R7</f>
        <v>1.9014759111638108E-3</v>
      </c>
      <c r="I8" s="323">
        <f>calculRISKS!S7</f>
        <v>1.7113283200474298E-3</v>
      </c>
      <c r="J8" s="323">
        <f>calculRISKS!V7</f>
        <v>3.9329382246664005E-3</v>
      </c>
      <c r="K8" s="346">
        <f t="shared" si="0"/>
        <v>1.8413147223862087E-3</v>
      </c>
      <c r="N8" s="27"/>
      <c r="Q8" s="325" t="s">
        <v>39</v>
      </c>
      <c r="R8" s="329">
        <f t="shared" si="1"/>
        <v>0.9</v>
      </c>
      <c r="S8">
        <v>1.2</v>
      </c>
      <c r="T8" s="27">
        <f t="shared" si="2"/>
        <v>0.9</v>
      </c>
      <c r="U8" s="27">
        <v>2.2000000000000002</v>
      </c>
      <c r="V8" s="27">
        <v>3</v>
      </c>
      <c r="W8" s="19" t="s">
        <v>778</v>
      </c>
      <c r="X8" s="19" t="s">
        <v>780</v>
      </c>
      <c r="Y8" s="19" t="s">
        <v>779</v>
      </c>
    </row>
    <row r="9" spans="7:25" ht="21">
      <c r="G9" s="325" t="s">
        <v>247</v>
      </c>
      <c r="H9" s="346">
        <f>calculRISKS!R8</f>
        <v>0.17388571428571434</v>
      </c>
      <c r="I9" s="323">
        <f>calculRISKS!S8</f>
        <v>0.174682383636758</v>
      </c>
      <c r="J9" s="323">
        <f>calculRISKS!V8</f>
        <v>0.174682383636758</v>
      </c>
      <c r="K9" s="346">
        <f t="shared" si="0"/>
        <v>-1.6591902077527781E-2</v>
      </c>
      <c r="N9" s="27"/>
      <c r="Q9" s="325" t="s">
        <v>247</v>
      </c>
      <c r="R9" s="329">
        <f t="shared" si="1"/>
        <v>1.0045815687293014</v>
      </c>
      <c r="S9">
        <v>1.2</v>
      </c>
      <c r="T9" s="27">
        <f t="shared" si="2"/>
        <v>1.0045815687293014</v>
      </c>
      <c r="U9" s="27">
        <v>2.2000000000000002</v>
      </c>
      <c r="V9" s="27">
        <v>3</v>
      </c>
      <c r="W9" s="19" t="s">
        <v>778</v>
      </c>
      <c r="X9" s="19" t="s">
        <v>780</v>
      </c>
      <c r="Y9" s="19" t="s">
        <v>779</v>
      </c>
    </row>
    <row r="10" spans="7:25" ht="21">
      <c r="G10" s="325" t="s">
        <v>41</v>
      </c>
      <c r="H10" s="346">
        <f>calculRISKS!R9</f>
        <v>4.4000000000000011E-2</v>
      </c>
      <c r="I10" s="323">
        <f>calculRISKS!S9</f>
        <v>0</v>
      </c>
      <c r="J10" s="323">
        <f>calculRISKS!V9</f>
        <v>5.4000000000000006E-2</v>
      </c>
      <c r="K10" s="346">
        <f t="shared" si="0"/>
        <v>5.5999999999999939E-3</v>
      </c>
      <c r="N10" s="27"/>
      <c r="Q10" s="325" t="s">
        <v>41</v>
      </c>
      <c r="R10" s="329">
        <f t="shared" si="1"/>
        <v>0</v>
      </c>
      <c r="S10">
        <v>1.2</v>
      </c>
      <c r="T10" s="27">
        <f t="shared" si="2"/>
        <v>0</v>
      </c>
      <c r="U10" s="27">
        <v>2.2000000000000002</v>
      </c>
      <c r="V10" s="27">
        <v>3</v>
      </c>
      <c r="W10" s="19" t="s">
        <v>778</v>
      </c>
      <c r="X10" s="19" t="s">
        <v>780</v>
      </c>
      <c r="Y10" s="19" t="s">
        <v>779</v>
      </c>
    </row>
    <row r="11" spans="7:25" ht="21">
      <c r="G11" s="325" t="s">
        <v>42</v>
      </c>
      <c r="H11" s="346">
        <f>calculRISKS!R10</f>
        <v>0.12</v>
      </c>
      <c r="I11" s="323">
        <f>calculRISKS!S10</f>
        <v>0.12959999999999999</v>
      </c>
      <c r="J11" s="323">
        <f>calculRISKS!V10</f>
        <v>0.15300000000000005</v>
      </c>
      <c r="K11" s="346">
        <f t="shared" si="0"/>
        <v>2.1000000000000046E-2</v>
      </c>
      <c r="N11" s="27"/>
      <c r="Q11" s="325" t="s">
        <v>42</v>
      </c>
      <c r="R11" s="329">
        <f t="shared" si="1"/>
        <v>1.08</v>
      </c>
      <c r="S11">
        <v>1.2</v>
      </c>
      <c r="T11" s="27">
        <f t="shared" si="2"/>
        <v>1.08</v>
      </c>
      <c r="U11" s="27">
        <v>2.2000000000000002</v>
      </c>
      <c r="V11" s="27">
        <v>3</v>
      </c>
      <c r="W11" s="19" t="s">
        <v>778</v>
      </c>
      <c r="X11" s="19" t="s">
        <v>780</v>
      </c>
      <c r="Y11" s="19" t="s">
        <v>779</v>
      </c>
    </row>
    <row r="12" spans="7:25" ht="21">
      <c r="G12" s="325" t="s">
        <v>246</v>
      </c>
      <c r="H12" s="346">
        <f>calculRISKS!R11</f>
        <v>1.5485714285714297E-2</v>
      </c>
      <c r="I12" s="323">
        <f>calculRISKS!S11</f>
        <v>0</v>
      </c>
      <c r="J12" s="323">
        <f>calculRISKS!V11</f>
        <v>1.7488928571428575E-2</v>
      </c>
      <c r="K12" s="346">
        <f t="shared" si="0"/>
        <v>4.5464285714284791E-4</v>
      </c>
      <c r="N12" s="27"/>
      <c r="Q12" s="325" t="s">
        <v>246</v>
      </c>
      <c r="R12" s="329">
        <f t="shared" si="1"/>
        <v>0</v>
      </c>
      <c r="S12">
        <v>1.2</v>
      </c>
      <c r="T12" s="27">
        <f t="shared" si="2"/>
        <v>0</v>
      </c>
      <c r="U12" s="27">
        <v>2.2000000000000002</v>
      </c>
      <c r="V12" s="27">
        <v>3</v>
      </c>
      <c r="W12" s="19" t="s">
        <v>778</v>
      </c>
      <c r="X12" s="19" t="s">
        <v>780</v>
      </c>
      <c r="Y12" s="19" t="s">
        <v>779</v>
      </c>
    </row>
    <row r="13" spans="7:25" ht="21">
      <c r="G13" s="325" t="s">
        <v>44</v>
      </c>
      <c r="H13" s="346">
        <f>calculRISKS!R12</f>
        <v>0.13542857142857145</v>
      </c>
      <c r="I13" s="323">
        <f>calculRISKS!S12</f>
        <v>6.7714285714285727E-2</v>
      </c>
      <c r="J13" s="323">
        <f>calculRISKS!V12</f>
        <v>7.5080357142857143E-2</v>
      </c>
      <c r="K13" s="346">
        <f t="shared" si="0"/>
        <v>-7.3891071428571445E-2</v>
      </c>
      <c r="N13" s="27"/>
      <c r="Q13" s="325" t="s">
        <v>44</v>
      </c>
      <c r="R13" s="329">
        <f t="shared" si="1"/>
        <v>0.5</v>
      </c>
      <c r="S13">
        <v>1.2</v>
      </c>
      <c r="T13" s="27">
        <f t="shared" si="2"/>
        <v>0.5</v>
      </c>
      <c r="U13" s="27">
        <v>2.2000000000000002</v>
      </c>
      <c r="V13" s="27">
        <v>3</v>
      </c>
      <c r="W13" s="19" t="s">
        <v>778</v>
      </c>
      <c r="X13" s="19" t="s">
        <v>780</v>
      </c>
      <c r="Y13" s="19" t="s">
        <v>779</v>
      </c>
    </row>
    <row r="14" spans="7:25" ht="21">
      <c r="G14" s="325" t="s">
        <v>45</v>
      </c>
      <c r="H14" s="346">
        <f>calculRISKS!R13</f>
        <v>0.02</v>
      </c>
      <c r="I14" s="323">
        <f>calculRISKS!S13</f>
        <v>1.8000000000000002E-2</v>
      </c>
      <c r="J14" s="323">
        <f>calculRISKS!V13</f>
        <v>1.8000000000000002E-2</v>
      </c>
      <c r="K14" s="346">
        <f t="shared" si="0"/>
        <v>-3.9999999999999966E-3</v>
      </c>
      <c r="N14" s="27"/>
      <c r="Q14" s="325" t="s">
        <v>45</v>
      </c>
      <c r="R14" s="329">
        <f t="shared" si="1"/>
        <v>0.90000000000000013</v>
      </c>
      <c r="S14">
        <v>1.2</v>
      </c>
      <c r="T14" s="27">
        <f t="shared" si="2"/>
        <v>0.90000000000000013</v>
      </c>
      <c r="U14" s="27">
        <v>2.2000000000000002</v>
      </c>
      <c r="V14" s="27">
        <v>3</v>
      </c>
      <c r="W14" s="19" t="s">
        <v>778</v>
      </c>
      <c r="X14" s="19" t="s">
        <v>780</v>
      </c>
      <c r="Y14" s="19" t="s">
        <v>779</v>
      </c>
    </row>
    <row r="15" spans="7:25" ht="21">
      <c r="G15" s="325" t="s">
        <v>46</v>
      </c>
      <c r="H15" s="346">
        <f>calculRISKS!R14</f>
        <v>1.2E-2</v>
      </c>
      <c r="I15" s="323">
        <f>calculRISKS!S14</f>
        <v>1.0800000000000001E-2</v>
      </c>
      <c r="J15" s="323">
        <f>calculRISKS!V14</f>
        <v>1.0800000000000001E-2</v>
      </c>
      <c r="K15" s="346">
        <f t="shared" si="0"/>
        <v>-2.3999999999999994E-3</v>
      </c>
      <c r="N15" s="27"/>
      <c r="Q15" s="325" t="s">
        <v>46</v>
      </c>
      <c r="R15" s="329">
        <f t="shared" si="1"/>
        <v>0.9</v>
      </c>
      <c r="S15">
        <v>1.2</v>
      </c>
      <c r="T15" s="27">
        <f t="shared" si="2"/>
        <v>0.9</v>
      </c>
      <c r="U15" s="27">
        <v>2.2000000000000002</v>
      </c>
      <c r="V15" s="27">
        <v>3</v>
      </c>
      <c r="W15" s="19" t="s">
        <v>778</v>
      </c>
      <c r="X15" s="19" t="s">
        <v>780</v>
      </c>
      <c r="Y15" s="19" t="s">
        <v>779</v>
      </c>
    </row>
    <row r="16" spans="7:25" ht="21">
      <c r="G16" s="325" t="s">
        <v>47</v>
      </c>
      <c r="H16" s="346">
        <f>calculRISKS!R15</f>
        <v>2.6845704546036575E-2</v>
      </c>
      <c r="I16" s="323">
        <f>calculRISKS!S15</f>
        <v>2.6666666666666666E-3</v>
      </c>
      <c r="J16" s="323">
        <f>calculRISKS!V15</f>
        <v>2.6666666666666666E-3</v>
      </c>
      <c r="K16" s="346">
        <f t="shared" si="0"/>
        <v>-2.6863608333973565E-2</v>
      </c>
      <c r="N16" s="27"/>
      <c r="Q16" s="325" t="s">
        <v>47</v>
      </c>
      <c r="R16" s="329">
        <f t="shared" si="1"/>
        <v>9.9333085562858359E-2</v>
      </c>
      <c r="S16">
        <v>1.2</v>
      </c>
      <c r="T16" s="27">
        <f t="shared" si="2"/>
        <v>9.9333085562858359E-2</v>
      </c>
      <c r="U16" s="27">
        <v>2.2000000000000002</v>
      </c>
      <c r="V16" s="27">
        <v>3</v>
      </c>
      <c r="W16" s="19" t="s">
        <v>778</v>
      </c>
      <c r="X16" s="19" t="s">
        <v>780</v>
      </c>
      <c r="Y16" s="19" t="s">
        <v>779</v>
      </c>
    </row>
    <row r="17" spans="3:25" ht="21">
      <c r="G17" s="325" t="s">
        <v>48</v>
      </c>
      <c r="H17" s="346">
        <f>calculRISKS!R16</f>
        <v>6.9733333333333231E-2</v>
      </c>
      <c r="I17" s="323">
        <f>calculRISKS!S16</f>
        <v>8.0000000000000002E-3</v>
      </c>
      <c r="J17" s="323">
        <f>calculRISKS!V16</f>
        <v>8.0000000000000002E-3</v>
      </c>
      <c r="K17" s="346">
        <f t="shared" si="0"/>
        <v>-6.8706666666666555E-2</v>
      </c>
      <c r="N17" s="27"/>
      <c r="Q17" s="325" t="s">
        <v>48</v>
      </c>
      <c r="R17" s="329">
        <f t="shared" si="1"/>
        <v>0.11472275334608048</v>
      </c>
      <c r="S17">
        <v>1.2</v>
      </c>
      <c r="T17" s="27">
        <f t="shared" si="2"/>
        <v>0.11472275334608048</v>
      </c>
      <c r="U17" s="27">
        <v>2.2000000000000002</v>
      </c>
      <c r="V17" s="27">
        <v>3</v>
      </c>
      <c r="W17" s="19" t="s">
        <v>778</v>
      </c>
      <c r="X17" s="19" t="s">
        <v>780</v>
      </c>
      <c r="Y17" s="19" t="s">
        <v>779</v>
      </c>
    </row>
    <row r="18" spans="3:25" ht="21">
      <c r="G18" s="325" t="s">
        <v>49</v>
      </c>
      <c r="H18" s="346">
        <f>calculRISKS!R17</f>
        <v>1E-3</v>
      </c>
      <c r="I18" s="323">
        <f>calculRISKS!S17</f>
        <v>8.0000000000000013E-6</v>
      </c>
      <c r="J18" s="323">
        <f>calculRISKS!V17</f>
        <v>1.0000000000000001E-5</v>
      </c>
      <c r="K18" s="346">
        <f t="shared" si="0"/>
        <v>-1.09E-3</v>
      </c>
      <c r="N18" s="27"/>
      <c r="Q18" s="325" t="s">
        <v>49</v>
      </c>
      <c r="R18" s="329">
        <f t="shared" si="1"/>
        <v>8.0000000000000019E-3</v>
      </c>
      <c r="S18">
        <v>1.2</v>
      </c>
      <c r="T18" s="27">
        <f t="shared" si="2"/>
        <v>8.0000000000000019E-3</v>
      </c>
      <c r="U18" s="27">
        <v>2.2000000000000002</v>
      </c>
      <c r="V18" s="27">
        <v>3</v>
      </c>
      <c r="W18" s="19" t="s">
        <v>778</v>
      </c>
      <c r="X18" s="19" t="s">
        <v>780</v>
      </c>
      <c r="Y18" s="19" t="s">
        <v>779</v>
      </c>
    </row>
    <row r="19" spans="3:25" ht="21">
      <c r="G19" s="325" t="s">
        <v>50</v>
      </c>
      <c r="H19" s="346">
        <f>calculRISKS!R18</f>
        <v>7.7392311830116068E-3</v>
      </c>
      <c r="I19" s="323">
        <f>calculRISKS!S18</f>
        <v>7.7392311830116071E-5</v>
      </c>
      <c r="J19" s="323">
        <f>calculRISKS!V18</f>
        <v>1.0950052557601156E-4</v>
      </c>
      <c r="K19" s="346">
        <f t="shared" si="0"/>
        <v>-8.4036537757367566E-3</v>
      </c>
      <c r="N19" s="27"/>
      <c r="Q19" s="325" t="s">
        <v>50</v>
      </c>
      <c r="R19" s="329">
        <f t="shared" si="1"/>
        <v>0.01</v>
      </c>
      <c r="S19">
        <v>1.2</v>
      </c>
      <c r="T19" s="27">
        <f t="shared" si="2"/>
        <v>0.01</v>
      </c>
      <c r="U19" s="27">
        <v>2.2000000000000002</v>
      </c>
      <c r="V19" s="27">
        <v>3</v>
      </c>
      <c r="W19" s="19" t="s">
        <v>778</v>
      </c>
      <c r="X19" s="19" t="s">
        <v>780</v>
      </c>
      <c r="Y19" s="19" t="s">
        <v>779</v>
      </c>
    </row>
    <row r="20" spans="3:25" ht="21">
      <c r="G20" s="325" t="s">
        <v>51</v>
      </c>
      <c r="H20" s="346">
        <f>calculRISKS!R19</f>
        <v>0.06</v>
      </c>
      <c r="I20" s="323">
        <f>calculRISKS!S19</f>
        <v>5.3999999999999999E-2</v>
      </c>
      <c r="J20" s="323">
        <f>calculRISKS!V19</f>
        <v>5.3999999999999999E-2</v>
      </c>
      <c r="K20" s="346">
        <f t="shared" si="0"/>
        <v>-1.2000000000000004E-2</v>
      </c>
      <c r="N20" s="27"/>
      <c r="Q20" s="325" t="s">
        <v>51</v>
      </c>
      <c r="R20" s="329">
        <f t="shared" si="1"/>
        <v>0.9</v>
      </c>
      <c r="S20">
        <v>1.2</v>
      </c>
      <c r="T20" s="27">
        <f t="shared" si="2"/>
        <v>0.9</v>
      </c>
      <c r="U20" s="27">
        <v>2.2000000000000002</v>
      </c>
      <c r="V20" s="27">
        <v>3</v>
      </c>
      <c r="W20" s="19" t="s">
        <v>778</v>
      </c>
      <c r="X20" s="19" t="s">
        <v>780</v>
      </c>
      <c r="Y20" s="19" t="s">
        <v>779</v>
      </c>
    </row>
    <row r="21" spans="3:25" ht="21">
      <c r="G21" s="325" t="s">
        <v>52</v>
      </c>
      <c r="H21" s="346">
        <f>calculRISKS!R20</f>
        <v>2.3223908939716282E-3</v>
      </c>
      <c r="I21" s="323">
        <f>calculRISKS!S20</f>
        <v>2.0901518045744654E-3</v>
      </c>
      <c r="J21" s="323">
        <f>calculRISKS!V20</f>
        <v>2.0901518045744654E-3</v>
      </c>
      <c r="K21" s="346">
        <f t="shared" si="0"/>
        <v>-4.6447817879432564E-4</v>
      </c>
      <c r="N21" s="27"/>
      <c r="Q21" s="325" t="s">
        <v>52</v>
      </c>
      <c r="R21" s="329">
        <f t="shared" si="1"/>
        <v>0.9</v>
      </c>
      <c r="S21">
        <v>1.2</v>
      </c>
      <c r="T21" s="27">
        <f t="shared" si="2"/>
        <v>0.9</v>
      </c>
      <c r="U21" s="27">
        <v>2.2000000000000002</v>
      </c>
      <c r="V21" s="27">
        <v>3</v>
      </c>
      <c r="W21" s="19" t="s">
        <v>778</v>
      </c>
      <c r="X21" s="19" t="s">
        <v>780</v>
      </c>
      <c r="Y21" s="19" t="s">
        <v>779</v>
      </c>
    </row>
    <row r="22" spans="3:25" ht="21">
      <c r="G22" s="325" t="s">
        <v>97</v>
      </c>
      <c r="H22" s="346">
        <f>calculRISKS!R21</f>
        <v>8.5800000000000789E-3</v>
      </c>
      <c r="I22" s="323">
        <f>calculRISKS!S21</f>
        <v>6.1776000000000574E-3</v>
      </c>
      <c r="J22" s="323">
        <f>calculRISKS!V21</f>
        <v>1.248248571428578E-2</v>
      </c>
      <c r="K22" s="346">
        <f t="shared" si="0"/>
        <v>3.0444857142856926E-3</v>
      </c>
      <c r="N22" s="27"/>
      <c r="Q22" s="325" t="s">
        <v>97</v>
      </c>
      <c r="R22" s="329">
        <f t="shared" si="1"/>
        <v>0.72000000000000008</v>
      </c>
      <c r="S22">
        <v>1.2</v>
      </c>
      <c r="T22" s="27">
        <f t="shared" si="2"/>
        <v>0.72000000000000008</v>
      </c>
      <c r="U22" s="27">
        <v>2.2000000000000002</v>
      </c>
      <c r="V22" s="27">
        <v>3</v>
      </c>
      <c r="W22" s="19" t="s">
        <v>778</v>
      </c>
      <c r="X22" s="19" t="s">
        <v>780</v>
      </c>
      <c r="Y22" s="19" t="s">
        <v>779</v>
      </c>
    </row>
    <row r="23" spans="3:25" ht="21">
      <c r="G23" s="326" t="s">
        <v>607</v>
      </c>
      <c r="H23" s="346">
        <f>calculRISKS!R22</f>
        <v>3.3404135562015158E-4</v>
      </c>
      <c r="I23" s="323">
        <f>calculRISKS!S22</f>
        <v>9.0191166017440928E-5</v>
      </c>
      <c r="J23" s="323">
        <f>calculRISKS!V22</f>
        <v>1.4324793800390658E-4</v>
      </c>
      <c r="K23" s="346">
        <f t="shared" si="0"/>
        <v>-2.2419755317826018E-4</v>
      </c>
      <c r="N23" s="27"/>
      <c r="Q23" s="326" t="s">
        <v>607</v>
      </c>
      <c r="R23" s="329">
        <f t="shared" si="1"/>
        <v>0.27</v>
      </c>
      <c r="S23">
        <v>1.2</v>
      </c>
      <c r="T23" s="27">
        <f t="shared" si="2"/>
        <v>0.27</v>
      </c>
      <c r="U23" s="27">
        <v>2.2000000000000002</v>
      </c>
      <c r="V23" s="27">
        <v>3</v>
      </c>
      <c r="W23" s="19" t="s">
        <v>778</v>
      </c>
      <c r="X23" s="19" t="s">
        <v>780</v>
      </c>
      <c r="Y23" s="19" t="s">
        <v>779</v>
      </c>
    </row>
    <row r="25" spans="3:25">
      <c r="C25" s="19"/>
    </row>
    <row r="27" spans="3:25">
      <c r="I27" s="9" t="s">
        <v>28</v>
      </c>
      <c r="J27" s="9" t="s">
        <v>29</v>
      </c>
      <c r="K27" s="356" t="s">
        <v>818</v>
      </c>
      <c r="L27" s="357" t="s">
        <v>819</v>
      </c>
    </row>
    <row r="28" spans="3:25" ht="21">
      <c r="G28" s="352" t="s">
        <v>54</v>
      </c>
      <c r="I28" s="27">
        <f>calculRISKS!N2</f>
        <v>0.9</v>
      </c>
      <c r="J28" s="27">
        <f>calculRISKS!O2</f>
        <v>1.2</v>
      </c>
      <c r="K28" s="27">
        <f>MAX(I28:J28)</f>
        <v>1.2</v>
      </c>
      <c r="L28" s="27">
        <f>IF(K28&gt;2.5,2.5,K28)</f>
        <v>1.2</v>
      </c>
    </row>
    <row r="29" spans="3:25" ht="21">
      <c r="G29" s="353" t="s">
        <v>35</v>
      </c>
      <c r="I29" s="27">
        <f>calculRISKS!N3</f>
        <v>1</v>
      </c>
      <c r="J29" s="27">
        <f>calculRISKS!O3</f>
        <v>1.2</v>
      </c>
      <c r="K29" s="27">
        <f t="shared" ref="K29:K48" si="3">MAX(I29:J29)</f>
        <v>1.2</v>
      </c>
      <c r="L29" s="27">
        <f t="shared" ref="L29:L48" si="4">IF(K29&gt;2.5,2.5,K29)</f>
        <v>1.2</v>
      </c>
    </row>
    <row r="30" spans="3:25" ht="21">
      <c r="G30" s="353" t="s">
        <v>36</v>
      </c>
      <c r="I30" s="27">
        <f>calculRISKS!N4</f>
        <v>1</v>
      </c>
      <c r="J30" s="27">
        <f>calculRISKS!O4</f>
        <v>1.2</v>
      </c>
      <c r="K30" s="27">
        <f t="shared" si="3"/>
        <v>1.2</v>
      </c>
      <c r="L30" s="27">
        <f t="shared" si="4"/>
        <v>1.2</v>
      </c>
    </row>
    <row r="31" spans="3:25" ht="21">
      <c r="G31" s="353" t="s">
        <v>37</v>
      </c>
      <c r="I31" s="27">
        <f>calculRISKS!N5</f>
        <v>0.9</v>
      </c>
      <c r="J31" s="27">
        <f>calculRISKS!O5</f>
        <v>1.2</v>
      </c>
      <c r="K31" s="27">
        <f t="shared" si="3"/>
        <v>1.2</v>
      </c>
      <c r="L31" s="27">
        <f t="shared" si="4"/>
        <v>1.2</v>
      </c>
    </row>
    <row r="32" spans="3:25" ht="21">
      <c r="G32" s="353" t="s">
        <v>38</v>
      </c>
      <c r="I32" s="27">
        <f>calculRISKS!N6</f>
        <v>1</v>
      </c>
      <c r="J32" s="27">
        <f>calculRISKS!O6</f>
        <v>1</v>
      </c>
      <c r="K32" s="27">
        <f t="shared" si="3"/>
        <v>1</v>
      </c>
      <c r="L32" s="27">
        <f t="shared" si="4"/>
        <v>1</v>
      </c>
    </row>
    <row r="33" spans="7:12" ht="21">
      <c r="G33" s="354" t="s">
        <v>39</v>
      </c>
      <c r="I33" s="27">
        <f>calculRISKS!N7</f>
        <v>0.9</v>
      </c>
      <c r="J33" s="27">
        <f>calculRISKS!O7</f>
        <v>1</v>
      </c>
      <c r="K33" s="27">
        <f t="shared" si="3"/>
        <v>1</v>
      </c>
      <c r="L33" s="27">
        <f t="shared" si="4"/>
        <v>1</v>
      </c>
    </row>
    <row r="34" spans="7:12" ht="21">
      <c r="G34" s="355" t="s">
        <v>80</v>
      </c>
      <c r="I34" s="27">
        <f>calculRISKS!N8</f>
        <v>1</v>
      </c>
      <c r="J34" s="27">
        <f>calculRISKS!O8</f>
        <v>1</v>
      </c>
      <c r="K34" s="27">
        <f t="shared" si="3"/>
        <v>1</v>
      </c>
      <c r="L34" s="27">
        <f t="shared" si="4"/>
        <v>1</v>
      </c>
    </row>
    <row r="35" spans="7:12" ht="21">
      <c r="G35" s="353" t="s">
        <v>41</v>
      </c>
      <c r="I35" s="27">
        <f>calculRISKS!N9</f>
        <v>1</v>
      </c>
      <c r="J35" s="27">
        <f>calculRISKS!O9</f>
        <v>1</v>
      </c>
      <c r="K35" s="27">
        <f t="shared" si="3"/>
        <v>1</v>
      </c>
      <c r="L35" s="27">
        <f t="shared" si="4"/>
        <v>1</v>
      </c>
    </row>
    <row r="36" spans="7:12" ht="21">
      <c r="G36" s="355" t="s">
        <v>42</v>
      </c>
      <c r="I36" s="27">
        <f>calculRISKS!N10</f>
        <v>0.9</v>
      </c>
      <c r="J36" s="27">
        <f>calculRISKS!O10</f>
        <v>1</v>
      </c>
      <c r="K36" s="27">
        <f t="shared" si="3"/>
        <v>1</v>
      </c>
      <c r="L36" s="27">
        <f t="shared" si="4"/>
        <v>1</v>
      </c>
    </row>
    <row r="37" spans="7:12" ht="21">
      <c r="G37" s="353" t="s">
        <v>43</v>
      </c>
      <c r="I37" s="27">
        <f>calculRISKS!N11</f>
        <v>0.9</v>
      </c>
      <c r="J37" s="27">
        <f>calculRISKS!O11</f>
        <v>1</v>
      </c>
      <c r="K37" s="27">
        <f t="shared" si="3"/>
        <v>1</v>
      </c>
      <c r="L37" s="27">
        <f t="shared" si="4"/>
        <v>1</v>
      </c>
    </row>
    <row r="38" spans="7:12" ht="21">
      <c r="G38" s="353" t="s">
        <v>44</v>
      </c>
      <c r="I38" s="27">
        <f>calculRISKS!N12</f>
        <v>1</v>
      </c>
      <c r="J38" s="27">
        <f>calculRISKS!O12</f>
        <v>1</v>
      </c>
      <c r="K38" s="27">
        <f t="shared" si="3"/>
        <v>1</v>
      </c>
      <c r="L38" s="27">
        <f t="shared" si="4"/>
        <v>1</v>
      </c>
    </row>
    <row r="39" spans="7:12" ht="21">
      <c r="G39" s="353" t="s">
        <v>45</v>
      </c>
      <c r="I39" s="27">
        <f>calculRISKS!N13</f>
        <v>0.9</v>
      </c>
      <c r="J39" s="27">
        <f>calculRISKS!O13</f>
        <v>1</v>
      </c>
      <c r="K39" s="27">
        <f t="shared" si="3"/>
        <v>1</v>
      </c>
      <c r="L39" s="27">
        <f t="shared" si="4"/>
        <v>1</v>
      </c>
    </row>
    <row r="40" spans="7:12" ht="21">
      <c r="G40" s="353" t="s">
        <v>46</v>
      </c>
      <c r="I40" s="27">
        <f>calculRISKS!N14</f>
        <v>0.9</v>
      </c>
      <c r="J40" s="27">
        <f>calculRISKS!O14</f>
        <v>1</v>
      </c>
      <c r="K40" s="27">
        <f t="shared" si="3"/>
        <v>1</v>
      </c>
      <c r="L40" s="27">
        <f t="shared" si="4"/>
        <v>1</v>
      </c>
    </row>
    <row r="41" spans="7:12" ht="21">
      <c r="G41" s="353" t="s">
        <v>47</v>
      </c>
      <c r="I41" s="27">
        <f>calculRISKS!N15</f>
        <v>0.9</v>
      </c>
      <c r="J41" s="27">
        <f>calculRISKS!O15</f>
        <v>1</v>
      </c>
      <c r="K41" s="27">
        <f t="shared" si="3"/>
        <v>1</v>
      </c>
      <c r="L41" s="27">
        <f t="shared" si="4"/>
        <v>1</v>
      </c>
    </row>
    <row r="42" spans="7:12" ht="21">
      <c r="G42" s="353" t="s">
        <v>48</v>
      </c>
      <c r="I42" s="27">
        <f>calculRISKS!N16</f>
        <v>1</v>
      </c>
      <c r="J42" s="27">
        <f>calculRISKS!O16</f>
        <v>1</v>
      </c>
      <c r="K42" s="27">
        <f t="shared" si="3"/>
        <v>1</v>
      </c>
      <c r="L42" s="27">
        <f t="shared" si="4"/>
        <v>1</v>
      </c>
    </row>
    <row r="43" spans="7:12" ht="21">
      <c r="G43" s="354" t="s">
        <v>49</v>
      </c>
      <c r="I43" s="27">
        <f>calculRISKS!N17</f>
        <v>1</v>
      </c>
      <c r="J43" s="27">
        <f>calculRISKS!O17</f>
        <v>0.1</v>
      </c>
      <c r="K43" s="27">
        <f t="shared" si="3"/>
        <v>1</v>
      </c>
      <c r="L43" s="27">
        <f t="shared" si="4"/>
        <v>1</v>
      </c>
    </row>
    <row r="44" spans="7:12" ht="21">
      <c r="G44" s="354" t="s">
        <v>50</v>
      </c>
      <c r="I44" s="27">
        <f>calculRISKS!N18</f>
        <v>1</v>
      </c>
      <c r="J44" s="27">
        <f>calculRISKS!O18</f>
        <v>0.1</v>
      </c>
      <c r="K44" s="27">
        <f t="shared" si="3"/>
        <v>1</v>
      </c>
      <c r="L44" s="27">
        <f t="shared" si="4"/>
        <v>1</v>
      </c>
    </row>
    <row r="45" spans="7:12" ht="21">
      <c r="G45" s="353" t="s">
        <v>51</v>
      </c>
      <c r="I45" s="27">
        <f>calculRISKS!N19</f>
        <v>0.9</v>
      </c>
      <c r="J45" s="27">
        <f>calculRISKS!O19</f>
        <v>1</v>
      </c>
      <c r="K45" s="27">
        <f t="shared" si="3"/>
        <v>1</v>
      </c>
      <c r="L45" s="27">
        <f t="shared" si="4"/>
        <v>1</v>
      </c>
    </row>
    <row r="46" spans="7:12" ht="21">
      <c r="G46" s="354" t="s">
        <v>52</v>
      </c>
      <c r="I46" s="27">
        <f>calculRISKS!N20</f>
        <v>0.9</v>
      </c>
      <c r="J46" s="27">
        <f>calculRISKS!O20</f>
        <v>1</v>
      </c>
      <c r="K46" s="27">
        <f t="shared" si="3"/>
        <v>1</v>
      </c>
      <c r="L46" s="27">
        <f t="shared" si="4"/>
        <v>1</v>
      </c>
    </row>
    <row r="47" spans="7:12" ht="21">
      <c r="G47" s="354" t="s">
        <v>53</v>
      </c>
      <c r="I47" s="27">
        <f>calculRISKS!N21</f>
        <v>0.9</v>
      </c>
      <c r="J47" s="27">
        <f>calculRISKS!O21</f>
        <v>1</v>
      </c>
      <c r="K47" s="27">
        <f t="shared" si="3"/>
        <v>1</v>
      </c>
      <c r="L47" s="27">
        <f t="shared" si="4"/>
        <v>1</v>
      </c>
    </row>
    <row r="48" spans="7:12" ht="21">
      <c r="G48" s="353" t="s">
        <v>602</v>
      </c>
      <c r="I48" s="27">
        <f>calculRISKS!N22</f>
        <v>0.9</v>
      </c>
      <c r="J48" s="27">
        <f>calculRISKS!O22</f>
        <v>1</v>
      </c>
      <c r="K48" s="27">
        <f t="shared" si="3"/>
        <v>1</v>
      </c>
      <c r="L48" s="27">
        <f t="shared" si="4"/>
        <v>1</v>
      </c>
    </row>
  </sheetData>
  <conditionalFormatting sqref="G2">
    <cfRule type="iconSet" priority="45">
      <iconSet reverse="1">
        <cfvo type="percent" val="0"/>
        <cfvo type="percent" val="33"/>
        <cfvo type="percent" val="67"/>
      </iconSet>
    </cfRule>
  </conditionalFormatting>
  <conditionalFormatting sqref="G13">
    <cfRule type="colorScale" priority="44">
      <colorScale>
        <cfvo type="min"/>
        <cfvo type="percentile" val="50"/>
        <cfvo type="max"/>
        <color rgb="FF5A8AC6"/>
        <color rgb="FFFCFCFF"/>
        <color rgb="FFF8696B"/>
      </colorScale>
    </cfRule>
  </conditionalFormatting>
  <conditionalFormatting sqref="G14:G19 G4:G12">
    <cfRule type="colorScale" priority="1133">
      <colorScale>
        <cfvo type="min"/>
        <cfvo type="percentile" val="50"/>
        <cfvo type="max"/>
        <color rgb="FF5A8AC6"/>
        <color rgb="FFFCFCFF"/>
        <color rgb="FFF8696B"/>
      </colorScale>
    </cfRule>
  </conditionalFormatting>
  <conditionalFormatting sqref="G20">
    <cfRule type="colorScale" priority="43">
      <colorScale>
        <cfvo type="min"/>
        <cfvo type="percentile" val="50"/>
        <cfvo type="max"/>
        <color rgb="FF5A8AC6"/>
        <color rgb="FFFCFCFF"/>
        <color rgb="FFF8696B"/>
      </colorScale>
    </cfRule>
  </conditionalFormatting>
  <conditionalFormatting sqref="G21">
    <cfRule type="colorScale" priority="42">
      <colorScale>
        <cfvo type="min"/>
        <cfvo type="percentile" val="50"/>
        <cfvo type="max"/>
        <color rgb="FF5A8AC6"/>
        <color rgb="FFFCFCFF"/>
        <color rgb="FFF8696B"/>
      </colorScale>
    </cfRule>
  </conditionalFormatting>
  <conditionalFormatting sqref="G22">
    <cfRule type="iconSet" priority="41">
      <iconSet reverse="1">
        <cfvo type="percent" val="0"/>
        <cfvo type="percent" val="33"/>
        <cfvo type="percent" val="67"/>
      </iconSet>
    </cfRule>
  </conditionalFormatting>
  <conditionalFormatting sqref="G38">
    <cfRule type="colorScale" priority="5">
      <colorScale>
        <cfvo type="min"/>
        <cfvo type="percentile" val="50"/>
        <cfvo type="max"/>
        <color rgb="FF5A8AC6"/>
        <color rgb="FFFCFCFF"/>
        <color rgb="FFF8696B"/>
      </colorScale>
    </cfRule>
  </conditionalFormatting>
  <conditionalFormatting sqref="G39:G44 G29:G37">
    <cfRule type="colorScale" priority="6">
      <colorScale>
        <cfvo type="min"/>
        <cfvo type="percentile" val="50"/>
        <cfvo type="max"/>
        <color rgb="FF5A8AC6"/>
        <color rgb="FFFCFCFF"/>
        <color rgb="FFF8696B"/>
      </colorScale>
    </cfRule>
  </conditionalFormatting>
  <conditionalFormatting sqref="G45">
    <cfRule type="colorScale" priority="4">
      <colorScale>
        <cfvo type="min"/>
        <cfvo type="percentile" val="50"/>
        <cfvo type="max"/>
        <color rgb="FF5A8AC6"/>
        <color rgb="FFFCFCFF"/>
        <color rgb="FFF8696B"/>
      </colorScale>
    </cfRule>
  </conditionalFormatting>
  <conditionalFormatting sqref="G46">
    <cfRule type="colorScale" priority="3">
      <colorScale>
        <cfvo type="min"/>
        <cfvo type="percentile" val="50"/>
        <cfvo type="max"/>
        <color rgb="FF5A8AC6"/>
        <color rgb="FFFCFCFF"/>
        <color rgb="FFF8696B"/>
      </colorScale>
    </cfRule>
  </conditionalFormatting>
  <conditionalFormatting sqref="G47">
    <cfRule type="iconSet" priority="2">
      <iconSet reverse="1">
        <cfvo type="percent" val="0"/>
        <cfvo type="percent" val="33"/>
        <cfvo type="percent" val="67"/>
      </iconSet>
    </cfRule>
  </conditionalFormatting>
  <conditionalFormatting sqref="H3:H23">
    <cfRule type="dataBar" priority="19">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25">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20">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6">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8">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24">
      <dataBar>
        <cfvo type="min"/>
        <cfvo type="max"/>
        <color rgb="FFD6007B"/>
      </dataBar>
      <extLst>
        <ext xmlns:x14="http://schemas.microsoft.com/office/spreadsheetml/2009/9/main" uri="{B025F937-C7B1-47D3-B67F-A62EFF666E3E}">
          <x14:id>{A0AD603D-66FC-47A7-BB80-F7B80B8B65A8}</x14:id>
        </ext>
      </extLst>
    </cfRule>
  </conditionalFormatting>
  <conditionalFormatting sqref="I27:J27">
    <cfRule type="colorScale" priority="1">
      <colorScale>
        <cfvo type="min"/>
        <cfvo type="percentile" val="50"/>
        <cfvo type="max"/>
        <color rgb="FF63BE7B"/>
        <color rgb="FFFFEB84"/>
        <color rgb="FFF8696B"/>
      </colorScale>
    </cfRule>
  </conditionalFormatting>
  <conditionalFormatting sqref="J2:J23">
    <cfRule type="dataBar" priority="17">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7">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23">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9">
      <colorScale>
        <cfvo type="num" val="-0.05"/>
        <cfvo type="num" val="0.05"/>
        <cfvo type="num" val="0.2"/>
        <color rgb="FF0070C0"/>
        <color rgb="FFFFEB84"/>
        <color rgb="FFFF0000"/>
      </colorScale>
    </cfRule>
  </conditionalFormatting>
  <conditionalFormatting sqref="N1:N1048576">
    <cfRule type="colorScale" priority="7">
      <colorScale>
        <cfvo type="min"/>
        <cfvo type="percentile" val="50"/>
        <cfvo type="max"/>
        <color rgb="FF63BE7B"/>
        <color rgb="FFFFEB84"/>
        <color rgb="FFF8696B"/>
      </colorScale>
    </cfRule>
  </conditionalFormatting>
  <conditionalFormatting sqref="Q13">
    <cfRule type="colorScale" priority="15">
      <colorScale>
        <cfvo type="min"/>
        <cfvo type="percentile" val="50"/>
        <cfvo type="max"/>
        <color rgb="FF5A8AC6"/>
        <color rgb="FFFCFCFF"/>
        <color rgb="FFF8696B"/>
      </colorScale>
    </cfRule>
  </conditionalFormatting>
  <conditionalFormatting sqref="Q14:Q19 Q4:Q12">
    <cfRule type="colorScale" priority="16">
      <colorScale>
        <cfvo type="min"/>
        <cfvo type="percentile" val="50"/>
        <cfvo type="max"/>
        <color rgb="FF5A8AC6"/>
        <color rgb="FFFCFCFF"/>
        <color rgb="FFF8696B"/>
      </colorScale>
    </cfRule>
  </conditionalFormatting>
  <conditionalFormatting sqref="Q20">
    <cfRule type="colorScale" priority="14">
      <colorScale>
        <cfvo type="min"/>
        <cfvo type="percentile" val="50"/>
        <cfvo type="max"/>
        <color rgb="FF5A8AC6"/>
        <color rgb="FFFCFCFF"/>
        <color rgb="FFF8696B"/>
      </colorScale>
    </cfRule>
  </conditionalFormatting>
  <conditionalFormatting sqref="Q21">
    <cfRule type="colorScale" priority="13">
      <colorScale>
        <cfvo type="min"/>
        <cfvo type="percentile" val="50"/>
        <cfvo type="max"/>
        <color rgb="FF5A8AC6"/>
        <color rgb="FFFCFCFF"/>
        <color rgb="FFF8696B"/>
      </colorScale>
    </cfRule>
  </conditionalFormatting>
  <conditionalFormatting sqref="Q22">
    <cfRule type="iconSet" priority="12">
      <iconSet reverse="1">
        <cfvo type="percent" val="0"/>
        <cfvo type="percent" val="33"/>
        <cfvo type="percent" val="67"/>
      </iconSet>
    </cfRule>
  </conditionalFormatting>
  <conditionalFormatting sqref="R1 R3:R1048576">
    <cfRule type="cellIs" dxfId="61" priority="8" operator="greaterThan">
      <formula>2.2</formula>
    </cfRule>
  </conditionalFormatting>
  <conditionalFormatting sqref="R3:R23">
    <cfRule type="cellIs" dxfId="60" priority="9"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pageSetUpPr fitToPage="1"/>
  </sheetPr>
  <dimension ref="A1:H106"/>
  <sheetViews>
    <sheetView tabSelected="1" zoomScale="66" zoomScaleNormal="50" workbookViewId="0">
      <pane xSplit="1" ySplit="1" topLeftCell="B82" activePane="bottomRight" state="frozen"/>
      <selection pane="topRight" activeCell="B1" sqref="B1"/>
      <selection pane="bottomLeft" activeCell="A2" sqref="A2"/>
      <selection pane="bottomRight" activeCell="B89" sqref="B89"/>
    </sheetView>
  </sheetViews>
  <sheetFormatPr baseColWidth="10" defaultColWidth="10.86328125" defaultRowHeight="23.25"/>
  <cols>
    <col min="1" max="1" width="69.86328125" style="179" customWidth="1"/>
    <col min="2" max="2" width="16.53125" style="159" customWidth="1"/>
    <col min="3" max="3" width="144.46484375" style="179" customWidth="1"/>
    <col min="4" max="4" width="4.19921875" style="218" customWidth="1"/>
    <col min="5" max="5" width="15.796875" style="150" customWidth="1"/>
    <col min="6" max="6" width="15.53125" style="150" customWidth="1"/>
    <col min="7" max="7" width="17.1328125" style="150" customWidth="1"/>
    <col min="8" max="16384" width="10.86328125" style="218"/>
  </cols>
  <sheetData>
    <row r="1" spans="1:8" s="153" customFormat="1" ht="35.75" customHeight="1">
      <c r="A1" s="150" t="s">
        <v>99</v>
      </c>
      <c r="B1" s="151" t="s">
        <v>356</v>
      </c>
      <c r="C1" s="150" t="s">
        <v>297</v>
      </c>
      <c r="D1" s="152"/>
      <c r="E1" s="150"/>
      <c r="F1" s="150" t="s">
        <v>357</v>
      </c>
      <c r="G1" s="150"/>
    </row>
    <row r="2" spans="1:8" s="215" customFormat="1">
      <c r="A2" s="180" t="s">
        <v>288</v>
      </c>
      <c r="B2" s="154"/>
      <c r="C2" s="213"/>
      <c r="D2" s="214"/>
      <c r="E2" s="155" t="s">
        <v>358</v>
      </c>
      <c r="F2" s="156" t="s">
        <v>360</v>
      </c>
      <c r="G2" s="157" t="s">
        <v>359</v>
      </c>
      <c r="H2" s="158" t="s">
        <v>498</v>
      </c>
    </row>
    <row r="3" spans="1:8" s="215" customFormat="1" ht="46.5">
      <c r="A3" s="181" t="s">
        <v>499</v>
      </c>
      <c r="B3" s="154">
        <f>'Import Biologie'!E57</f>
        <v>59</v>
      </c>
      <c r="C3" s="216" t="s">
        <v>310</v>
      </c>
      <c r="D3" s="214"/>
      <c r="E3" s="150"/>
      <c r="F3" s="150" t="s">
        <v>361</v>
      </c>
      <c r="G3" s="150"/>
      <c r="H3" s="217"/>
    </row>
    <row r="4" spans="1:8" ht="69.75">
      <c r="A4" s="182" t="s">
        <v>289</v>
      </c>
      <c r="B4" s="159">
        <f>'Import Question'!H77</f>
        <v>0.16003657978966621</v>
      </c>
      <c r="C4" s="179" t="s">
        <v>272</v>
      </c>
      <c r="D4" s="214"/>
      <c r="E4" s="155" t="s">
        <v>364</v>
      </c>
      <c r="F4" s="156" t="s">
        <v>363</v>
      </c>
      <c r="G4" s="157" t="s">
        <v>362</v>
      </c>
      <c r="H4" s="158" t="s">
        <v>498</v>
      </c>
    </row>
    <row r="5" spans="1:8" ht="93">
      <c r="A5" s="182" t="s">
        <v>500</v>
      </c>
      <c r="B5" s="159">
        <f>('Import Question'!F79)*'Import Question'!H3</f>
        <v>0</v>
      </c>
      <c r="C5" s="219" t="s">
        <v>371</v>
      </c>
      <c r="D5" s="214"/>
      <c r="E5" s="155" t="s">
        <v>367</v>
      </c>
      <c r="F5" s="156" t="s">
        <v>366</v>
      </c>
      <c r="G5" s="157" t="s">
        <v>365</v>
      </c>
      <c r="H5" s="158" t="s">
        <v>498</v>
      </c>
    </row>
    <row r="6" spans="1:8" ht="93">
      <c r="A6" s="182" t="s">
        <v>501</v>
      </c>
      <c r="B6" s="160">
        <f>('Import Question'!F79)*'Import Question'!H4</f>
        <v>71</v>
      </c>
      <c r="C6" s="219" t="s">
        <v>372</v>
      </c>
      <c r="D6" s="214"/>
      <c r="E6" s="155" t="s">
        <v>368</v>
      </c>
      <c r="F6" s="156" t="s">
        <v>369</v>
      </c>
      <c r="G6" s="157" t="s">
        <v>370</v>
      </c>
      <c r="H6" s="158" t="s">
        <v>498</v>
      </c>
    </row>
    <row r="7" spans="1:8" ht="46.5">
      <c r="A7" s="180" t="s">
        <v>502</v>
      </c>
      <c r="B7" s="159">
        <f>'Import Question'!F80</f>
        <v>0</v>
      </c>
      <c r="C7" s="219" t="s">
        <v>273</v>
      </c>
      <c r="D7" s="214"/>
      <c r="E7" s="155" t="s">
        <v>373</v>
      </c>
      <c r="F7" s="156" t="s">
        <v>374</v>
      </c>
      <c r="G7" s="157" t="s">
        <v>375</v>
      </c>
      <c r="H7" s="158" t="s">
        <v>498</v>
      </c>
    </row>
    <row r="8" spans="1:8">
      <c r="A8" s="180" t="s">
        <v>503</v>
      </c>
      <c r="B8" s="159">
        <f>'Import Question'!F81</f>
        <v>0</v>
      </c>
      <c r="C8" s="219" t="s">
        <v>274</v>
      </c>
      <c r="D8" s="214"/>
      <c r="E8" s="155" t="s">
        <v>368</v>
      </c>
      <c r="F8" s="156" t="s">
        <v>376</v>
      </c>
      <c r="G8" s="157" t="s">
        <v>377</v>
      </c>
      <c r="H8" s="158" t="s">
        <v>498</v>
      </c>
    </row>
    <row r="9" spans="1:8" s="220" customFormat="1">
      <c r="A9" s="183" t="s">
        <v>229</v>
      </c>
      <c r="B9" s="161"/>
      <c r="C9" s="184"/>
      <c r="D9" s="214"/>
      <c r="E9" s="150"/>
      <c r="F9" s="150"/>
      <c r="G9" s="150"/>
      <c r="H9" s="162"/>
    </row>
    <row r="10" spans="1:8" ht="46.5">
      <c r="A10" s="184" t="s">
        <v>596</v>
      </c>
      <c r="B10" s="159">
        <f>'Import Biologie'!H57</f>
        <v>1.1775</v>
      </c>
      <c r="C10" s="221" t="s">
        <v>275</v>
      </c>
      <c r="D10" s="214"/>
      <c r="F10" s="150" t="s">
        <v>361</v>
      </c>
      <c r="H10" s="158" t="s">
        <v>498</v>
      </c>
    </row>
    <row r="11" spans="1:8" ht="46.5">
      <c r="A11" s="184" t="s">
        <v>600</v>
      </c>
      <c r="B11" s="159">
        <f>B10*0.86</f>
        <v>1.0126500000000001</v>
      </c>
      <c r="C11" s="221" t="s">
        <v>276</v>
      </c>
      <c r="D11" s="214"/>
      <c r="F11" s="150" t="s">
        <v>361</v>
      </c>
      <c r="H11" s="158" t="s">
        <v>498</v>
      </c>
    </row>
    <row r="12" spans="1:8" ht="46.5">
      <c r="A12" s="184" t="s">
        <v>597</v>
      </c>
      <c r="B12" s="159">
        <f>B10*1.14</f>
        <v>1.3423499999999999</v>
      </c>
      <c r="C12" s="221" t="s">
        <v>277</v>
      </c>
      <c r="D12" s="214"/>
      <c r="F12" s="150" t="s">
        <v>361</v>
      </c>
      <c r="H12" s="158" t="s">
        <v>498</v>
      </c>
    </row>
    <row r="13" spans="1:8" ht="116.25">
      <c r="A13" s="185" t="s">
        <v>290</v>
      </c>
      <c r="B13" s="163">
        <f>'Import Biologie'!C41</f>
        <v>1.75</v>
      </c>
      <c r="C13" s="179" t="s">
        <v>381</v>
      </c>
      <c r="D13" s="214"/>
      <c r="E13" s="155" t="s">
        <v>378</v>
      </c>
      <c r="F13" s="156" t="s">
        <v>380</v>
      </c>
      <c r="G13" s="157" t="s">
        <v>379</v>
      </c>
      <c r="H13" s="158" t="s">
        <v>498</v>
      </c>
    </row>
    <row r="14" spans="1:8" ht="116.25">
      <c r="A14" s="184" t="s">
        <v>504</v>
      </c>
      <c r="B14" s="163">
        <f>'Import Biologie'!C35</f>
        <v>44</v>
      </c>
      <c r="C14" s="219" t="s">
        <v>385</v>
      </c>
      <c r="D14" s="214"/>
      <c r="E14" s="155" t="s">
        <v>382</v>
      </c>
      <c r="F14" s="156" t="s">
        <v>383</v>
      </c>
      <c r="G14" s="157" t="s">
        <v>384</v>
      </c>
      <c r="H14" s="158" t="s">
        <v>498</v>
      </c>
    </row>
    <row r="15" spans="1:8" s="223" customFormat="1">
      <c r="A15" s="186" t="s">
        <v>291</v>
      </c>
      <c r="B15" s="164"/>
      <c r="C15" s="222"/>
      <c r="D15" s="214"/>
      <c r="E15" s="150"/>
      <c r="F15" s="150"/>
      <c r="G15" s="150"/>
      <c r="H15" s="162"/>
    </row>
    <row r="16" spans="1:8" ht="69.75">
      <c r="A16" s="165" t="s">
        <v>505</v>
      </c>
      <c r="B16" s="159">
        <f>'Import Biologie'!H38/8.5</f>
        <v>0.14117647058823529</v>
      </c>
      <c r="C16" s="224" t="s">
        <v>389</v>
      </c>
      <c r="D16" s="214"/>
      <c r="E16" s="155" t="s">
        <v>388</v>
      </c>
      <c r="F16" s="156" t="s">
        <v>387</v>
      </c>
      <c r="G16" s="157" t="s">
        <v>386</v>
      </c>
      <c r="H16" s="158" t="s">
        <v>498</v>
      </c>
    </row>
    <row r="17" spans="1:8" ht="93">
      <c r="A17" s="165" t="s">
        <v>506</v>
      </c>
      <c r="B17" s="159">
        <f>('Import Question'!H140/12)</f>
        <v>0.25</v>
      </c>
      <c r="C17" s="225" t="s">
        <v>598</v>
      </c>
      <c r="D17" s="214"/>
      <c r="E17" s="155" t="s">
        <v>391</v>
      </c>
      <c r="F17" s="156" t="s">
        <v>390</v>
      </c>
      <c r="G17" s="157" t="s">
        <v>386</v>
      </c>
      <c r="H17" s="158" t="s">
        <v>498</v>
      </c>
    </row>
    <row r="18" spans="1:8" s="226" customFormat="1">
      <c r="A18" s="187" t="s">
        <v>292</v>
      </c>
      <c r="B18" s="166"/>
      <c r="C18" s="173"/>
      <c r="D18" s="214"/>
      <c r="E18" s="155"/>
      <c r="F18" s="156"/>
      <c r="G18" s="157"/>
      <c r="H18" s="158" t="s">
        <v>498</v>
      </c>
    </row>
    <row r="19" spans="1:8" ht="46.5">
      <c r="A19" s="188" t="s">
        <v>507</v>
      </c>
      <c r="B19" s="160">
        <f>'Import Biologie'!C2</f>
        <v>0</v>
      </c>
      <c r="C19" s="227" t="s">
        <v>546</v>
      </c>
      <c r="D19" s="214"/>
      <c r="E19" s="155" t="s">
        <v>549</v>
      </c>
      <c r="F19" s="156" t="s">
        <v>550</v>
      </c>
      <c r="G19" s="157" t="s">
        <v>447</v>
      </c>
      <c r="H19" s="158" t="s">
        <v>498</v>
      </c>
    </row>
    <row r="20" spans="1:8" ht="116.25">
      <c r="A20" s="188" t="s">
        <v>508</v>
      </c>
      <c r="B20" s="167">
        <f>'Import Biologie'!C3</f>
        <v>2.0699999999999998</v>
      </c>
      <c r="C20" s="219" t="s">
        <v>393</v>
      </c>
      <c r="D20" s="214"/>
      <c r="E20" s="155" t="s">
        <v>394</v>
      </c>
      <c r="F20" s="156"/>
      <c r="G20" s="157"/>
      <c r="H20" s="158" t="s">
        <v>498</v>
      </c>
    </row>
    <row r="21" spans="1:8" ht="139.5">
      <c r="A21" s="188" t="s">
        <v>509</v>
      </c>
      <c r="B21" s="159">
        <f>'Import Biologie'!C4</f>
        <v>0.96</v>
      </c>
      <c r="C21" s="219" t="s">
        <v>401</v>
      </c>
      <c r="D21" s="214"/>
      <c r="E21" s="155" t="s">
        <v>403</v>
      </c>
      <c r="F21" s="156" t="s">
        <v>404</v>
      </c>
      <c r="G21" s="157" t="s">
        <v>402</v>
      </c>
      <c r="H21" s="158" t="s">
        <v>498</v>
      </c>
    </row>
    <row r="22" spans="1:8" ht="69.75">
      <c r="A22" s="188" t="s">
        <v>510</v>
      </c>
      <c r="B22" s="159">
        <f>'Import Biologie'!C5</f>
        <v>0.97</v>
      </c>
      <c r="C22" s="219" t="s">
        <v>278</v>
      </c>
      <c r="D22" s="214"/>
      <c r="E22" s="155" t="s">
        <v>395</v>
      </c>
      <c r="F22" s="156" t="s">
        <v>399</v>
      </c>
      <c r="G22" s="157" t="s">
        <v>400</v>
      </c>
      <c r="H22" s="158" t="s">
        <v>498</v>
      </c>
    </row>
    <row r="23" spans="1:8" ht="186">
      <c r="A23" s="188" t="s">
        <v>511</v>
      </c>
      <c r="B23" s="159">
        <f>'Import Biologie'!C6</f>
        <v>0.68</v>
      </c>
      <c r="C23" s="219" t="s">
        <v>279</v>
      </c>
      <c r="D23" s="214"/>
      <c r="E23" s="155" t="s">
        <v>396</v>
      </c>
      <c r="F23" s="156" t="s">
        <v>397</v>
      </c>
      <c r="G23" s="157" t="s">
        <v>398</v>
      </c>
      <c r="H23" s="158" t="s">
        <v>498</v>
      </c>
    </row>
    <row r="24" spans="1:8" ht="139.5">
      <c r="A24" s="188" t="s">
        <v>512</v>
      </c>
      <c r="B24" s="167">
        <f>'Import Biologie'!C7</f>
        <v>0</v>
      </c>
      <c r="C24" s="219" t="s">
        <v>280</v>
      </c>
      <c r="D24" s="214"/>
      <c r="E24" s="155" t="s">
        <v>394</v>
      </c>
      <c r="F24" s="168" t="s">
        <v>409</v>
      </c>
      <c r="G24" s="157" t="s">
        <v>405</v>
      </c>
      <c r="H24" s="158" t="s">
        <v>498</v>
      </c>
    </row>
    <row r="25" spans="1:8" ht="69.75">
      <c r="A25" s="188" t="s">
        <v>513</v>
      </c>
      <c r="B25" s="160" t="str">
        <f>'Import Biologie'!H27</f>
        <v>N</v>
      </c>
      <c r="C25" s="224" t="s">
        <v>406</v>
      </c>
      <c r="D25" s="214"/>
      <c r="E25" s="169" t="s">
        <v>408</v>
      </c>
      <c r="F25" s="156" t="s">
        <v>410</v>
      </c>
      <c r="G25" s="157" t="s">
        <v>407</v>
      </c>
      <c r="H25" s="158" t="s">
        <v>498</v>
      </c>
    </row>
    <row r="26" spans="1:8">
      <c r="A26" s="188" t="s">
        <v>514</v>
      </c>
      <c r="B26" s="163">
        <f>'Import Biologie'!H26</f>
        <v>0.625</v>
      </c>
      <c r="C26" s="179" t="s">
        <v>411</v>
      </c>
      <c r="D26" s="214"/>
      <c r="E26" s="155" t="s">
        <v>412</v>
      </c>
      <c r="F26" s="156" t="s">
        <v>413</v>
      </c>
      <c r="G26" s="157" t="s">
        <v>414</v>
      </c>
      <c r="H26" s="158" t="s">
        <v>498</v>
      </c>
    </row>
    <row r="27" spans="1:8" ht="69.75">
      <c r="A27" s="188" t="s">
        <v>515</v>
      </c>
      <c r="B27" s="163">
        <f>'Import Biologie'!C10</f>
        <v>5.7</v>
      </c>
      <c r="C27" s="219" t="s">
        <v>281</v>
      </c>
      <c r="D27" s="214"/>
      <c r="E27" s="155" t="s">
        <v>415</v>
      </c>
      <c r="F27" s="156" t="s">
        <v>417</v>
      </c>
      <c r="G27" s="157" t="s">
        <v>416</v>
      </c>
      <c r="H27" s="158" t="s">
        <v>498</v>
      </c>
    </row>
    <row r="28" spans="1:8" ht="69.75">
      <c r="A28" s="185" t="s">
        <v>330</v>
      </c>
      <c r="B28" s="170">
        <f>'Import Biologie'!C9</f>
        <v>0.9</v>
      </c>
      <c r="C28" s="228" t="s">
        <v>421</v>
      </c>
      <c r="D28" s="214"/>
      <c r="E28" s="155" t="s">
        <v>418</v>
      </c>
      <c r="F28" s="156" t="s">
        <v>420</v>
      </c>
      <c r="G28" s="157" t="s">
        <v>419</v>
      </c>
      <c r="H28" s="158" t="s">
        <v>498</v>
      </c>
    </row>
    <row r="29" spans="1:8" ht="116.25">
      <c r="A29" s="189" t="s">
        <v>1</v>
      </c>
      <c r="B29" s="159">
        <f>'Import Biologie'!C11</f>
        <v>0</v>
      </c>
      <c r="C29" s="227" t="s">
        <v>340</v>
      </c>
      <c r="D29" s="214"/>
      <c r="E29" s="155" t="s">
        <v>422</v>
      </c>
      <c r="F29" s="168" t="s">
        <v>424</v>
      </c>
      <c r="G29" s="157" t="s">
        <v>423</v>
      </c>
      <c r="H29" s="158" t="s">
        <v>498</v>
      </c>
    </row>
    <row r="30" spans="1:8" ht="116.25">
      <c r="A30" s="188" t="s">
        <v>516</v>
      </c>
      <c r="B30" s="163">
        <f>'Import Biologie'!C12</f>
        <v>12.8</v>
      </c>
      <c r="C30" s="219" t="s">
        <v>426</v>
      </c>
      <c r="D30" s="214"/>
      <c r="E30" s="171" t="s">
        <v>425</v>
      </c>
      <c r="F30" s="156" t="s">
        <v>434</v>
      </c>
      <c r="G30" s="157" t="s">
        <v>435</v>
      </c>
      <c r="H30" s="158" t="s">
        <v>498</v>
      </c>
    </row>
    <row r="31" spans="1:8" ht="69.75">
      <c r="A31" s="185" t="s">
        <v>293</v>
      </c>
      <c r="B31" s="170">
        <f>'Import Biologie'!C13</f>
        <v>91</v>
      </c>
      <c r="C31" s="219" t="s">
        <v>429</v>
      </c>
      <c r="D31" s="214"/>
      <c r="E31" s="155" t="s">
        <v>428</v>
      </c>
      <c r="F31" s="156" t="s">
        <v>430</v>
      </c>
      <c r="G31" s="157" t="s">
        <v>427</v>
      </c>
      <c r="H31" s="158" t="s">
        <v>498</v>
      </c>
    </row>
    <row r="32" spans="1:8" ht="46.5">
      <c r="A32" s="185" t="s">
        <v>294</v>
      </c>
      <c r="B32" s="170">
        <f>'Import Biologie'!C14</f>
        <v>4.4000000000000004</v>
      </c>
      <c r="C32" s="219" t="s">
        <v>431</v>
      </c>
      <c r="D32" s="214"/>
      <c r="E32" s="155" t="s">
        <v>432</v>
      </c>
      <c r="F32" s="156" t="s">
        <v>433</v>
      </c>
      <c r="G32" s="157"/>
      <c r="H32" s="158" t="s">
        <v>498</v>
      </c>
    </row>
    <row r="33" spans="1:8" ht="46.5">
      <c r="A33" s="188" t="s">
        <v>517</v>
      </c>
      <c r="B33" s="163">
        <f>'Import Biologie'!C15</f>
        <v>4.68</v>
      </c>
      <c r="C33" s="219" t="s">
        <v>437</v>
      </c>
      <c r="D33" s="214"/>
      <c r="E33" s="155" t="s">
        <v>436</v>
      </c>
      <c r="F33" s="156" t="s">
        <v>439</v>
      </c>
      <c r="G33" s="157" t="s">
        <v>438</v>
      </c>
      <c r="H33" s="158" t="s">
        <v>498</v>
      </c>
    </row>
    <row r="34" spans="1:8" ht="46.5">
      <c r="A34" s="188" t="s">
        <v>518</v>
      </c>
      <c r="B34" s="163">
        <f>'Import Biologie'!C16</f>
        <v>1.32</v>
      </c>
      <c r="C34" s="219" t="s">
        <v>440</v>
      </c>
      <c r="D34" s="214"/>
      <c r="E34" s="155" t="s">
        <v>442</v>
      </c>
      <c r="F34" s="156"/>
      <c r="G34" s="157" t="s">
        <v>446</v>
      </c>
      <c r="H34" s="158" t="s">
        <v>498</v>
      </c>
    </row>
    <row r="35" spans="1:8" ht="26.25">
      <c r="A35" s="185" t="s">
        <v>519</v>
      </c>
      <c r="B35" s="170">
        <f>'Import Biologie'!C17</f>
        <v>0.13</v>
      </c>
      <c r="C35" s="219" t="s">
        <v>441</v>
      </c>
      <c r="D35" s="214"/>
      <c r="E35" s="155" t="s">
        <v>443</v>
      </c>
      <c r="F35" s="156"/>
      <c r="G35" s="157" t="s">
        <v>447</v>
      </c>
      <c r="H35" s="158" t="s">
        <v>498</v>
      </c>
    </row>
    <row r="36" spans="1:8" ht="93">
      <c r="A36" s="188" t="s">
        <v>520</v>
      </c>
      <c r="B36" s="163">
        <f>'Import Biologie'!C18</f>
        <v>2.9</v>
      </c>
      <c r="C36" s="219" t="s">
        <v>448</v>
      </c>
      <c r="D36" s="214"/>
      <c r="E36" s="155" t="s">
        <v>444</v>
      </c>
      <c r="F36" s="156" t="s">
        <v>449</v>
      </c>
      <c r="G36" s="157" t="s">
        <v>450</v>
      </c>
      <c r="H36" s="158" t="s">
        <v>498</v>
      </c>
    </row>
    <row r="37" spans="1:8" ht="69.75">
      <c r="A37" s="188" t="s">
        <v>521</v>
      </c>
      <c r="B37" s="163">
        <f>'Import Biologie'!C19</f>
        <v>245</v>
      </c>
      <c r="C37" s="219" t="s">
        <v>451</v>
      </c>
      <c r="D37" s="214"/>
      <c r="E37" s="155" t="s">
        <v>445</v>
      </c>
      <c r="F37" s="156" t="s">
        <v>453</v>
      </c>
      <c r="G37" s="157" t="s">
        <v>452</v>
      </c>
      <c r="H37" s="158" t="s">
        <v>498</v>
      </c>
    </row>
    <row r="38" spans="1:8" ht="162.75">
      <c r="A38" s="188" t="s">
        <v>8</v>
      </c>
      <c r="B38" s="163">
        <f>'Import Biologie'!C21</f>
        <v>91</v>
      </c>
      <c r="C38" s="219" t="s">
        <v>522</v>
      </c>
      <c r="D38" s="214"/>
      <c r="E38" s="155" t="s">
        <v>455</v>
      </c>
      <c r="F38" s="156" t="s">
        <v>456</v>
      </c>
      <c r="G38" s="157" t="s">
        <v>457</v>
      </c>
      <c r="H38" s="158" t="s">
        <v>498</v>
      </c>
    </row>
    <row r="39" spans="1:8" ht="139.5">
      <c r="A39" s="190" t="s">
        <v>17</v>
      </c>
      <c r="B39" s="160">
        <f>'Import Biologie'!C23</f>
        <v>23</v>
      </c>
      <c r="C39" s="219" t="s">
        <v>282</v>
      </c>
      <c r="D39" s="214"/>
      <c r="E39" s="171" t="s">
        <v>460</v>
      </c>
      <c r="F39" s="156" t="s">
        <v>462</v>
      </c>
      <c r="G39" s="157" t="s">
        <v>461</v>
      </c>
      <c r="H39" s="158" t="s">
        <v>498</v>
      </c>
    </row>
    <row r="40" spans="1:8" ht="139.5">
      <c r="A40" s="190" t="s">
        <v>18</v>
      </c>
      <c r="B40" s="160">
        <f>'Import Biologie'!C24</f>
        <v>26</v>
      </c>
      <c r="C40" s="219" t="s">
        <v>283</v>
      </c>
      <c r="D40" s="214"/>
      <c r="E40" s="171" t="s">
        <v>460</v>
      </c>
      <c r="F40" s="156" t="s">
        <v>459</v>
      </c>
      <c r="G40" s="157" t="s">
        <v>458</v>
      </c>
      <c r="H40" s="158" t="s">
        <v>498</v>
      </c>
    </row>
    <row r="41" spans="1:8" ht="46.5">
      <c r="A41" s="190" t="s">
        <v>523</v>
      </c>
      <c r="B41" s="160">
        <f>'Import Biologie'!C25</f>
        <v>15</v>
      </c>
      <c r="C41" s="229" t="s">
        <v>284</v>
      </c>
      <c r="D41" s="214"/>
      <c r="E41" s="155" t="s">
        <v>463</v>
      </c>
      <c r="F41" s="156" t="s">
        <v>464</v>
      </c>
      <c r="G41" s="157" t="s">
        <v>465</v>
      </c>
      <c r="H41" s="158" t="s">
        <v>498</v>
      </c>
    </row>
    <row r="42" spans="1:8" ht="46.5">
      <c r="A42" s="190" t="s">
        <v>595</v>
      </c>
      <c r="B42" s="160">
        <f>B39/B40</f>
        <v>0.88461538461538458</v>
      </c>
      <c r="C42" s="216" t="s">
        <v>325</v>
      </c>
      <c r="D42" s="214"/>
      <c r="E42" s="155" t="s">
        <v>468</v>
      </c>
      <c r="F42" s="156" t="s">
        <v>466</v>
      </c>
      <c r="G42" s="157" t="s">
        <v>467</v>
      </c>
      <c r="H42" s="158" t="s">
        <v>498</v>
      </c>
    </row>
    <row r="43" spans="1:8" ht="46.5">
      <c r="A43" s="190" t="s">
        <v>236</v>
      </c>
      <c r="B43" s="160">
        <f>'Import Biologie'!H30</f>
        <v>1.1218530258275261</v>
      </c>
      <c r="C43" s="179" t="s">
        <v>326</v>
      </c>
      <c r="D43" s="214"/>
      <c r="E43" s="155" t="s">
        <v>469</v>
      </c>
      <c r="F43" s="156" t="s">
        <v>470</v>
      </c>
      <c r="G43" s="157" t="s">
        <v>471</v>
      </c>
      <c r="H43" s="158" t="s">
        <v>498</v>
      </c>
    </row>
    <row r="44" spans="1:8" ht="69.75">
      <c r="A44" s="191" t="s">
        <v>524</v>
      </c>
      <c r="B44" s="163">
        <f>'Import Biologie'!C31</f>
        <v>3.3</v>
      </c>
      <c r="C44" s="228" t="s">
        <v>542</v>
      </c>
      <c r="D44" s="214"/>
      <c r="E44" s="155" t="s">
        <v>472</v>
      </c>
      <c r="F44" s="156"/>
      <c r="G44" s="157" t="s">
        <v>473</v>
      </c>
      <c r="H44" s="158" t="s">
        <v>498</v>
      </c>
    </row>
    <row r="45" spans="1:8" ht="186">
      <c r="A45" s="187" t="s">
        <v>525</v>
      </c>
      <c r="B45" s="167">
        <f>'Import Biologie'!C33</f>
        <v>201</v>
      </c>
      <c r="C45" s="219" t="s">
        <v>341</v>
      </c>
      <c r="D45" s="214"/>
      <c r="E45" s="155" t="s">
        <v>474</v>
      </c>
      <c r="F45" s="156" t="s">
        <v>475</v>
      </c>
      <c r="G45" s="157" t="s">
        <v>476</v>
      </c>
      <c r="H45" s="158" t="s">
        <v>498</v>
      </c>
    </row>
    <row r="46" spans="1:8" ht="93">
      <c r="A46" s="191" t="s">
        <v>526</v>
      </c>
      <c r="B46" s="160">
        <f>'Import Biologie'!C36</f>
        <v>9.9</v>
      </c>
      <c r="C46" s="219" t="s">
        <v>285</v>
      </c>
      <c r="D46" s="214"/>
      <c r="E46" s="155" t="s">
        <v>477</v>
      </c>
      <c r="F46" s="172" t="s">
        <v>571</v>
      </c>
      <c r="G46" s="157" t="s">
        <v>478</v>
      </c>
      <c r="H46" s="158" t="s">
        <v>498</v>
      </c>
    </row>
    <row r="47" spans="1:8" ht="46.5">
      <c r="A47" s="191" t="s">
        <v>527</v>
      </c>
      <c r="B47" s="159">
        <f>'Import Biologie'!C37</f>
        <v>66</v>
      </c>
      <c r="C47" s="219" t="s">
        <v>286</v>
      </c>
      <c r="D47" s="214"/>
      <c r="E47" s="155" t="s">
        <v>479</v>
      </c>
      <c r="F47" s="156" t="s">
        <v>480</v>
      </c>
      <c r="G47" s="157" t="s">
        <v>392</v>
      </c>
      <c r="H47" s="158" t="s">
        <v>498</v>
      </c>
    </row>
    <row r="48" spans="1:8">
      <c r="A48" s="173" t="s">
        <v>528</v>
      </c>
      <c r="B48" s="174">
        <f>'Import Biologie'!H35</f>
        <v>1</v>
      </c>
      <c r="C48" s="230" t="s">
        <v>309</v>
      </c>
      <c r="D48" s="214"/>
      <c r="E48" s="155" t="s">
        <v>396</v>
      </c>
      <c r="F48" s="156" t="s">
        <v>481</v>
      </c>
      <c r="G48" s="157" t="s">
        <v>467</v>
      </c>
      <c r="H48" s="158" t="s">
        <v>498</v>
      </c>
    </row>
    <row r="49" spans="1:8" ht="46.5">
      <c r="A49" s="189" t="s">
        <v>529</v>
      </c>
      <c r="B49" s="160" t="e">
        <f>'Import Biologie'!J29</f>
        <v>#DIV/0!</v>
      </c>
      <c r="C49" s="219" t="s">
        <v>329</v>
      </c>
      <c r="D49" s="214"/>
      <c r="E49" s="155" t="s">
        <v>488</v>
      </c>
      <c r="F49" s="156" t="s">
        <v>489</v>
      </c>
      <c r="G49" s="157" t="s">
        <v>490</v>
      </c>
      <c r="H49" s="158" t="s">
        <v>498</v>
      </c>
    </row>
    <row r="50" spans="1:8" ht="46.5">
      <c r="A50" s="189" t="s">
        <v>530</v>
      </c>
      <c r="B50" s="160">
        <f>'Import Biologie'!H32</f>
        <v>0</v>
      </c>
      <c r="C50" s="219" t="s">
        <v>497</v>
      </c>
      <c r="D50" s="214"/>
      <c r="E50" s="155" t="s">
        <v>422</v>
      </c>
      <c r="F50" s="168" t="s">
        <v>424</v>
      </c>
      <c r="G50" s="157" t="s">
        <v>423</v>
      </c>
      <c r="H50" s="158" t="s">
        <v>498</v>
      </c>
    </row>
    <row r="51" spans="1:8" ht="69.75">
      <c r="A51" s="191" t="s">
        <v>531</v>
      </c>
      <c r="B51" s="160">
        <f>'Import Biologie'!C60</f>
        <v>0.45517241379310347</v>
      </c>
      <c r="C51" s="219" t="s">
        <v>287</v>
      </c>
      <c r="D51" s="214"/>
      <c r="E51" s="155" t="s">
        <v>491</v>
      </c>
      <c r="F51" s="156" t="s">
        <v>492</v>
      </c>
      <c r="G51" s="157"/>
      <c r="H51" s="158" t="s">
        <v>498</v>
      </c>
    </row>
    <row r="52" spans="1:8" ht="69.75">
      <c r="A52" s="173" t="s">
        <v>532</v>
      </c>
      <c r="B52" s="167">
        <f>'Import Biologie'!C30</f>
        <v>53</v>
      </c>
      <c r="C52" s="179" t="s">
        <v>494</v>
      </c>
      <c r="D52" s="214"/>
      <c r="E52" s="155" t="s">
        <v>495</v>
      </c>
      <c r="F52" s="156" t="s">
        <v>496</v>
      </c>
      <c r="G52" s="157" t="s">
        <v>454</v>
      </c>
      <c r="H52" s="158" t="s">
        <v>498</v>
      </c>
    </row>
    <row r="53" spans="1:8" s="231" customFormat="1">
      <c r="A53" s="192"/>
      <c r="B53" s="175"/>
      <c r="C53" s="178"/>
      <c r="E53" s="155"/>
      <c r="F53" s="156"/>
      <c r="G53" s="157"/>
      <c r="H53" s="177"/>
    </row>
    <row r="54" spans="1:8" s="231" customFormat="1" ht="116.25">
      <c r="A54" s="192" t="s">
        <v>348</v>
      </c>
      <c r="B54" s="378">
        <f>'Import Biologie'!C38</f>
        <v>10001</v>
      </c>
      <c r="C54" s="178" t="s">
        <v>829</v>
      </c>
      <c r="E54" s="155" t="s">
        <v>344</v>
      </c>
      <c r="F54" s="176"/>
      <c r="G54" s="157" t="s">
        <v>343</v>
      </c>
      <c r="H54" s="177" t="s">
        <v>498</v>
      </c>
    </row>
    <row r="55" spans="1:8" s="231" customFormat="1" ht="69.75">
      <c r="A55" s="192" t="s">
        <v>295</v>
      </c>
      <c r="B55" s="378">
        <f>'Import Biologie'!C39</f>
        <v>10000</v>
      </c>
      <c r="C55" s="178" t="s">
        <v>349</v>
      </c>
      <c r="E55" s="155" t="s">
        <v>344</v>
      </c>
      <c r="F55" s="176"/>
      <c r="G55" s="157" t="s">
        <v>343</v>
      </c>
      <c r="H55" s="177" t="s">
        <v>498</v>
      </c>
    </row>
    <row r="56" spans="1:8" s="231" customFormat="1" ht="116.25">
      <c r="A56" s="192" t="s">
        <v>350</v>
      </c>
      <c r="B56" s="175" t="str">
        <f>'Import Biologie'!C40</f>
        <v>Negative</v>
      </c>
      <c r="C56" s="178" t="s">
        <v>351</v>
      </c>
      <c r="E56" s="155" t="s">
        <v>344</v>
      </c>
      <c r="F56" s="176"/>
      <c r="G56" s="157" t="s">
        <v>343</v>
      </c>
      <c r="H56" s="177" t="s">
        <v>498</v>
      </c>
    </row>
    <row r="57" spans="1:8" s="231" customFormat="1" ht="93">
      <c r="A57" s="192" t="s">
        <v>296</v>
      </c>
      <c r="B57" s="175">
        <f>'Import Biologie'!C45</f>
        <v>6</v>
      </c>
      <c r="C57" s="178" t="s">
        <v>342</v>
      </c>
      <c r="E57" s="155" t="s">
        <v>482</v>
      </c>
      <c r="F57" s="176"/>
      <c r="G57" s="157" t="s">
        <v>483</v>
      </c>
      <c r="H57" s="177" t="s">
        <v>498</v>
      </c>
    </row>
    <row r="58" spans="1:8" s="231" customFormat="1" ht="116.25">
      <c r="A58" s="192" t="s">
        <v>302</v>
      </c>
      <c r="B58" s="175">
        <f>'Import Biologie'!C46</f>
        <v>1010</v>
      </c>
      <c r="C58" s="178" t="s">
        <v>487</v>
      </c>
      <c r="E58" s="155" t="s">
        <v>486</v>
      </c>
      <c r="F58" s="156" t="s">
        <v>485</v>
      </c>
      <c r="G58" s="157"/>
      <c r="H58" s="177" t="s">
        <v>498</v>
      </c>
    </row>
    <row r="59" spans="1:8" s="231" customFormat="1" ht="93">
      <c r="A59" s="192" t="s">
        <v>352</v>
      </c>
      <c r="B59" s="175">
        <f>'Import Biologie'!C51</f>
        <v>0</v>
      </c>
      <c r="C59" s="178" t="s">
        <v>563</v>
      </c>
      <c r="E59" s="155" t="s">
        <v>565</v>
      </c>
      <c r="F59" s="176"/>
      <c r="G59" s="157" t="s">
        <v>567</v>
      </c>
      <c r="H59" s="177" t="s">
        <v>498</v>
      </c>
    </row>
    <row r="60" spans="1:8" s="231" customFormat="1" ht="69.75">
      <c r="A60" s="192" t="s">
        <v>353</v>
      </c>
      <c r="B60" s="175">
        <f>'Import Biologie'!C52</f>
        <v>0</v>
      </c>
      <c r="C60" s="178" t="s">
        <v>564</v>
      </c>
      <c r="E60" s="155" t="s">
        <v>566</v>
      </c>
      <c r="F60" s="176"/>
      <c r="G60" s="157" t="s">
        <v>567</v>
      </c>
      <c r="H60" s="177" t="s">
        <v>498</v>
      </c>
    </row>
    <row r="61" spans="1:8" s="231" customFormat="1" ht="69.75">
      <c r="A61" s="178" t="s">
        <v>354</v>
      </c>
      <c r="B61" s="175">
        <f>'Import Biologie'!C50</f>
        <v>0</v>
      </c>
      <c r="C61" s="232" t="s">
        <v>355</v>
      </c>
      <c r="E61" s="155" t="s">
        <v>566</v>
      </c>
      <c r="F61" s="176"/>
      <c r="G61" s="157" t="s">
        <v>567</v>
      </c>
      <c r="H61" s="177" t="s">
        <v>498</v>
      </c>
    </row>
    <row r="62" spans="1:8" s="231" customFormat="1" ht="209.25">
      <c r="A62" s="178" t="s">
        <v>533</v>
      </c>
      <c r="B62" s="175">
        <f>'Import Biologie'!C42</f>
        <v>5.95</v>
      </c>
      <c r="C62" s="178" t="s">
        <v>599</v>
      </c>
      <c r="E62" s="233" t="s">
        <v>554</v>
      </c>
      <c r="G62" s="234" t="s">
        <v>553</v>
      </c>
    </row>
    <row r="63" spans="1:8" s="231" customFormat="1" ht="93">
      <c r="A63" s="178" t="s">
        <v>545</v>
      </c>
      <c r="B63" s="175">
        <f>'Import Biologie'!C44</f>
        <v>201</v>
      </c>
      <c r="C63" s="235" t="s">
        <v>548</v>
      </c>
      <c r="E63" s="233"/>
      <c r="G63" s="234" t="s">
        <v>555</v>
      </c>
    </row>
    <row r="64" spans="1:8" s="231" customFormat="1" ht="116.25">
      <c r="A64" s="192" t="s">
        <v>543</v>
      </c>
      <c r="B64" s="175">
        <f>'Import Biologie'!C76</f>
        <v>0.91452019499161041</v>
      </c>
      <c r="C64" s="235" t="s">
        <v>593</v>
      </c>
      <c r="E64" s="233"/>
      <c r="G64" s="234"/>
    </row>
    <row r="65" spans="1:7" s="231" customFormat="1" ht="116.25">
      <c r="A65" s="192" t="s">
        <v>544</v>
      </c>
      <c r="B65" s="193">
        <f>'Import Biologie'!C75</f>
        <v>0</v>
      </c>
      <c r="C65" s="235" t="s">
        <v>594</v>
      </c>
      <c r="E65" s="233"/>
      <c r="G65" s="234"/>
    </row>
    <row r="66" spans="1:7" s="231" customFormat="1" ht="69.75">
      <c r="A66" s="192" t="s">
        <v>601</v>
      </c>
      <c r="B66" s="175">
        <f>'Import Biologie'!C69</f>
        <v>4.5294117647058822</v>
      </c>
      <c r="C66" s="235" t="s">
        <v>539</v>
      </c>
      <c r="E66" s="233"/>
      <c r="G66" s="234" t="s">
        <v>559</v>
      </c>
    </row>
    <row r="67" spans="1:7" s="231" customFormat="1" ht="93">
      <c r="A67" s="192" t="s">
        <v>569</v>
      </c>
      <c r="B67" s="175">
        <f>'Import Biologie'!C70</f>
        <v>44.8</v>
      </c>
      <c r="C67" s="235" t="s">
        <v>540</v>
      </c>
      <c r="E67" s="233"/>
      <c r="G67" s="234"/>
    </row>
    <row r="68" spans="1:7" s="231" customFormat="1">
      <c r="A68" s="192" t="s">
        <v>570</v>
      </c>
      <c r="B68" s="175">
        <f>'Import Biologie'!E70</f>
        <v>47.2</v>
      </c>
      <c r="C68" s="235" t="s">
        <v>541</v>
      </c>
      <c r="E68" s="155"/>
      <c r="F68" s="176"/>
      <c r="G68" s="157"/>
    </row>
    <row r="69" spans="1:7" s="231" customFormat="1" ht="93">
      <c r="A69" s="178" t="s">
        <v>568</v>
      </c>
      <c r="B69" s="175">
        <f>'Import Biologie'!C29</f>
        <v>0</v>
      </c>
      <c r="C69" s="235" t="s">
        <v>560</v>
      </c>
      <c r="E69" s="233"/>
      <c r="G69" s="234" t="s">
        <v>558</v>
      </c>
    </row>
    <row r="70" spans="1:7" s="231" customFormat="1">
      <c r="A70" s="178" t="s">
        <v>208</v>
      </c>
      <c r="B70" s="175" t="e">
        <f>'Import Biologie'!C62</f>
        <v>#DIV/0!</v>
      </c>
      <c r="C70" s="235" t="s">
        <v>537</v>
      </c>
      <c r="E70" s="155"/>
      <c r="F70" s="176"/>
      <c r="G70" s="157"/>
    </row>
    <row r="71" spans="1:7" s="231" customFormat="1" ht="46.5">
      <c r="A71" s="178" t="s">
        <v>535</v>
      </c>
      <c r="B71" s="175">
        <f>'Import Biologie'!C63</f>
        <v>1.5495592500000002</v>
      </c>
      <c r="C71" s="235" t="s">
        <v>538</v>
      </c>
      <c r="E71" s="155"/>
      <c r="F71" s="176"/>
      <c r="G71" s="157" t="s">
        <v>557</v>
      </c>
    </row>
    <row r="72" spans="1:7" s="231" customFormat="1">
      <c r="A72" s="178" t="s">
        <v>547</v>
      </c>
      <c r="B72" s="175">
        <f>'Import Biologie'!C87</f>
        <v>2.15625</v>
      </c>
      <c r="C72" s="178" t="s">
        <v>552</v>
      </c>
      <c r="E72" s="155"/>
      <c r="F72" s="176"/>
      <c r="G72" s="157" t="s">
        <v>556</v>
      </c>
    </row>
    <row r="73" spans="1:7" s="231" customFormat="1" ht="93">
      <c r="A73" s="178" t="s">
        <v>611</v>
      </c>
      <c r="B73" s="175" t="str">
        <f>'Import Biologie'!N52</f>
        <v>Faible</v>
      </c>
      <c r="C73" s="228" t="s">
        <v>654</v>
      </c>
      <c r="E73" s="155" t="s">
        <v>651</v>
      </c>
      <c r="F73" s="156" t="s">
        <v>652</v>
      </c>
      <c r="G73" s="157" t="s">
        <v>653</v>
      </c>
    </row>
    <row r="74" spans="1:7" s="231" customFormat="1">
      <c r="A74" s="119" t="s">
        <v>621</v>
      </c>
      <c r="B74" s="175">
        <f>'Import Question'!F244</f>
        <v>96</v>
      </c>
      <c r="C74" s="236" t="s">
        <v>623</v>
      </c>
      <c r="E74" s="155" t="s">
        <v>637</v>
      </c>
      <c r="F74" s="176"/>
      <c r="G74" s="157" t="s">
        <v>638</v>
      </c>
    </row>
    <row r="75" spans="1:7" s="231" customFormat="1">
      <c r="A75" s="119" t="s">
        <v>622</v>
      </c>
      <c r="B75" s="175">
        <f>'Import Question'!F245</f>
        <v>96</v>
      </c>
      <c r="C75" s="236" t="s">
        <v>623</v>
      </c>
      <c r="E75" s="155" t="s">
        <v>637</v>
      </c>
      <c r="F75" s="176"/>
      <c r="G75" s="157" t="s">
        <v>638</v>
      </c>
    </row>
    <row r="76" spans="1:7" s="231" customFormat="1" ht="46.5">
      <c r="A76" s="213" t="s">
        <v>627</v>
      </c>
      <c r="B76" s="175">
        <f>(('Import Question'!F242-70)+2*('Import Question'!F243-'Import Question'!F240))/10</f>
        <v>2</v>
      </c>
      <c r="C76" s="178" t="s">
        <v>628</v>
      </c>
      <c r="E76" s="155" t="s">
        <v>629</v>
      </c>
      <c r="F76" s="176"/>
      <c r="G76" s="157" t="s">
        <v>630</v>
      </c>
    </row>
    <row r="77" spans="1:7" s="231" customFormat="1" ht="69.75">
      <c r="A77" s="213" t="s">
        <v>632</v>
      </c>
      <c r="B77" s="175">
        <f>'Import Question'!F236-'Import Question'!F80</f>
        <v>125</v>
      </c>
      <c r="C77" s="237" t="s">
        <v>631</v>
      </c>
      <c r="E77" s="155"/>
      <c r="F77" s="176"/>
      <c r="G77" s="157"/>
    </row>
    <row r="78" spans="1:7" s="231" customFormat="1" ht="69.75">
      <c r="A78" s="213" t="s">
        <v>634</v>
      </c>
      <c r="B78" s="175">
        <f>(('Import Question'!F236-'Import Question'!F237)-('Import Question'!F80-'Import Question'!F81))</f>
        <v>50</v>
      </c>
      <c r="C78" s="237" t="s">
        <v>633</v>
      </c>
      <c r="E78" s="155" t="s">
        <v>635</v>
      </c>
      <c r="F78" s="176"/>
      <c r="G78" s="157" t="s">
        <v>636</v>
      </c>
    </row>
    <row r="79" spans="1:7" s="231" customFormat="1" ht="46.5">
      <c r="A79" s="213" t="s">
        <v>626</v>
      </c>
      <c r="B79" s="175">
        <f>'Import Question'!F80-'Import Question'!F235</f>
        <v>-120</v>
      </c>
      <c r="C79" s="238" t="s">
        <v>639</v>
      </c>
      <c r="E79" s="212" t="s">
        <v>641</v>
      </c>
      <c r="F79" s="156" t="s">
        <v>640</v>
      </c>
      <c r="G79" s="157" t="s">
        <v>642</v>
      </c>
    </row>
    <row r="80" spans="1:7" s="231" customFormat="1" ht="69.75">
      <c r="A80" s="241" t="s">
        <v>644</v>
      </c>
      <c r="B80" s="175" t="str">
        <f>'Import Question'!F246</f>
        <v>Non</v>
      </c>
      <c r="C80" s="239" t="s">
        <v>643</v>
      </c>
      <c r="E80" s="155" t="s">
        <v>648</v>
      </c>
      <c r="F80" s="176"/>
      <c r="G80" s="157" t="s">
        <v>649</v>
      </c>
    </row>
    <row r="81" spans="1:7" s="231" customFormat="1">
      <c r="A81" s="242" t="s">
        <v>645</v>
      </c>
      <c r="B81" s="175" t="str">
        <f>'Import Question'!F247</f>
        <v>Non</v>
      </c>
      <c r="C81" s="240" t="s">
        <v>650</v>
      </c>
      <c r="E81" s="155" t="s">
        <v>648</v>
      </c>
      <c r="F81" s="176"/>
      <c r="G81" s="157" t="s">
        <v>649</v>
      </c>
    </row>
    <row r="82" spans="1:7" s="231" customFormat="1">
      <c r="A82" s="213" t="s">
        <v>756</v>
      </c>
      <c r="B82" s="175">
        <f>'Import Question'!F248</f>
        <v>0</v>
      </c>
      <c r="C82" s="292" t="s">
        <v>760</v>
      </c>
      <c r="E82" s="155" t="s">
        <v>757</v>
      </c>
      <c r="F82" s="176"/>
      <c r="G82" s="157" t="s">
        <v>758</v>
      </c>
    </row>
    <row r="83" spans="1:7" s="231" customFormat="1" ht="69.75">
      <c r="A83" s="295" t="s">
        <v>797</v>
      </c>
      <c r="B83" s="339">
        <f>'Import Question'!J252</f>
        <v>0</v>
      </c>
      <c r="C83" s="337" t="s">
        <v>796</v>
      </c>
      <c r="E83" s="155" t="s">
        <v>800</v>
      </c>
      <c r="F83" s="156" t="s">
        <v>801</v>
      </c>
      <c r="G83" s="157" t="s">
        <v>799</v>
      </c>
    </row>
    <row r="84" spans="1:7" s="231" customFormat="1">
      <c r="A84" s="340" t="s">
        <v>798</v>
      </c>
      <c r="B84" s="339">
        <f>'Import Question'!J254</f>
        <v>0.6</v>
      </c>
      <c r="C84" s="338" t="s">
        <v>795</v>
      </c>
      <c r="E84" s="155" t="s">
        <v>800</v>
      </c>
      <c r="F84" s="156" t="s">
        <v>801</v>
      </c>
      <c r="G84" s="157" t="s">
        <v>799</v>
      </c>
    </row>
    <row r="85" spans="1:7" s="231" customFormat="1" ht="46.5">
      <c r="A85" s="379" t="s">
        <v>833</v>
      </c>
      <c r="B85" s="176">
        <f>'Import Question'!F240</f>
        <v>70</v>
      </c>
      <c r="C85" s="380" t="s">
        <v>834</v>
      </c>
      <c r="D85" s="176"/>
      <c r="E85" s="155" t="s">
        <v>835</v>
      </c>
      <c r="F85" s="156" t="s">
        <v>836</v>
      </c>
      <c r="G85" s="157" t="s">
        <v>837</v>
      </c>
    </row>
    <row r="86" spans="1:7" s="231" customFormat="1" ht="46.5">
      <c r="A86" s="379" t="s">
        <v>838</v>
      </c>
      <c r="B86" s="381">
        <f>207.5-(0.78*'Import Question'!F6)</f>
        <v>166.94</v>
      </c>
      <c r="C86" s="382" t="s">
        <v>839</v>
      </c>
      <c r="D86" s="176"/>
      <c r="E86" s="176"/>
      <c r="F86" s="176"/>
      <c r="G86" s="176"/>
    </row>
    <row r="87" spans="1:7" s="231" customFormat="1" ht="46.5">
      <c r="A87" s="379" t="s">
        <v>840</v>
      </c>
      <c r="B87" s="381">
        <f>208.3-(0.74*'Import Question'!F6)</f>
        <v>169.82000000000002</v>
      </c>
      <c r="C87" s="382" t="s">
        <v>841</v>
      </c>
      <c r="D87" s="176"/>
      <c r="E87" s="176"/>
      <c r="F87" s="176"/>
      <c r="G87" s="176"/>
    </row>
    <row r="88" spans="1:7" s="231" customFormat="1" ht="69.75">
      <c r="A88" s="379" t="s">
        <v>842</v>
      </c>
      <c r="B88" s="381">
        <f>0.7*(B86-B85)+B85</f>
        <v>137.858</v>
      </c>
      <c r="C88" s="383" t="s">
        <v>843</v>
      </c>
      <c r="D88" s="176"/>
      <c r="E88" s="176"/>
      <c r="F88" s="176"/>
      <c r="G88" s="176"/>
    </row>
    <row r="89" spans="1:7" s="231" customFormat="1" ht="69.75">
      <c r="A89" s="379" t="s">
        <v>844</v>
      </c>
      <c r="B89" s="381">
        <f>0.7*(B87-B85)+B85</f>
        <v>139.87400000000002</v>
      </c>
      <c r="C89" s="384" t="s">
        <v>843</v>
      </c>
      <c r="D89" s="176"/>
      <c r="E89" s="176"/>
      <c r="F89" s="176"/>
      <c r="G89" s="176"/>
    </row>
    <row r="90" spans="1:7" s="231" customFormat="1">
      <c r="A90" s="385" t="s">
        <v>845</v>
      </c>
      <c r="B90" s="37">
        <f>'Import Biologie'!C88</f>
        <v>0</v>
      </c>
      <c r="C90" s="382" t="s">
        <v>846</v>
      </c>
      <c r="D90" s="176"/>
      <c r="E90" s="157" t="s">
        <v>394</v>
      </c>
      <c r="F90" s="171" t="s">
        <v>847</v>
      </c>
      <c r="G90" s="157" t="s">
        <v>848</v>
      </c>
    </row>
    <row r="91" spans="1:7" s="231" customFormat="1">
      <c r="A91" s="385" t="s">
        <v>849</v>
      </c>
      <c r="B91" s="37">
        <f>'Import Biologie'!E89</f>
        <v>0</v>
      </c>
      <c r="C91" s="386" t="s">
        <v>850</v>
      </c>
      <c r="D91" s="176"/>
      <c r="E91" s="176"/>
      <c r="F91" s="176"/>
      <c r="G91" s="157" t="s">
        <v>851</v>
      </c>
    </row>
    <row r="92" spans="1:7" s="231" customFormat="1">
      <c r="A92" s="387" t="s">
        <v>852</v>
      </c>
      <c r="B92" s="388">
        <f>'Import Biologie'!C89</f>
        <v>0</v>
      </c>
      <c r="C92" s="386" t="s">
        <v>853</v>
      </c>
      <c r="D92" s="176"/>
      <c r="E92" s="176"/>
      <c r="F92" s="176"/>
      <c r="G92" s="157" t="s">
        <v>854</v>
      </c>
    </row>
    <row r="93" spans="1:7" s="231" customFormat="1">
      <c r="A93" s="387" t="s">
        <v>855</v>
      </c>
      <c r="B93" s="388">
        <f>'Import Biologie'!C90</f>
        <v>0</v>
      </c>
      <c r="C93" s="386" t="s">
        <v>856</v>
      </c>
      <c r="D93" s="176"/>
      <c r="E93" s="176"/>
      <c r="F93" s="176"/>
      <c r="G93" s="157" t="s">
        <v>392</v>
      </c>
    </row>
    <row r="94" spans="1:7" s="231" customFormat="1">
      <c r="A94" s="387" t="s">
        <v>857</v>
      </c>
      <c r="B94" s="389">
        <f>'Import Biologie'!C91</f>
        <v>0</v>
      </c>
      <c r="C94" s="386" t="s">
        <v>858</v>
      </c>
      <c r="D94" s="176"/>
      <c r="E94" s="176"/>
      <c r="F94" s="176"/>
      <c r="G94" s="157" t="s">
        <v>859</v>
      </c>
    </row>
    <row r="95" spans="1:7" s="231" customFormat="1">
      <c r="A95" s="385" t="s">
        <v>860</v>
      </c>
      <c r="B95" s="388">
        <f>'Import Biologie'!C92</f>
        <v>0</v>
      </c>
      <c r="C95" s="382" t="s">
        <v>861</v>
      </c>
      <c r="D95" s="176"/>
      <c r="E95" s="176"/>
      <c r="F95" s="176"/>
      <c r="G95" s="157" t="s">
        <v>458</v>
      </c>
    </row>
    <row r="96" spans="1:7" s="231" customFormat="1" ht="69.75">
      <c r="A96" s="385" t="s">
        <v>862</v>
      </c>
      <c r="B96" s="37">
        <f>'Import Biologie'!C93</f>
        <v>0</v>
      </c>
      <c r="C96" s="386" t="s">
        <v>863</v>
      </c>
      <c r="D96" s="176"/>
      <c r="E96" s="176"/>
      <c r="F96" s="176"/>
      <c r="G96" s="157" t="s">
        <v>864</v>
      </c>
    </row>
    <row r="97" spans="1:7" s="231" customFormat="1">
      <c r="A97" s="382" t="s">
        <v>865</v>
      </c>
      <c r="B97" s="37">
        <f>'Import Biologie'!C94</f>
        <v>0</v>
      </c>
      <c r="C97" s="390" t="s">
        <v>866</v>
      </c>
      <c r="D97" s="176"/>
      <c r="E97" s="176"/>
      <c r="F97" s="176"/>
      <c r="G97" s="157" t="s">
        <v>867</v>
      </c>
    </row>
    <row r="98" spans="1:7" s="231" customFormat="1">
      <c r="A98" s="391" t="s">
        <v>868</v>
      </c>
      <c r="B98" s="392">
        <f>'Import Biologie'!C34</f>
        <v>276</v>
      </c>
      <c r="C98" s="393" t="s">
        <v>869</v>
      </c>
      <c r="D98" s="176"/>
      <c r="E98" s="157" t="s">
        <v>641</v>
      </c>
      <c r="F98" s="155" t="s">
        <v>870</v>
      </c>
      <c r="G98" s="157" t="s">
        <v>871</v>
      </c>
    </row>
    <row r="99" spans="1:7" s="231" customFormat="1">
      <c r="A99" s="178"/>
      <c r="B99" s="175"/>
      <c r="C99" s="178"/>
      <c r="E99" s="176"/>
      <c r="F99" s="176"/>
      <c r="G99" s="176"/>
    </row>
    <row r="100" spans="1:7" s="231" customFormat="1">
      <c r="A100" s="178"/>
      <c r="B100" s="175"/>
      <c r="C100" s="178"/>
      <c r="E100" s="176"/>
      <c r="F100" s="176"/>
      <c r="G100" s="176"/>
    </row>
    <row r="101" spans="1:7" s="231" customFormat="1">
      <c r="A101" s="178"/>
      <c r="B101" s="175"/>
      <c r="C101" s="178"/>
      <c r="E101" s="176"/>
      <c r="F101" s="176"/>
      <c r="G101" s="176"/>
    </row>
    <row r="102" spans="1:7" s="231" customFormat="1">
      <c r="A102" s="178"/>
      <c r="B102" s="175"/>
      <c r="C102" s="178"/>
      <c r="E102" s="176"/>
      <c r="F102" s="176"/>
      <c r="G102" s="176"/>
    </row>
    <row r="103" spans="1:7" s="231" customFormat="1">
      <c r="A103" s="178"/>
      <c r="B103" s="175"/>
      <c r="C103" s="178"/>
      <c r="E103" s="176"/>
      <c r="F103" s="176"/>
      <c r="G103" s="176"/>
    </row>
    <row r="104" spans="1:7" s="231" customFormat="1">
      <c r="A104" s="178"/>
      <c r="B104" s="175"/>
      <c r="C104" s="178"/>
      <c r="E104" s="176"/>
      <c r="F104" s="176"/>
      <c r="G104" s="176"/>
    </row>
    <row r="105" spans="1:7" s="231" customFormat="1">
      <c r="A105" s="178"/>
      <c r="B105" s="175"/>
      <c r="C105" s="178"/>
      <c r="E105" s="176"/>
      <c r="F105" s="176"/>
      <c r="G105" s="176"/>
    </row>
    <row r="106" spans="1:7" s="231" customFormat="1">
      <c r="A106" s="178"/>
      <c r="B106" s="175"/>
      <c r="C106" s="178"/>
      <c r="E106" s="176"/>
      <c r="F106" s="176"/>
      <c r="G106" s="176"/>
    </row>
  </sheetData>
  <conditionalFormatting sqref="B4">
    <cfRule type="cellIs" dxfId="59" priority="160" operator="between">
      <formula>0.25</formula>
      <formula>0.3</formula>
    </cfRule>
    <cfRule type="cellIs" dxfId="58" priority="161" operator="between">
      <formula>0.185</formula>
      <formula>0.249</formula>
    </cfRule>
    <cfRule type="cellIs" dxfId="57" priority="162" operator="greaterThan">
      <formula>0.29</formula>
    </cfRule>
    <cfRule type="cellIs" dxfId="56" priority="163" operator="lessThan">
      <formula>0.185</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55" priority="142" operator="greaterThan">
      <formula>93.1</formula>
    </cfRule>
    <cfRule type="cellIs" dxfId="54" priority="143" operator="between">
      <formula>88</formula>
      <formula>93</formula>
    </cfRule>
    <cfRule type="cellIs" dxfId="53" priority="145" operator="equal">
      <formula>0</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52"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51" priority="124" operator="between">
      <formula>600</formula>
      <formula>3000</formula>
    </cfRule>
    <cfRule type="cellIs" dxfId="50" priority="127" operator="equal">
      <formula>0</formula>
    </cfRule>
  </conditionalFormatting>
  <conditionalFormatting sqref="B14">
    <cfRule type="cellIs" dxfId="49"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48" priority="172" operator="equal">
      <formula>0</formula>
    </cfRule>
    <cfRule type="cellIs" dxfId="47" priority="178" operator="between">
      <formula>0.1</formula>
      <formula>0.3</formula>
    </cfRule>
  </conditionalFormatting>
  <conditionalFormatting sqref="B20">
    <cfRule type="colorScale" priority="45">
      <colorScale>
        <cfvo type="num" val="1"/>
        <cfvo type="num" val="2"/>
        <cfvo type="num" val="2.5"/>
        <color rgb="FF00B050"/>
        <color rgb="FFFFEB84"/>
        <color rgb="FFFF0000"/>
      </colorScale>
    </cfRule>
    <cfRule type="cellIs" dxfId="46"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45" priority="170" operator="lessThan">
      <formula>2</formula>
    </cfRule>
  </conditionalFormatting>
  <conditionalFormatting sqref="B24">
    <cfRule type="cellIs" dxfId="44" priority="38" operator="greaterThan">
      <formula>10</formula>
    </cfRule>
  </conditionalFormatting>
  <conditionalFormatting sqref="B25">
    <cfRule type="cellIs" dxfId="43" priority="23" operator="equal">
      <formula>"L"</formula>
    </cfRule>
    <cfRule type="cellIs" dxfId="42" priority="41" operator="equal">
      <formula>"H"</formula>
    </cfRule>
  </conditionalFormatting>
  <conditionalFormatting sqref="B27">
    <cfRule type="cellIs" dxfId="41"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40" priority="94" operator="between">
      <formula>11.6</formula>
      <formula>16.6</formula>
    </cfRule>
  </conditionalFormatting>
  <conditionalFormatting sqref="B33">
    <cfRule type="cellIs" dxfId="39" priority="97" operator="between">
      <formula>3.4</formula>
      <formula>9.6</formula>
    </cfRule>
  </conditionalFormatting>
  <conditionalFormatting sqref="B34">
    <cfRule type="cellIs" dxfId="38" priority="96" operator="between">
      <formula>1.5</formula>
      <formula>6.5</formula>
    </cfRule>
  </conditionalFormatting>
  <conditionalFormatting sqref="B36">
    <cfRule type="cellIs" dxfId="37" priority="93" operator="between">
      <formula>0.95</formula>
      <formula>3.1</formula>
    </cfRule>
  </conditionalFormatting>
  <conditionalFormatting sqref="B37">
    <cfRule type="cellIs" dxfId="36" priority="92" operator="between">
      <formula>135</formula>
      <formula>371</formula>
    </cfRule>
  </conditionalFormatting>
  <conditionalFormatting sqref="B38">
    <cfRule type="cellIs" dxfId="35" priority="90" operator="between">
      <formula>11</formula>
      <formula>340</formula>
    </cfRule>
  </conditionalFormatting>
  <conditionalFormatting sqref="B39:B40">
    <cfRule type="cellIs" dxfId="34" priority="88" operator="greaterThan">
      <formula>60</formula>
    </cfRule>
  </conditionalFormatting>
  <conditionalFormatting sqref="B42">
    <cfRule type="cellIs" dxfId="33" priority="37" operator="greaterThan">
      <formula>2</formula>
    </cfRule>
  </conditionalFormatting>
  <conditionalFormatting sqref="B43">
    <cfRule type="cellIs" dxfId="32" priority="87" operator="greaterThan">
      <formula>70</formula>
    </cfRule>
  </conditionalFormatting>
  <conditionalFormatting sqref="B44">
    <cfRule type="cellIs" dxfId="31" priority="35" operator="between">
      <formula>0.4</formula>
      <formula>4</formula>
    </cfRule>
  </conditionalFormatting>
  <conditionalFormatting sqref="B45">
    <cfRule type="cellIs" dxfId="30" priority="34" operator="lessThan">
      <formula>500</formula>
    </cfRule>
    <cfRule type="cellIs" dxfId="29" priority="60" operator="greaterThan">
      <formula>700</formula>
    </cfRule>
  </conditionalFormatting>
  <conditionalFormatting sqref="B46">
    <cfRule type="cellIs" dxfId="28" priority="59" operator="greaterThan">
      <formula>80</formula>
    </cfRule>
  </conditionalFormatting>
  <conditionalFormatting sqref="B47">
    <cfRule type="cellIs" dxfId="27" priority="56" operator="lessThan">
      <formula>60</formula>
    </cfRule>
    <cfRule type="cellIs" dxfId="26" priority="57" operator="between">
      <formula>60</formula>
      <formula>80</formula>
    </cfRule>
  </conditionalFormatting>
  <conditionalFormatting sqref="B48">
    <cfRule type="cellIs" dxfId="25" priority="54" operator="between">
      <formula>0.1</formula>
      <formula>1</formula>
    </cfRule>
    <cfRule type="cellIs" dxfId="24" priority="55" operator="between">
      <formula>1</formula>
      <formula>2</formula>
    </cfRule>
  </conditionalFormatting>
  <conditionalFormatting sqref="B49">
    <cfRule type="cellIs" dxfId="23" priority="32" operator="greaterThan">
      <formula>0.16</formula>
    </cfRule>
    <cfRule type="cellIs" dxfId="22" priority="33" operator="between">
      <formula>0.12</formula>
      <formula>0.16</formula>
    </cfRule>
  </conditionalFormatting>
  <conditionalFormatting sqref="B50">
    <cfRule type="cellIs" dxfId="21" priority="31" operator="between">
      <formula>3</formula>
      <formula>6</formula>
    </cfRule>
    <cfRule type="cellIs" dxfId="20" priority="159" operator="greaterThan">
      <formula>6</formula>
    </cfRule>
  </conditionalFormatting>
  <conditionalFormatting sqref="B51">
    <cfRule type="cellIs" dxfId="19" priority="158" operator="greaterThan">
      <formula>2.5</formula>
    </cfRule>
  </conditionalFormatting>
  <conditionalFormatting sqref="B52">
    <cfRule type="cellIs" dxfId="18" priority="21" operator="greaterThan">
      <formula>1000</formula>
    </cfRule>
    <cfRule type="cellIs" dxfId="17" priority="22" operator="lessThan">
      <formula>200</formula>
    </cfRule>
  </conditionalFormatting>
  <conditionalFormatting sqref="B53">
    <cfRule type="cellIs" dxfId="16" priority="16" operator="between">
      <formula>600</formula>
      <formula>3000</formula>
    </cfRule>
    <cfRule type="cellIs" dxfId="15" priority="17" operator="equal">
      <formula>0</formula>
    </cfRule>
  </conditionalFormatting>
  <conditionalFormatting sqref="B54:B56">
    <cfRule type="cellIs" dxfId="14" priority="19" operator="equal">
      <formula>"Positive"</formula>
    </cfRule>
  </conditionalFormatting>
  <conditionalFormatting sqref="B59:B61">
    <cfRule type="cellIs" dxfId="13" priority="18" operator="equal">
      <formula>"Positive"</formula>
    </cfRule>
  </conditionalFormatting>
  <conditionalFormatting sqref="B62">
    <cfRule type="cellIs" dxfId="12" priority="14" operator="greaterThan">
      <formula>250</formula>
    </cfRule>
  </conditionalFormatting>
  <conditionalFormatting sqref="B62:B63">
    <cfRule type="cellIs" dxfId="11" priority="15" operator="equal">
      <formula>0</formula>
    </cfRule>
  </conditionalFormatting>
  <conditionalFormatting sqref="B63">
    <cfRule type="cellIs" dxfId="10" priority="13" operator="greaterThan">
      <formula>750</formula>
    </cfRule>
  </conditionalFormatting>
  <conditionalFormatting sqref="B64">
    <cfRule type="containsErrors" dxfId="9" priority="10">
      <formula>ISERROR(B64)</formula>
    </cfRule>
    <cfRule type="cellIs" dxfId="8" priority="11" operator="equal">
      <formula>0</formula>
    </cfRule>
  </conditionalFormatting>
  <conditionalFormatting sqref="B65">
    <cfRule type="colorScale" priority="9">
      <colorScale>
        <cfvo type="num" val="-0.2"/>
        <cfvo type="num" val="-0.1"/>
        <cfvo type="num" val="0"/>
        <color rgb="FFFF0000"/>
        <color rgb="FFFFEB84"/>
        <color rgb="FF00B050"/>
      </colorScale>
    </cfRule>
    <cfRule type="containsBlanks" dxfId="7" priority="12">
      <formula>LEN(TRIM(B65))=0</formula>
    </cfRule>
  </conditionalFormatting>
  <conditionalFormatting sqref="B66">
    <cfRule type="cellIs" dxfId="6" priority="7" operator="equal">
      <formula>0</formula>
    </cfRule>
    <cfRule type="cellIs" dxfId="5" priority="8" operator="greaterThan">
      <formula>6</formula>
    </cfRule>
  </conditionalFormatting>
  <conditionalFormatting sqref="B69">
    <cfRule type="cellIs" dxfId="4" priority="4" operator="between">
      <formula>0.31</formula>
      <formula>0.7</formula>
    </cfRule>
    <cfRule type="cellIs" dxfId="3" priority="5" operator="between">
      <formula>0.01</formula>
      <formula>0.3</formula>
    </cfRule>
    <cfRule type="cellIs" dxfId="2" priority="6" operator="equal">
      <formula>0</formula>
    </cfRule>
  </conditionalFormatting>
  <conditionalFormatting sqref="B70:B71">
    <cfRule type="containsErrors" dxfId="1" priority="1">
      <formula>ISERROR(B70)</formula>
    </cfRule>
    <cfRule type="cellIs" dxfId="0"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topLeftCell="A6" zoomScale="75" zoomScaleNormal="75" zoomScaleSheetLayoutView="75" workbookViewId="0">
      <selection sqref="A1:XFD1048576"/>
    </sheetView>
  </sheetViews>
  <sheetFormatPr baseColWidth="10" defaultColWidth="10.86328125" defaultRowHeight="25.5"/>
  <cols>
    <col min="1" max="1" width="72.796875" style="316" customWidth="1"/>
    <col min="2" max="2" width="5.53125" style="317" customWidth="1"/>
    <col min="3" max="3" width="255.796875" style="41" bestFit="1" customWidth="1"/>
    <col min="4" max="16384" width="10.86328125" style="305"/>
  </cols>
  <sheetData>
    <row r="1" spans="1:3" ht="139.5">
      <c r="A1" s="42" t="s">
        <v>235</v>
      </c>
      <c r="B1" s="36" t="s">
        <v>241</v>
      </c>
      <c r="C1" s="39" t="s">
        <v>551</v>
      </c>
    </row>
    <row r="2" spans="1:3" ht="93">
      <c r="A2" s="43" t="s">
        <v>54</v>
      </c>
      <c r="B2" s="345">
        <f>calculRISKS!V2</f>
        <v>0</v>
      </c>
      <c r="C2" s="40" t="s">
        <v>584</v>
      </c>
    </row>
    <row r="3" spans="1:3" ht="93">
      <c r="A3" s="43" t="s">
        <v>35</v>
      </c>
      <c r="B3" s="38">
        <f>calculRISKS!V3</f>
        <v>0</v>
      </c>
      <c r="C3" s="40" t="s">
        <v>572</v>
      </c>
    </row>
    <row r="4" spans="1:3" ht="46.5">
      <c r="A4" s="43" t="s">
        <v>36</v>
      </c>
      <c r="B4" s="38">
        <f>calculRISKS!V4</f>
        <v>2.038645714285706E-2</v>
      </c>
      <c r="C4" s="40" t="s">
        <v>585</v>
      </c>
    </row>
    <row r="5" spans="1:3" ht="93">
      <c r="A5" s="43" t="s">
        <v>37</v>
      </c>
      <c r="B5" s="38">
        <f>calculRISKS!V5</f>
        <v>9.2124000000001732E-2</v>
      </c>
      <c r="C5" s="40" t="s">
        <v>583</v>
      </c>
    </row>
    <row r="6" spans="1:3" ht="93">
      <c r="A6" s="43" t="s">
        <v>38</v>
      </c>
      <c r="B6" s="38">
        <f>calculRISKS!V6</f>
        <v>5.2378628571428396E-3</v>
      </c>
      <c r="C6" s="40" t="s">
        <v>573</v>
      </c>
    </row>
    <row r="7" spans="1:3" ht="93">
      <c r="A7" s="43" t="s">
        <v>245</v>
      </c>
      <c r="B7" s="38">
        <f>calculRISKS!V7</f>
        <v>3.9329382246664005E-3</v>
      </c>
      <c r="C7" s="40" t="s">
        <v>586</v>
      </c>
    </row>
    <row r="8" spans="1:3" ht="93">
      <c r="A8" s="43" t="s">
        <v>247</v>
      </c>
      <c r="B8" s="38">
        <f>calculRISKS!V8</f>
        <v>0.174682383636758</v>
      </c>
      <c r="C8" s="40" t="s">
        <v>574</v>
      </c>
    </row>
    <row r="9" spans="1:3" ht="93">
      <c r="A9" s="43" t="s">
        <v>41</v>
      </c>
      <c r="B9" s="38">
        <f>calculRISKS!V9</f>
        <v>5.4000000000000006E-2</v>
      </c>
      <c r="C9" s="41" t="s">
        <v>575</v>
      </c>
    </row>
    <row r="10" spans="1:3" ht="69.75">
      <c r="A10" s="43" t="s">
        <v>42</v>
      </c>
      <c r="B10" s="38">
        <f>calculRISKS!V10</f>
        <v>0.15300000000000005</v>
      </c>
      <c r="C10" s="41" t="s">
        <v>578</v>
      </c>
    </row>
    <row r="11" spans="1:3" ht="93">
      <c r="A11" s="43" t="s">
        <v>243</v>
      </c>
      <c r="B11" s="38">
        <f>calculRISKS!V11</f>
        <v>1.7488928571428575E-2</v>
      </c>
      <c r="C11" s="41" t="s">
        <v>577</v>
      </c>
    </row>
    <row r="12" spans="1:3" ht="93">
      <c r="A12" s="43" t="s">
        <v>44</v>
      </c>
      <c r="B12" s="38">
        <f>calculRISKS!V12</f>
        <v>7.5080357142857143E-2</v>
      </c>
      <c r="C12" s="306" t="s">
        <v>576</v>
      </c>
    </row>
    <row r="13" spans="1:3" ht="139.5">
      <c r="A13" s="43" t="s">
        <v>45</v>
      </c>
      <c r="B13" s="38">
        <f>calculRISKS!V13</f>
        <v>1.8000000000000002E-2</v>
      </c>
      <c r="C13" s="307" t="s">
        <v>587</v>
      </c>
    </row>
    <row r="14" spans="1:3" ht="116.25">
      <c r="A14" s="43" t="s">
        <v>46</v>
      </c>
      <c r="B14" s="38">
        <f>calculRISKS!V14</f>
        <v>1.0800000000000001E-2</v>
      </c>
      <c r="C14" s="308" t="s">
        <v>588</v>
      </c>
    </row>
    <row r="15" spans="1:3" ht="139.5">
      <c r="A15" s="43" t="s">
        <v>47</v>
      </c>
      <c r="B15" s="38">
        <f>calculRISKS!V15</f>
        <v>2.6666666666666666E-3</v>
      </c>
      <c r="C15" s="306" t="s">
        <v>589</v>
      </c>
    </row>
    <row r="16" spans="1:3" ht="116.25">
      <c r="A16" s="43" t="s">
        <v>48</v>
      </c>
      <c r="B16" s="38">
        <f>calculRISKS!V16</f>
        <v>8.0000000000000002E-3</v>
      </c>
      <c r="C16" s="307" t="s">
        <v>579</v>
      </c>
    </row>
    <row r="17" spans="1:3" ht="69.75">
      <c r="A17" s="43" t="s">
        <v>49</v>
      </c>
      <c r="B17" s="38">
        <f>calculRISKS!V17</f>
        <v>1.0000000000000001E-5</v>
      </c>
      <c r="C17" s="307" t="s">
        <v>590</v>
      </c>
    </row>
    <row r="18" spans="1:3" ht="69.75">
      <c r="A18" s="309" t="s">
        <v>244</v>
      </c>
      <c r="B18" s="38">
        <f>calculRISKS!V18</f>
        <v>1.0950052557601156E-4</v>
      </c>
      <c r="C18" s="307" t="s">
        <v>580</v>
      </c>
    </row>
    <row r="19" spans="1:3" ht="116.25">
      <c r="A19" s="43" t="s">
        <v>51</v>
      </c>
      <c r="B19" s="38">
        <f>calculRISKS!V19</f>
        <v>5.3999999999999999E-2</v>
      </c>
      <c r="C19" s="307" t="s">
        <v>591</v>
      </c>
    </row>
    <row r="20" spans="1:3" ht="93">
      <c r="A20" s="43" t="s">
        <v>52</v>
      </c>
      <c r="B20" s="38">
        <f>calculRISKS!V20</f>
        <v>2.0901518045744654E-3</v>
      </c>
      <c r="C20" s="307" t="s">
        <v>581</v>
      </c>
    </row>
    <row r="21" spans="1:3" ht="162.75">
      <c r="A21" s="43" t="s">
        <v>97</v>
      </c>
      <c r="B21" s="37">
        <f>calculRISKS!V21</f>
        <v>1.248248571428578E-2</v>
      </c>
      <c r="C21" s="306" t="s">
        <v>592</v>
      </c>
    </row>
    <row r="22" spans="1:3" ht="69.75">
      <c r="A22" s="43" t="s">
        <v>610</v>
      </c>
      <c r="B22" s="38">
        <f>calculRISKS!V22</f>
        <v>1.4324793800390658E-4</v>
      </c>
      <c r="C22" s="206" t="s">
        <v>609</v>
      </c>
    </row>
    <row r="23" spans="1:3" s="312" customFormat="1">
      <c r="A23" s="310" t="s">
        <v>237</v>
      </c>
      <c r="B23" s="44" t="s">
        <v>242</v>
      </c>
      <c r="C23" s="311"/>
    </row>
    <row r="24" spans="1:3">
      <c r="A24" s="43" t="s">
        <v>248</v>
      </c>
      <c r="B24" s="313">
        <f>1-('Import Question'!H125/9)</f>
        <v>0.77777777777777779</v>
      </c>
      <c r="C24" s="314" t="s">
        <v>769</v>
      </c>
    </row>
    <row r="25" spans="1:3">
      <c r="A25" s="335" t="s">
        <v>785</v>
      </c>
      <c r="B25" s="313">
        <f>1-(('Import Question'!F209+'Import Question'!G268)/4)</f>
        <v>0.75</v>
      </c>
      <c r="C25" s="314" t="s">
        <v>770</v>
      </c>
    </row>
    <row r="26" spans="1:3">
      <c r="A26" s="43" t="s">
        <v>249</v>
      </c>
      <c r="B26" s="313">
        <f>1-('Import Question'!F214/3)</f>
        <v>0.33333333333333337</v>
      </c>
      <c r="C26" s="314" t="s">
        <v>771</v>
      </c>
    </row>
    <row r="27" spans="1:3">
      <c r="A27" s="43" t="s">
        <v>250</v>
      </c>
      <c r="B27" s="313">
        <f>1-('Import Question'!F219/3)</f>
        <v>0</v>
      </c>
      <c r="C27" s="314" t="s">
        <v>772</v>
      </c>
    </row>
    <row r="28" spans="1:3">
      <c r="A28" s="43" t="s">
        <v>251</v>
      </c>
      <c r="B28" s="313">
        <f>1-('Import Question'!F224+'Import Question'!G271)/4</f>
        <v>0.5</v>
      </c>
      <c r="C28" s="314" t="s">
        <v>773</v>
      </c>
    </row>
    <row r="29" spans="1:3">
      <c r="A29" s="335" t="s">
        <v>792</v>
      </c>
      <c r="B29" s="313">
        <f>1-('Import Question'!H140/6)</f>
        <v>0.5</v>
      </c>
      <c r="C29" s="314" t="s">
        <v>774</v>
      </c>
    </row>
    <row r="30" spans="1:3" ht="46.5">
      <c r="A30" s="315" t="s">
        <v>754</v>
      </c>
      <c r="B30" s="313">
        <f>1-'Import Question'!G262</f>
        <v>1</v>
      </c>
      <c r="C30" s="337" t="s">
        <v>794</v>
      </c>
    </row>
    <row r="31" spans="1:3">
      <c r="A31" s="315" t="s">
        <v>755</v>
      </c>
      <c r="B31" s="313">
        <f>1-'Import Question'!G265</f>
        <v>1</v>
      </c>
      <c r="C31" s="338" t="s">
        <v>793</v>
      </c>
    </row>
    <row r="32" spans="1:3">
      <c r="A32" s="336" t="s">
        <v>784</v>
      </c>
      <c r="B32" s="313">
        <f>1-(('Import Question'!G122+'Import Question'!G259)/2)</f>
        <v>1</v>
      </c>
    </row>
    <row r="33" spans="1:2">
      <c r="A33" s="336" t="s">
        <v>786</v>
      </c>
      <c r="B33" s="313">
        <f>1-('Import Question'!G274+'Import Question'!G122)/2</f>
        <v>1</v>
      </c>
    </row>
    <row r="34" spans="1:2">
      <c r="A34" s="43"/>
      <c r="B34" s="37"/>
    </row>
    <row r="35" spans="1:2">
      <c r="A35" s="43"/>
      <c r="B35" s="37"/>
    </row>
    <row r="36" spans="1:2">
      <c r="A36" s="43"/>
      <c r="B36" s="37"/>
    </row>
    <row r="37" spans="1:2">
      <c r="A37" s="43"/>
      <c r="B37" s="37"/>
    </row>
    <row r="38" spans="1:2">
      <c r="A38" s="43"/>
      <c r="B38" s="37"/>
    </row>
    <row r="39" spans="1:2">
      <c r="A39" s="43"/>
      <c r="B39" s="37"/>
    </row>
    <row r="40" spans="1:2">
      <c r="A40" s="43"/>
      <c r="B40" s="37"/>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pageSetUpPr fitToPage="1"/>
  </sheetPr>
  <dimension ref="E4:H26"/>
  <sheetViews>
    <sheetView showGridLines="0" topLeftCell="E2" zoomScale="75" zoomScaleNormal="75" workbookViewId="0">
      <selection activeCell="H10" sqref="H10"/>
    </sheetView>
  </sheetViews>
  <sheetFormatPr baseColWidth="10" defaultColWidth="11.53125" defaultRowHeight="14.25"/>
  <cols>
    <col min="1" max="3" width="10.86328125" customWidth="1"/>
    <col min="4" max="4" width="13.1328125" customWidth="1"/>
    <col min="5" max="5" width="25.1328125" customWidth="1"/>
    <col min="6" max="6" width="35.46484375" style="19" customWidth="1"/>
    <col min="7" max="7" width="47.1328125" customWidth="1"/>
  </cols>
  <sheetData>
    <row r="4" spans="5:8" ht="23.25">
      <c r="F4" s="26" t="s">
        <v>108</v>
      </c>
      <c r="G4" s="26" t="s">
        <v>109</v>
      </c>
    </row>
    <row r="6" spans="5:8" ht="18">
      <c r="E6" s="17" t="s">
        <v>54</v>
      </c>
      <c r="F6" s="19" t="str">
        <f>IF('Import Question'!F3="F","ND",(IF(RESULTATS!R3&gt;1.2,"Consultation spécialisée","Dépistage usuel")))</f>
        <v>ND</v>
      </c>
      <c r="G6" s="23" t="s">
        <v>110</v>
      </c>
      <c r="H6" s="15" t="str">
        <f>IF('Import Question'!H77&gt;0.25,"Oui","Non")</f>
        <v>Non</v>
      </c>
    </row>
    <row r="7" spans="5:8" ht="18">
      <c r="E7" s="18" t="s">
        <v>35</v>
      </c>
      <c r="F7" s="19" t="str">
        <f>IF('Import Question'!F3="F","ND",(IF(RESULTATS!R4&gt;1.2,"Consultation spécialisée", "Dépistage usuel")))</f>
        <v>ND</v>
      </c>
      <c r="G7" s="23" t="s">
        <v>112</v>
      </c>
      <c r="H7" s="15" t="str">
        <f>IF('Import Question'!F82="Y","Oui","Non")</f>
        <v>Non</v>
      </c>
    </row>
    <row r="8" spans="5:8" ht="18">
      <c r="E8" s="18" t="s">
        <v>36</v>
      </c>
      <c r="F8" s="19" t="str">
        <f>IF(RESULTATS!R5&gt;1.2,"Consultation spécialisée","Dépistage usuel")</f>
        <v>Dépistage usuel</v>
      </c>
      <c r="G8" s="23" t="s">
        <v>234</v>
      </c>
      <c r="H8" s="15" t="str">
        <f>IF('Import Question'!F86="Y","Oui","Non")</f>
        <v>Non</v>
      </c>
    </row>
    <row r="9" spans="5:8" ht="18">
      <c r="E9" s="18" t="s">
        <v>37</v>
      </c>
      <c r="F9" s="19" t="str">
        <f>IF(RESULTATS!R6&gt;1.2,"Echographie rénale", "Dépistage usuel")</f>
        <v>Dépistage usuel</v>
      </c>
      <c r="G9" s="23" t="s">
        <v>111</v>
      </c>
      <c r="H9" s="15" t="str">
        <f>IF('Import Question'!F89="Y","Non","Oui")</f>
        <v>Non</v>
      </c>
    </row>
    <row r="10" spans="5:8" ht="18">
      <c r="E10" s="18" t="s">
        <v>38</v>
      </c>
      <c r="F10" s="19" t="str">
        <f>IF(RESULTATS!R7&gt;1.2,"DXA", "Dépistage usuel")</f>
        <v>Dépistage usuel</v>
      </c>
      <c r="G10" s="23" t="s">
        <v>114</v>
      </c>
      <c r="H10" s="15" t="str">
        <f>IF('Import Question'!F92="Y","Non","Oui")</f>
        <v>Oui</v>
      </c>
    </row>
    <row r="11" spans="5:8" ht="18">
      <c r="E11" s="18" t="s">
        <v>39</v>
      </c>
      <c r="F11" s="19" t="str">
        <f>IF(RESULTATS!R8&gt;1.2,"Consultation spécialisée", "Dépistage usuel")</f>
        <v>Dépistage usuel</v>
      </c>
      <c r="G11" s="23" t="s">
        <v>126</v>
      </c>
      <c r="H11" s="15" t="str">
        <f>IF('Import Biologie'!J15=1,"Oui","Non")</f>
        <v>Non</v>
      </c>
    </row>
    <row r="12" spans="5:8">
      <c r="E12" s="18" t="s">
        <v>247</v>
      </c>
      <c r="F12" s="19" t="str">
        <f>IF(RESULTATS!R9&gt;1.2,"Echographie hépatobiliaire", "Dépistage usuel")</f>
        <v>Dépistage usuel</v>
      </c>
    </row>
    <row r="13" spans="5:8">
      <c r="E13" s="18" t="s">
        <v>41</v>
      </c>
      <c r="F13" s="19" t="str">
        <f>IF(RESULTATS!R10&gt;1.2,"Consultation spécialisée", "Dépistage suel")</f>
        <v>Dépistage suel</v>
      </c>
    </row>
    <row r="14" spans="5:8">
      <c r="E14" s="18" t="s">
        <v>42</v>
      </c>
      <c r="F14" s="19" t="str">
        <f>IF(RESULTATS!R11&gt;1.2,"Consultation spécialisée", "Dépistage usuel")</f>
        <v>Dépistage usuel</v>
      </c>
    </row>
    <row r="15" spans="5:8">
      <c r="E15" s="18" t="s">
        <v>246</v>
      </c>
      <c r="F15" s="19" t="str">
        <f>IF(RESULTATS!R12&gt;1.2,"Consultation spécialisée", "Dépistage usuel")</f>
        <v>Dépistage usuel</v>
      </c>
    </row>
    <row r="16" spans="5:8">
      <c r="E16" s="18" t="s">
        <v>44</v>
      </c>
      <c r="F16" s="19" t="str">
        <f>IF(RESULTATS!R13&gt;1.2,"Consultation spécialisée", "Dépistage usuel")</f>
        <v>Dépistage usuel</v>
      </c>
    </row>
    <row r="17" spans="5:6">
      <c r="E17" s="18" t="s">
        <v>45</v>
      </c>
      <c r="F17" s="19" t="str">
        <f>IF(RESULTATS!R14&gt;1.2,"Consultation spécialisée", "Dépistage usuel")</f>
        <v>Dépistage usuel</v>
      </c>
    </row>
    <row r="18" spans="5:6">
      <c r="E18" s="18" t="s">
        <v>46</v>
      </c>
      <c r="F18" s="19" t="str">
        <f>IF(RESULTATS!R15&gt;1.2,"Echo-Doppler", "Dépistage usuel")</f>
        <v>Dépistage usuel</v>
      </c>
    </row>
    <row r="19" spans="5:6">
      <c r="E19" s="18" t="s">
        <v>47</v>
      </c>
      <c r="F19" s="19" t="str">
        <f>IF(RESULTATS!R16&gt;1.2,"Consultation spécialisée", "Dépistage usuel")</f>
        <v>Dépistage usuel</v>
      </c>
    </row>
    <row r="20" spans="5:6">
      <c r="E20" s="18" t="s">
        <v>48</v>
      </c>
      <c r="F20" s="19" t="str">
        <f>IF(RESULTATS!R17&gt;1.2,"Consultation spécialisée", "Dépistage usuel")</f>
        <v>Dépistage usuel</v>
      </c>
    </row>
    <row r="21" spans="5:6">
      <c r="E21" s="18" t="s">
        <v>49</v>
      </c>
      <c r="F21" s="19" t="str">
        <f>IF(RESULTATS!R18&gt;1.2,"scanner thoracique", "Dépistage usuel")</f>
        <v>Dépistage usuel</v>
      </c>
    </row>
    <row r="22" spans="5:6">
      <c r="E22" s="18" t="s">
        <v>50</v>
      </c>
      <c r="F22" s="19" t="str">
        <f>IF(RESULTATS!R19&gt;1.2,"Consultation spécialisée", "Dépistage usuel")</f>
        <v>Dépistage usuel</v>
      </c>
    </row>
    <row r="23" spans="5:6">
      <c r="E23" s="18" t="s">
        <v>51</v>
      </c>
      <c r="F23" s="19" t="str">
        <f>IF(RESULTATS!R20&gt;1.2,"Spirométrie", "Dépistage usuel")</f>
        <v>Dépistage usuel</v>
      </c>
    </row>
    <row r="24" spans="5:6">
      <c r="E24" s="18" t="s">
        <v>52</v>
      </c>
      <c r="F24" s="19" t="str">
        <f>IF(RESULTATS!R21&gt;1.2,"Consultation spécialisée", "Dépistage usuel")</f>
        <v>Dépistage usuel</v>
      </c>
    </row>
    <row r="25" spans="5:6">
      <c r="E25" s="18" t="s">
        <v>97</v>
      </c>
      <c r="F25" s="19" t="str">
        <f>IF('Import Question'!F3="H","ND",(IF(RESULTATS!R22&gt;1.2,"Consultation spécialisée","Dépistage usuel")))</f>
        <v>Dépistage usuel</v>
      </c>
    </row>
    <row r="26" spans="5:6">
      <c r="E26" s="22" t="s">
        <v>607</v>
      </c>
      <c r="F26" s="19" t="str">
        <f>IF(RESULTATS!R23&gt;1.2,"Consultation spécialisée", "Dépistage usuel")</f>
        <v>Dépistage usuel</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C00000"/>
    <pageSetUpPr fitToPage="1"/>
  </sheetPr>
  <dimension ref="B2:V32"/>
  <sheetViews>
    <sheetView showGridLines="0" topLeftCell="C1" zoomScaleNormal="100" zoomScaleSheetLayoutView="75" workbookViewId="0">
      <selection activeCell="H5" sqref="H5"/>
    </sheetView>
  </sheetViews>
  <sheetFormatPr baseColWidth="10" defaultColWidth="11.53125" defaultRowHeight="14.25"/>
  <cols>
    <col min="2" max="2" width="11.53125" style="357"/>
    <col min="5" max="6" width="11.53125" style="27"/>
    <col min="7" max="7" width="26.19921875" customWidth="1"/>
    <col min="9" max="9" width="10.86328125" style="19"/>
    <col min="18" max="18" width="11.53125" style="27"/>
  </cols>
  <sheetData>
    <row r="2" spans="4:10">
      <c r="D2" s="16" t="s">
        <v>55</v>
      </c>
      <c r="E2" s="27" t="s">
        <v>805</v>
      </c>
      <c r="I2" s="19" t="s">
        <v>89</v>
      </c>
      <c r="J2" t="s">
        <v>90</v>
      </c>
    </row>
    <row r="3" spans="4:10">
      <c r="D3" s="17" t="s">
        <v>54</v>
      </c>
      <c r="E3" s="27" t="e">
        <f>calculRISKS!AB23</f>
        <v>#DIV/0!</v>
      </c>
      <c r="G3" s="28" t="s">
        <v>110</v>
      </c>
      <c r="H3" s="29" t="s">
        <v>90</v>
      </c>
    </row>
    <row r="4" spans="4:10">
      <c r="D4" s="18" t="s">
        <v>35</v>
      </c>
      <c r="E4" s="27" t="e">
        <f>calculRISKS!AB24</f>
        <v>#DIV/0!</v>
      </c>
      <c r="G4" s="28" t="s">
        <v>112</v>
      </c>
      <c r="H4" s="29" t="s">
        <v>90</v>
      </c>
    </row>
    <row r="5" spans="4:10">
      <c r="D5" s="18" t="s">
        <v>36</v>
      </c>
      <c r="E5" s="27">
        <f>calculRISKS!AB25</f>
        <v>1</v>
      </c>
      <c r="G5" s="28" t="s">
        <v>113</v>
      </c>
      <c r="H5" s="29" t="s">
        <v>90</v>
      </c>
    </row>
    <row r="6" spans="4:10">
      <c r="D6" s="18" t="s">
        <v>37</v>
      </c>
      <c r="E6" s="27">
        <f>calculRISKS!AB26</f>
        <v>1</v>
      </c>
      <c r="G6" s="28" t="s">
        <v>111</v>
      </c>
      <c r="H6" s="29" t="s">
        <v>90</v>
      </c>
    </row>
    <row r="7" spans="4:10">
      <c r="D7" s="18" t="s">
        <v>38</v>
      </c>
      <c r="E7" s="27">
        <f>calculRISKS!AB27</f>
        <v>1</v>
      </c>
      <c r="G7" s="28" t="s">
        <v>114</v>
      </c>
      <c r="H7" s="29" t="s">
        <v>90</v>
      </c>
    </row>
    <row r="8" spans="4:10">
      <c r="D8" s="18" t="s">
        <v>39</v>
      </c>
      <c r="E8" s="27">
        <f>calculRISKS!AB28</f>
        <v>1</v>
      </c>
      <c r="G8" s="28" t="s">
        <v>126</v>
      </c>
      <c r="H8" s="29" t="s">
        <v>90</v>
      </c>
    </row>
    <row r="9" spans="4:10">
      <c r="D9" s="18" t="s">
        <v>247</v>
      </c>
      <c r="E9" s="27">
        <f>calculRISKS!AB29</f>
        <v>1</v>
      </c>
    </row>
    <row r="10" spans="4:10">
      <c r="D10" s="18" t="s">
        <v>41</v>
      </c>
      <c r="E10" s="27">
        <f>calculRISKS!AB30</f>
        <v>1</v>
      </c>
    </row>
    <row r="11" spans="4:10">
      <c r="D11" s="18" t="s">
        <v>42</v>
      </c>
      <c r="E11" s="27">
        <f>calculRISKS!AB31</f>
        <v>1</v>
      </c>
    </row>
    <row r="12" spans="4:10">
      <c r="D12" s="18" t="s">
        <v>43</v>
      </c>
      <c r="E12" s="27">
        <f>calculRISKS!AB32</f>
        <v>1</v>
      </c>
    </row>
    <row r="13" spans="4:10">
      <c r="D13" s="18" t="s">
        <v>44</v>
      </c>
      <c r="E13" s="27">
        <f>calculRISKS!AB33</f>
        <v>1</v>
      </c>
    </row>
    <row r="14" spans="4:10">
      <c r="D14" s="18" t="s">
        <v>45</v>
      </c>
      <c r="E14" s="27">
        <f>calculRISKS!AB34</f>
        <v>1</v>
      </c>
    </row>
    <row r="15" spans="4:10">
      <c r="D15" s="18" t="s">
        <v>46</v>
      </c>
      <c r="E15" s="27">
        <f>calculRISKS!AB35</f>
        <v>1</v>
      </c>
    </row>
    <row r="16" spans="4:10">
      <c r="D16" s="18" t="s">
        <v>47</v>
      </c>
      <c r="E16" s="27">
        <f>calculRISKS!AB36</f>
        <v>1</v>
      </c>
    </row>
    <row r="17" spans="3:22">
      <c r="D17" s="18" t="s">
        <v>48</v>
      </c>
      <c r="E17" s="27">
        <f>calculRISKS!AB37</f>
        <v>1</v>
      </c>
    </row>
    <row r="18" spans="3:22">
      <c r="D18" s="18" t="s">
        <v>49</v>
      </c>
      <c r="E18" s="27">
        <f>calculRISKS!AB38</f>
        <v>1</v>
      </c>
    </row>
    <row r="19" spans="3:22">
      <c r="D19" s="18" t="s">
        <v>50</v>
      </c>
      <c r="E19" s="27">
        <f>calculRISKS!AB39</f>
        <v>1</v>
      </c>
    </row>
    <row r="20" spans="3:22">
      <c r="D20" s="18" t="s">
        <v>51</v>
      </c>
      <c r="E20" s="27">
        <f>calculRISKS!AB40</f>
        <v>1</v>
      </c>
    </row>
    <row r="21" spans="3:22">
      <c r="D21" s="18" t="s">
        <v>52</v>
      </c>
      <c r="E21" s="27">
        <f>calculRISKS!AB41</f>
        <v>1</v>
      </c>
    </row>
    <row r="22" spans="3:22">
      <c r="D22" s="18" t="s">
        <v>97</v>
      </c>
      <c r="E22" s="27">
        <f>calculRISKS!AB42</f>
        <v>1</v>
      </c>
    </row>
    <row r="23" spans="3:22">
      <c r="D23" s="22" t="s">
        <v>607</v>
      </c>
      <c r="E23" s="27">
        <f>calculRISKS!AB43</f>
        <v>1</v>
      </c>
    </row>
    <row r="25" spans="3:22">
      <c r="C25" s="19"/>
    </row>
    <row r="32" spans="3:22">
      <c r="V32" s="27"/>
    </row>
  </sheetData>
  <conditionalFormatting sqref="B1:B1048576">
    <cfRule type="colorScale" priority="1">
      <colorScale>
        <cfvo type="min"/>
        <cfvo type="percentile" val="50"/>
        <cfvo type="max"/>
        <color rgb="FF5A8AC6"/>
        <color rgb="FFFCFCFF"/>
        <color rgb="FFF8696B"/>
      </colorScale>
    </cfRule>
  </conditionalFormatting>
  <conditionalFormatting sqref="D2">
    <cfRule type="iconSet" priority="6">
      <iconSet reverse="1">
        <cfvo type="percent" val="0"/>
        <cfvo type="percent" val="33"/>
        <cfvo type="percent" val="67"/>
      </iconSet>
    </cfRule>
  </conditionalFormatting>
  <conditionalFormatting sqref="D13">
    <cfRule type="colorScale" priority="5">
      <colorScale>
        <cfvo type="min"/>
        <cfvo type="percentile" val="50"/>
        <cfvo type="max"/>
        <color rgb="FF5A8AC6"/>
        <color rgb="FFFCFCFF"/>
        <color rgb="FFF8696B"/>
      </colorScale>
    </cfRule>
  </conditionalFormatting>
  <conditionalFormatting sqref="D14:D19 D4:D12">
    <cfRule type="colorScale" priority="7">
      <colorScale>
        <cfvo type="min"/>
        <cfvo type="percentile" val="50"/>
        <cfvo type="max"/>
        <color rgb="FF5A8AC6"/>
        <color rgb="FFFCFCFF"/>
        <color rgb="FFF8696B"/>
      </colorScale>
    </cfRule>
  </conditionalFormatting>
  <conditionalFormatting sqref="D20">
    <cfRule type="colorScale" priority="4">
      <colorScale>
        <cfvo type="min"/>
        <cfvo type="percentile" val="50"/>
        <cfvo type="max"/>
        <color rgb="FF5A8AC6"/>
        <color rgb="FFFCFCFF"/>
        <color rgb="FFF8696B"/>
      </colorScale>
    </cfRule>
  </conditionalFormatting>
  <conditionalFormatting sqref="D21">
    <cfRule type="colorScale" priority="3">
      <colorScale>
        <cfvo type="min"/>
        <cfvo type="percentile" val="50"/>
        <cfvo type="max"/>
        <color rgb="FF5A8AC6"/>
        <color rgb="FFFCFCFF"/>
        <color rgb="FFF8696B"/>
      </colorScale>
    </cfRule>
  </conditionalFormatting>
  <conditionalFormatting sqref="D22">
    <cfRule type="iconSet" priority="2">
      <iconSet reverse="1">
        <cfvo type="percent" val="0"/>
        <cfvo type="percent" val="33"/>
        <cfvo type="percent" val="67"/>
      </iconSet>
    </cfRule>
  </conditionalFormatting>
  <conditionalFormatting sqref="E1:F1048576">
    <cfRule type="colorScale" priority="9">
      <colorScale>
        <cfvo type="min"/>
        <cfvo type="percentile" val="50"/>
        <cfvo type="max"/>
        <color rgb="FF63BE7B"/>
        <color rgb="FFFFEB84"/>
        <color rgb="FFF8696B"/>
      </colorScale>
    </cfRule>
  </conditionalFormatting>
  <dataValidations count="1">
    <dataValidation type="list" allowBlank="1" showInputMessage="1" showErrorMessage="1" sqref="H3:H8" xr:uid="{86F40FD1-309E-4DA2-BB53-0509D33FE116}">
      <formula1>$I$2:$J$2</formula1>
    </dataValidation>
  </dataValidations>
  <pageMargins left="0.7" right="0.7" top="0.75" bottom="0.75" header="0.3" footer="0.3"/>
  <pageSetup paperSize="9"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DF76-8A8C-47CE-8DD0-39A2C23D0373}">
  <dimension ref="A1:B23"/>
  <sheetViews>
    <sheetView workbookViewId="0">
      <selection activeCell="A3" sqref="A3:B23"/>
    </sheetView>
  </sheetViews>
  <sheetFormatPr baseColWidth="10" defaultColWidth="11.53125" defaultRowHeight="14.25"/>
  <cols>
    <col min="1" max="1" width="31.53125" customWidth="1"/>
  </cols>
  <sheetData>
    <row r="1" spans="1:2">
      <c r="A1" s="16" t="s">
        <v>55</v>
      </c>
    </row>
    <row r="3" spans="1:2">
      <c r="A3" s="18" t="s">
        <v>35</v>
      </c>
      <c r="B3" t="s">
        <v>562</v>
      </c>
    </row>
    <row r="4" spans="1:2">
      <c r="A4" s="18" t="s">
        <v>36</v>
      </c>
      <c r="B4" t="s">
        <v>803</v>
      </c>
    </row>
    <row r="5" spans="1:2">
      <c r="A5" s="18" t="s">
        <v>37</v>
      </c>
      <c r="B5" t="s">
        <v>803</v>
      </c>
    </row>
    <row r="6" spans="1:2">
      <c r="A6" s="18" t="s">
        <v>38</v>
      </c>
      <c r="B6" t="s">
        <v>803</v>
      </c>
    </row>
    <row r="7" spans="1:2">
      <c r="A7" s="18" t="s">
        <v>247</v>
      </c>
      <c r="B7" t="s">
        <v>803</v>
      </c>
    </row>
    <row r="8" spans="1:2">
      <c r="A8" s="18" t="s">
        <v>41</v>
      </c>
      <c r="B8" t="s">
        <v>803</v>
      </c>
    </row>
    <row r="9" spans="1:2">
      <c r="A9" s="18" t="s">
        <v>42</v>
      </c>
      <c r="B9" t="s">
        <v>803</v>
      </c>
    </row>
    <row r="10" spans="1:2">
      <c r="A10" s="18" t="s">
        <v>43</v>
      </c>
      <c r="B10" t="s">
        <v>803</v>
      </c>
    </row>
    <row r="11" spans="1:2">
      <c r="A11" s="18" t="s">
        <v>44</v>
      </c>
      <c r="B11" t="s">
        <v>803</v>
      </c>
    </row>
    <row r="12" spans="1:2">
      <c r="A12" s="18" t="s">
        <v>45</v>
      </c>
      <c r="B12" t="s">
        <v>803</v>
      </c>
    </row>
    <row r="13" spans="1:2">
      <c r="A13" s="18" t="s">
        <v>46</v>
      </c>
      <c r="B13" t="s">
        <v>803</v>
      </c>
    </row>
    <row r="14" spans="1:2">
      <c r="A14" s="18" t="s">
        <v>47</v>
      </c>
      <c r="B14" t="s">
        <v>803</v>
      </c>
    </row>
    <row r="15" spans="1:2">
      <c r="A15" s="18" t="s">
        <v>48</v>
      </c>
      <c r="B15" t="s">
        <v>803</v>
      </c>
    </row>
    <row r="16" spans="1:2">
      <c r="A16" s="18" t="s">
        <v>51</v>
      </c>
      <c r="B16" t="s">
        <v>803</v>
      </c>
    </row>
    <row r="17" spans="1:2">
      <c r="A17" s="18" t="s">
        <v>52</v>
      </c>
      <c r="B17" t="s">
        <v>803</v>
      </c>
    </row>
    <row r="18" spans="1:2">
      <c r="A18" s="18" t="s">
        <v>97</v>
      </c>
      <c r="B18" t="s">
        <v>804</v>
      </c>
    </row>
    <row r="19" spans="1:2">
      <c r="A19" s="17" t="s">
        <v>54</v>
      </c>
      <c r="B19" t="s">
        <v>562</v>
      </c>
    </row>
    <row r="20" spans="1:2">
      <c r="A20" s="18" t="s">
        <v>49</v>
      </c>
      <c r="B20" t="s">
        <v>803</v>
      </c>
    </row>
    <row r="21" spans="1:2">
      <c r="A21" s="18" t="s">
        <v>50</v>
      </c>
      <c r="B21" t="s">
        <v>803</v>
      </c>
    </row>
    <row r="22" spans="1:2">
      <c r="A22" s="22" t="s">
        <v>607</v>
      </c>
      <c r="B22" t="s">
        <v>803</v>
      </c>
    </row>
    <row r="23" spans="1:2">
      <c r="A23" s="18" t="s">
        <v>39</v>
      </c>
      <c r="B23" t="s">
        <v>803</v>
      </c>
    </row>
  </sheetData>
  <conditionalFormatting sqref="A1">
    <cfRule type="iconSet" priority="5">
      <iconSet reverse="1">
        <cfvo type="percent" val="0"/>
        <cfvo type="percent" val="33"/>
        <cfvo type="percent" val="67"/>
      </iconSet>
    </cfRule>
  </conditionalFormatting>
  <conditionalFormatting sqref="A11">
    <cfRule type="colorScale" priority="4">
      <colorScale>
        <cfvo type="min"/>
        <cfvo type="percentile" val="50"/>
        <cfvo type="max"/>
        <color rgb="FF5A8AC6"/>
        <color rgb="FFFCFCFF"/>
        <color rgb="FFF8696B"/>
      </colorScale>
    </cfRule>
  </conditionalFormatting>
  <conditionalFormatting sqref="A16">
    <cfRule type="colorScale" priority="3">
      <colorScale>
        <cfvo type="min"/>
        <cfvo type="percentile" val="50"/>
        <cfvo type="max"/>
        <color rgb="FF5A8AC6"/>
        <color rgb="FFFCFCFF"/>
        <color rgb="FFF8696B"/>
      </colorScale>
    </cfRule>
  </conditionalFormatting>
  <conditionalFormatting sqref="A17">
    <cfRule type="colorScale" priority="2">
      <colorScale>
        <cfvo type="min"/>
        <cfvo type="percentile" val="50"/>
        <cfvo type="max"/>
        <color rgb="FF5A8AC6"/>
        <color rgb="FFFCFCFF"/>
        <color rgb="FFF8696B"/>
      </colorScale>
    </cfRule>
  </conditionalFormatting>
  <conditionalFormatting sqref="A18">
    <cfRule type="iconSet" priority="1">
      <iconSet reverse="1">
        <cfvo type="percent" val="0"/>
        <cfvo type="percent" val="33"/>
        <cfvo type="percent" val="67"/>
      </iconSet>
    </cfRule>
  </conditionalFormatting>
  <conditionalFormatting sqref="A20:A21 A12:A15 A3:A10 A23">
    <cfRule type="colorScale" priority="1130">
      <colorScale>
        <cfvo type="min"/>
        <cfvo type="percentile" val="50"/>
        <cfvo type="max"/>
        <color rgb="FF5A8AC6"/>
        <color rgb="FFFCFCFF"/>
        <color rgb="FFF8696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Import Question</vt:lpstr>
      <vt:lpstr>Import Biologie</vt:lpstr>
      <vt:lpstr>calculRISKS</vt:lpstr>
      <vt:lpstr>RESULTATS</vt:lpstr>
      <vt:lpstr>Commentaires analyses</vt:lpstr>
      <vt:lpstr>Commentaires résultats</vt:lpstr>
      <vt:lpstr>ACTIONS</vt:lpstr>
      <vt:lpstr>SIMULATEUR</vt:lpstr>
      <vt:lpstr>Feuil3</vt:lpstr>
      <vt:lpstr>'Commentaires analyses'!Zone_d_impression</vt:lpstr>
      <vt:lpstr>'Commentaires résultats'!Zone_d_impression</vt:lpstr>
      <vt:lpstr>RESULTATS!Zone_d_impression</vt:lpstr>
      <vt:lpstr>SIMULATEUR!Zone_d_impression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olivier cussenot</cp:lastModifiedBy>
  <cp:lastPrinted>2025-07-08T18:46:45Z</cp:lastPrinted>
  <dcterms:created xsi:type="dcterms:W3CDTF">2019-02-17T19:36:08Z</dcterms:created>
  <dcterms:modified xsi:type="dcterms:W3CDTF">2025-10-18T18:20:49Z</dcterms:modified>
</cp:coreProperties>
</file>