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codeName="ThisWorkbook" defaultThemeVersion="166925"/>
  <mc:AlternateContent xmlns:mc="http://schemas.openxmlformats.org/markup-compatibility/2006">
    <mc:Choice Requires="x15">
      <x15ac:absPath xmlns:x15ac="http://schemas.microsoft.com/office/spreadsheetml/2010/11/ac" url="https://d.docs.live.net/af973cd9758d8a62/Documents/Bureau13012024/Bureau23032023/IHM/DerniéreVersion/"/>
    </mc:Choice>
  </mc:AlternateContent>
  <xr:revisionPtr revIDLastSave="5" documentId="8_{2981BC9C-08C3-408E-AFBA-30C2A305E888}" xr6:coauthVersionLast="47" xr6:coauthVersionMax="47" xr10:uidLastSave="{ADB9DAA0-EE75-4D60-A00E-06523006CC9A}"/>
  <bookViews>
    <workbookView xWindow="473" yWindow="0" windowWidth="22027" windowHeight="14280" tabRatio="746" activeTab="4" xr2:uid="{00000000-000D-0000-FFFF-FFFF00000000}"/>
  </bookViews>
  <sheets>
    <sheet name="Import Question" sheetId="21" r:id="rId1"/>
    <sheet name="Import Biologie" sheetId="22" r:id="rId2"/>
    <sheet name="Feuil1" sheetId="29" r:id="rId3"/>
    <sheet name="calculRISKS" sheetId="2" r:id="rId4"/>
    <sheet name="RESULTATS" sheetId="20" r:id="rId5"/>
    <sheet name="Commentaires analyses" sheetId="28" r:id="rId6"/>
    <sheet name="Commentaires résultats" sheetId="27" r:id="rId7"/>
    <sheet name="Feuil2" sheetId="30" r:id="rId8"/>
    <sheet name="ACTIONS" sheetId="24" r:id="rId9"/>
    <sheet name="SIMULATEUR" sheetId="25" r:id="rId10"/>
    <sheet name="Feuil3" sheetId="31" r:id="rId11"/>
  </sheets>
  <definedNames>
    <definedName name="_xlnm.Print_Area" localSheetId="5">'Commentaires analyses'!$A$1:$H$52</definedName>
    <definedName name="_xlnm.Print_Area" localSheetId="6">'Commentaires résultats'!$A$1:$C$42</definedName>
    <definedName name="_xlnm.Print_Area" localSheetId="4">RESULTATS!$A$1:$N$23</definedName>
    <definedName name="_xlnm.Print_Area" localSheetId="9">SIMULATEUR!$A$1:$L$40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18" i="21" l="1"/>
  <c r="S18" i="21"/>
  <c r="T18" i="21"/>
  <c r="L47" i="20"/>
  <c r="L45" i="20"/>
  <c r="L44" i="20"/>
  <c r="L43" i="20"/>
  <c r="L41" i="20"/>
  <c r="L40" i="20"/>
  <c r="L39" i="20"/>
  <c r="L36" i="20"/>
  <c r="L35" i="20"/>
  <c r="L34" i="20"/>
  <c r="L32" i="20"/>
  <c r="L31" i="20"/>
  <c r="L30" i="20"/>
  <c r="L29" i="20"/>
  <c r="K47" i="20"/>
  <c r="K45" i="20"/>
  <c r="K44" i="20"/>
  <c r="K43" i="20"/>
  <c r="K41" i="20"/>
  <c r="K40" i="20"/>
  <c r="K39" i="20"/>
  <c r="K36" i="20"/>
  <c r="K35" i="20"/>
  <c r="K34" i="20"/>
  <c r="K32" i="20"/>
  <c r="K31" i="20"/>
  <c r="K30" i="20"/>
  <c r="K29" i="20"/>
  <c r="J48" i="20"/>
  <c r="I47" i="20"/>
  <c r="J46" i="20"/>
  <c r="J45" i="20"/>
  <c r="I45" i="20"/>
  <c r="J44" i="20"/>
  <c r="I44" i="20"/>
  <c r="J43" i="20"/>
  <c r="I43" i="20"/>
  <c r="I42" i="20"/>
  <c r="I41" i="20"/>
  <c r="I40" i="20"/>
  <c r="J39" i="20"/>
  <c r="I39" i="20"/>
  <c r="I38" i="20"/>
  <c r="I37" i="20"/>
  <c r="I36" i="20"/>
  <c r="J35" i="20"/>
  <c r="I35" i="20"/>
  <c r="I34" i="20"/>
  <c r="I32" i="20"/>
  <c r="I31" i="20"/>
  <c r="I30" i="20"/>
  <c r="I29" i="20"/>
  <c r="Q43" i="2"/>
  <c r="Q42" i="2"/>
  <c r="Q41" i="2"/>
  <c r="Q37" i="2"/>
  <c r="Q33" i="2"/>
  <c r="O46" i="2"/>
  <c r="N45" i="2"/>
  <c r="O44" i="2"/>
  <c r="O43" i="2"/>
  <c r="N43" i="2"/>
  <c r="O42" i="2"/>
  <c r="N42" i="2"/>
  <c r="O41" i="2"/>
  <c r="N41" i="2"/>
  <c r="N40" i="2"/>
  <c r="N39" i="2"/>
  <c r="N38" i="2"/>
  <c r="O37" i="2"/>
  <c r="N37" i="2"/>
  <c r="N36" i="2"/>
  <c r="N35" i="2"/>
  <c r="N34" i="2"/>
  <c r="O33" i="2"/>
  <c r="N33" i="2"/>
  <c r="N32" i="2"/>
  <c r="N30" i="2"/>
  <c r="N29" i="2"/>
  <c r="N28" i="2"/>
  <c r="N27" i="2"/>
  <c r="D6" i="22" l="1"/>
  <c r="J21" i="21"/>
  <c r="J22" i="21"/>
  <c r="H3" i="22"/>
  <c r="G265" i="21" l="1"/>
  <c r="G262" i="21"/>
  <c r="B30" i="27" s="1"/>
  <c r="B31" i="27"/>
  <c r="G274" i="21"/>
  <c r="G271" i="21"/>
  <c r="B28" i="27" s="1"/>
  <c r="G268" i="21"/>
  <c r="B25" i="27" s="1"/>
  <c r="G259" i="21"/>
  <c r="G143" i="21"/>
  <c r="H184" i="21" l="1"/>
  <c r="H176" i="21"/>
  <c r="H172" i="21"/>
  <c r="Z20" i="21"/>
  <c r="Z19" i="21"/>
  <c r="Y19" i="21"/>
  <c r="AO4" i="2" s="1"/>
  <c r="J254" i="21"/>
  <c r="B84" i="28" s="1"/>
  <c r="H252" i="21"/>
  <c r="H251" i="21"/>
  <c r="H250" i="21"/>
  <c r="B82" i="28"/>
  <c r="J252" i="21" l="1"/>
  <c r="B83" i="28" s="1"/>
  <c r="B81" i="28"/>
  <c r="B80" i="28"/>
  <c r="B79" i="28"/>
  <c r="B78" i="28"/>
  <c r="B77" i="28"/>
  <c r="B76" i="28"/>
  <c r="B75" i="28"/>
  <c r="B74" i="28"/>
  <c r="L51" i="22" l="1"/>
  <c r="L50" i="22"/>
  <c r="H232" i="21" l="1"/>
  <c r="H7" i="24" l="1"/>
  <c r="AU9" i="2"/>
  <c r="AU8" i="2"/>
  <c r="AU7" i="2"/>
  <c r="AU6" i="2"/>
  <c r="AU5" i="2"/>
  <c r="AU3" i="2"/>
  <c r="AE19" i="21"/>
  <c r="AU4" i="2" s="1"/>
  <c r="E22" i="2"/>
  <c r="D22" i="2"/>
  <c r="AU10" i="2" l="1"/>
  <c r="H47" i="22"/>
  <c r="P22" i="2" s="1"/>
  <c r="AE25" i="21"/>
  <c r="O22" i="2" s="1"/>
  <c r="L19" i="21"/>
  <c r="H231" i="21"/>
  <c r="K22" i="2"/>
  <c r="A22" i="2" l="1"/>
  <c r="D48" i="22"/>
  <c r="D47" i="22"/>
  <c r="H27" i="22"/>
  <c r="C72" i="22"/>
  <c r="D42" i="22"/>
  <c r="B62" i="28"/>
  <c r="Q22" i="2" l="1"/>
  <c r="T22" i="2"/>
  <c r="R22" i="2" s="1"/>
  <c r="C63" i="22"/>
  <c r="B71" i="28" s="1"/>
  <c r="C62" i="22"/>
  <c r="B70" i="28" s="1"/>
  <c r="B69" i="28"/>
  <c r="B63" i="28"/>
  <c r="B60" i="28"/>
  <c r="B59" i="28"/>
  <c r="B58" i="28"/>
  <c r="B57" i="28"/>
  <c r="B56" i="28"/>
  <c r="B55" i="28"/>
  <c r="B54" i="28"/>
  <c r="B61" i="28"/>
  <c r="H74" i="21"/>
  <c r="H71" i="21"/>
  <c r="H68" i="21"/>
  <c r="H65" i="21"/>
  <c r="H62" i="21"/>
  <c r="H59" i="21"/>
  <c r="B52" i="28"/>
  <c r="H15" i="22"/>
  <c r="C58" i="22"/>
  <c r="C57" i="22"/>
  <c r="H29" i="22"/>
  <c r="D33" i="22"/>
  <c r="B47" i="28"/>
  <c r="B45" i="28"/>
  <c r="B41" i="28"/>
  <c r="B8" i="28"/>
  <c r="B7" i="28"/>
  <c r="H5" i="22"/>
  <c r="D8" i="22"/>
  <c r="H180" i="21"/>
  <c r="G118" i="21"/>
  <c r="G120" i="21"/>
  <c r="F2" i="21"/>
  <c r="H28" i="22"/>
  <c r="P9" i="2" s="1"/>
  <c r="F37" i="22"/>
  <c r="P4" i="2" s="1"/>
  <c r="H10" i="22"/>
  <c r="H7" i="22"/>
  <c r="B28" i="28"/>
  <c r="D9" i="22"/>
  <c r="U22" i="2" l="1"/>
  <c r="H23" i="25" s="1"/>
  <c r="H23" i="20"/>
  <c r="C66" i="22"/>
  <c r="C67" i="22"/>
  <c r="B46" i="28"/>
  <c r="B44" i="28"/>
  <c r="B27" i="27"/>
  <c r="B26" i="27"/>
  <c r="J4" i="22" l="1"/>
  <c r="J3" i="22"/>
  <c r="E57" i="22"/>
  <c r="B65" i="22"/>
  <c r="C65" i="22" s="1"/>
  <c r="K32" i="22"/>
  <c r="O4" i="22"/>
  <c r="B25" i="28"/>
  <c r="H26" i="22"/>
  <c r="B26" i="28" s="1"/>
  <c r="B19" i="28"/>
  <c r="B3" i="28" l="1"/>
  <c r="E70" i="22"/>
  <c r="B68" i="28" s="1"/>
  <c r="E73" i="22"/>
  <c r="B20" i="28"/>
  <c r="G122" i="21"/>
  <c r="H4" i="21"/>
  <c r="H3" i="21"/>
  <c r="L49" i="22" s="1"/>
  <c r="B40" i="28"/>
  <c r="B39" i="28"/>
  <c r="B38" i="28"/>
  <c r="B37" i="28"/>
  <c r="B36" i="28"/>
  <c r="B35" i="28"/>
  <c r="B34" i="28"/>
  <c r="B33" i="28"/>
  <c r="B32" i="28"/>
  <c r="B31" i="28"/>
  <c r="B30" i="28"/>
  <c r="B29" i="28"/>
  <c r="B27" i="28"/>
  <c r="B24" i="28"/>
  <c r="B23" i="28"/>
  <c r="B22" i="28"/>
  <c r="B21" i="28"/>
  <c r="B14" i="28"/>
  <c r="B13" i="28"/>
  <c r="O5" i="22"/>
  <c r="B33" i="27" l="1"/>
  <c r="B32" i="27"/>
  <c r="O8" i="22"/>
  <c r="B42" i="28"/>
  <c r="I1" i="21"/>
  <c r="C56" i="22" s="1"/>
  <c r="L48" i="22" s="1"/>
  <c r="G119" i="21"/>
  <c r="J42" i="22"/>
  <c r="H10" i="24"/>
  <c r="H9" i="24"/>
  <c r="O3" i="22" l="1"/>
  <c r="C73" i="22"/>
  <c r="C75" i="22" s="1"/>
  <c r="C74" i="22"/>
  <c r="C76" i="22" s="1"/>
  <c r="H58" i="22"/>
  <c r="H57" i="22"/>
  <c r="B10" i="28" l="1"/>
  <c r="B11" i="28" s="1"/>
  <c r="H53" i="21"/>
  <c r="P13" i="2" s="1"/>
  <c r="D44" i="22"/>
  <c r="D32" i="22"/>
  <c r="H14" i="22"/>
  <c r="H11" i="24" s="1"/>
  <c r="C88" i="22"/>
  <c r="B72" i="28" s="1"/>
  <c r="D36" i="22"/>
  <c r="H16" i="22" s="1"/>
  <c r="H13" i="22"/>
  <c r="H11" i="22"/>
  <c r="D5" i="22"/>
  <c r="D4" i="22"/>
  <c r="H8" i="22" s="1"/>
  <c r="O7" i="22" s="1"/>
  <c r="D3" i="22"/>
  <c r="H6" i="22" s="1"/>
  <c r="L52" i="22" s="1"/>
  <c r="L59" i="22" s="1"/>
  <c r="N48" i="22" s="1"/>
  <c r="H25" i="22"/>
  <c r="H24" i="22"/>
  <c r="H22" i="22"/>
  <c r="H21" i="22"/>
  <c r="H20" i="22"/>
  <c r="H19" i="22"/>
  <c r="H18" i="22"/>
  <c r="H17" i="22"/>
  <c r="H12" i="22"/>
  <c r="H9" i="22"/>
  <c r="H34" i="22" s="1"/>
  <c r="H4" i="22"/>
  <c r="H35" i="22" s="1"/>
  <c r="P5" i="2" s="1"/>
  <c r="C85" i="22"/>
  <c r="C83" i="22"/>
  <c r="C82" i="22"/>
  <c r="C81" i="22"/>
  <c r="C80" i="22"/>
  <c r="C79" i="22"/>
  <c r="C78" i="22"/>
  <c r="C70" i="22"/>
  <c r="B67" i="28" s="1"/>
  <c r="C69" i="22"/>
  <c r="B66" i="28" s="1"/>
  <c r="C68" i="22"/>
  <c r="C64" i="22"/>
  <c r="C60" i="22"/>
  <c r="B51" i="28" s="1"/>
  <c r="C59" i="22"/>
  <c r="C61" i="22"/>
  <c r="D68" i="22"/>
  <c r="C77" i="22"/>
  <c r="AT3" i="2"/>
  <c r="AR3" i="2"/>
  <c r="AQ3" i="2"/>
  <c r="AP3" i="2"/>
  <c r="AO3" i="2"/>
  <c r="AK3" i="2"/>
  <c r="AG3" i="2"/>
  <c r="AT7" i="2"/>
  <c r="AR7" i="2"/>
  <c r="AQ7" i="2"/>
  <c r="AP7" i="2"/>
  <c r="AO7" i="2"/>
  <c r="AL7" i="2"/>
  <c r="AK7" i="2"/>
  <c r="AH7" i="2"/>
  <c r="AG7" i="2"/>
  <c r="AD7" i="2"/>
  <c r="AC7" i="2"/>
  <c r="AB7" i="2"/>
  <c r="AT6" i="2"/>
  <c r="AR6" i="2"/>
  <c r="AQ6" i="2"/>
  <c r="AP6" i="2"/>
  <c r="AO6" i="2"/>
  <c r="AH6" i="2"/>
  <c r="AG6" i="2"/>
  <c r="AC6" i="2"/>
  <c r="AB6" i="2"/>
  <c r="AS5" i="2"/>
  <c r="AR5" i="2"/>
  <c r="AQ5" i="2"/>
  <c r="AO5" i="2"/>
  <c r="AN5" i="2"/>
  <c r="AM5" i="2"/>
  <c r="AL5" i="2"/>
  <c r="AK5" i="2"/>
  <c r="AJ5" i="2"/>
  <c r="AI5" i="2"/>
  <c r="AH5" i="2"/>
  <c r="AG5" i="2"/>
  <c r="AD5" i="2"/>
  <c r="AC5" i="2"/>
  <c r="AB5" i="2"/>
  <c r="AA5" i="2"/>
  <c r="Z5" i="2"/>
  <c r="AS4" i="2"/>
  <c r="AR4" i="2"/>
  <c r="AJ4" i="2"/>
  <c r="AI4" i="2"/>
  <c r="AH4" i="2"/>
  <c r="AG4" i="2"/>
  <c r="AF4" i="2"/>
  <c r="AE4" i="2"/>
  <c r="AC4" i="2"/>
  <c r="AB4" i="2"/>
  <c r="AA4" i="2"/>
  <c r="Z4" i="2"/>
  <c r="AT9" i="2"/>
  <c r="AS9" i="2"/>
  <c r="AR9" i="2"/>
  <c r="AQ9" i="2"/>
  <c r="AT8" i="2"/>
  <c r="AS8" i="2"/>
  <c r="AQ8" i="2"/>
  <c r="Y3" i="2"/>
  <c r="Y4" i="2"/>
  <c r="Y5" i="2"/>
  <c r="Y6" i="2"/>
  <c r="Y7" i="2"/>
  <c r="Y8" i="2"/>
  <c r="Z8" i="2"/>
  <c r="AA8" i="2"/>
  <c r="AB8" i="2"/>
  <c r="AC8" i="2"/>
  <c r="AD8" i="2"/>
  <c r="AE8" i="2"/>
  <c r="AF8" i="2"/>
  <c r="AG8" i="2"/>
  <c r="AH8" i="2"/>
  <c r="AI8" i="2"/>
  <c r="AJ8" i="2"/>
  <c r="AK8" i="2"/>
  <c r="AL8" i="2"/>
  <c r="AM8" i="2"/>
  <c r="AN8" i="2"/>
  <c r="AO8" i="2"/>
  <c r="AP8" i="2"/>
  <c r="Y9" i="2"/>
  <c r="Z9" i="2"/>
  <c r="AA9" i="2"/>
  <c r="AB9" i="2"/>
  <c r="AC9" i="2"/>
  <c r="AE9" i="2"/>
  <c r="AF9" i="2"/>
  <c r="AG9" i="2"/>
  <c r="AH9" i="2"/>
  <c r="AI9" i="2"/>
  <c r="AJ9" i="2"/>
  <c r="AL9" i="2"/>
  <c r="AO9" i="2"/>
  <c r="AP9" i="2"/>
  <c r="Y10" i="2"/>
  <c r="N49" i="22" l="1"/>
  <c r="N50" i="22"/>
  <c r="H33" i="22"/>
  <c r="J29" i="22"/>
  <c r="B49" i="28" s="1"/>
  <c r="O6" i="22"/>
  <c r="B12" i="28"/>
  <c r="H30" i="22"/>
  <c r="B43" i="28" s="1"/>
  <c r="B5" i="28"/>
  <c r="B6" i="28"/>
  <c r="B64" i="28"/>
  <c r="C86" i="22"/>
  <c r="AG10" i="2"/>
  <c r="AO10" i="2"/>
  <c r="Q25" i="21"/>
  <c r="A21" i="2"/>
  <c r="A20" i="2"/>
  <c r="A19" i="2"/>
  <c r="A18" i="2"/>
  <c r="A17" i="2"/>
  <c r="A16" i="2"/>
  <c r="A15" i="2"/>
  <c r="A14" i="2"/>
  <c r="A13" i="2"/>
  <c r="A12" i="2"/>
  <c r="A11" i="2"/>
  <c r="A10" i="2"/>
  <c r="A9" i="2"/>
  <c r="A8" i="2"/>
  <c r="A7" i="2"/>
  <c r="A6" i="2"/>
  <c r="A5" i="2"/>
  <c r="A4" i="2"/>
  <c r="A3" i="2"/>
  <c r="A2" i="2"/>
  <c r="H8" i="24"/>
  <c r="M19" i="22"/>
  <c r="L19" i="22"/>
  <c r="L43" i="22"/>
  <c r="J39" i="22"/>
  <c r="P11" i="2"/>
  <c r="L29" i="22"/>
  <c r="H37" i="22" s="1"/>
  <c r="M25" i="22"/>
  <c r="L25" i="22"/>
  <c r="N52" i="22" l="1"/>
  <c r="B73" i="28" s="1"/>
  <c r="B65" i="28"/>
  <c r="K45" i="22"/>
  <c r="P8" i="2"/>
  <c r="I30" i="22"/>
  <c r="J21" i="2"/>
  <c r="U24" i="21"/>
  <c r="AK9" i="2" s="1"/>
  <c r="G146" i="21"/>
  <c r="G145" i="21"/>
  <c r="G144" i="21"/>
  <c r="G142" i="21"/>
  <c r="G141" i="21"/>
  <c r="N24" i="21"/>
  <c r="AD9" i="2" s="1"/>
  <c r="G117" i="21"/>
  <c r="AB23" i="21" s="1"/>
  <c r="AC22" i="21"/>
  <c r="AS7" i="2" s="1"/>
  <c r="X22" i="21"/>
  <c r="AN7" i="2" s="1"/>
  <c r="W22" i="21"/>
  <c r="AM7" i="2" s="1"/>
  <c r="T22" i="21"/>
  <c r="AJ7" i="2" s="1"/>
  <c r="S22" i="21"/>
  <c r="AI7" i="2" s="1"/>
  <c r="P22" i="21"/>
  <c r="AF7" i="2" s="1"/>
  <c r="O22" i="21"/>
  <c r="AE7" i="2" s="1"/>
  <c r="K22" i="21"/>
  <c r="AA7" i="2" s="1"/>
  <c r="Z7" i="2"/>
  <c r="V21" i="21"/>
  <c r="AL6" i="2" s="1"/>
  <c r="P21" i="21"/>
  <c r="AF6" i="2" s="1"/>
  <c r="AC21" i="21"/>
  <c r="AS6" i="2" s="1"/>
  <c r="X21" i="21"/>
  <c r="AN6" i="2" s="1"/>
  <c r="W21" i="21"/>
  <c r="AM6" i="2" s="1"/>
  <c r="U21" i="21"/>
  <c r="AK6" i="2" s="1"/>
  <c r="T21" i="21"/>
  <c r="AJ6" i="2" s="1"/>
  <c r="S21" i="21"/>
  <c r="AI6" i="2" s="1"/>
  <c r="O21" i="21"/>
  <c r="AE6" i="2" s="1"/>
  <c r="N21" i="21"/>
  <c r="AD6" i="2" s="1"/>
  <c r="K21" i="21"/>
  <c r="AA6" i="2" s="1"/>
  <c r="Z6" i="2"/>
  <c r="AD20" i="21"/>
  <c r="AT5" i="2" s="1"/>
  <c r="AP5" i="2"/>
  <c r="P20" i="21"/>
  <c r="AF5" i="2" s="1"/>
  <c r="O20" i="21"/>
  <c r="AE5" i="2" s="1"/>
  <c r="AD19" i="21"/>
  <c r="AT4" i="2" s="1"/>
  <c r="AA19" i="21"/>
  <c r="AP4" i="2"/>
  <c r="X19" i="21"/>
  <c r="AN4" i="2" s="1"/>
  <c r="W19" i="21"/>
  <c r="AM4" i="2" s="1"/>
  <c r="V19" i="21"/>
  <c r="AL4" i="2" s="1"/>
  <c r="U19" i="21"/>
  <c r="AK4" i="2" s="1"/>
  <c r="N19" i="21"/>
  <c r="AD4" i="2" s="1"/>
  <c r="P6" i="2"/>
  <c r="B48" i="28"/>
  <c r="G206" i="21"/>
  <c r="H206" i="21" s="1"/>
  <c r="T150" i="21" s="1"/>
  <c r="G203" i="21"/>
  <c r="H203" i="21" s="1"/>
  <c r="N150" i="21" s="1"/>
  <c r="G200" i="21"/>
  <c r="H200" i="21" s="1"/>
  <c r="O150" i="21" s="1"/>
  <c r="G197" i="21"/>
  <c r="H197" i="21" s="1"/>
  <c r="P150" i="21" s="1"/>
  <c r="G194" i="21"/>
  <c r="H194" i="21" s="1"/>
  <c r="L150" i="21" s="1"/>
  <c r="G191" i="21"/>
  <c r="H191" i="21" s="1"/>
  <c r="G169" i="21"/>
  <c r="H169" i="21" s="1"/>
  <c r="G166" i="21"/>
  <c r="H166" i="21" s="1"/>
  <c r="G163" i="21"/>
  <c r="G157" i="21"/>
  <c r="H157" i="21" s="1"/>
  <c r="G154" i="21"/>
  <c r="H154" i="21" s="1"/>
  <c r="G151" i="21"/>
  <c r="H151" i="21" s="1"/>
  <c r="M7" i="2"/>
  <c r="M16" i="2"/>
  <c r="M21" i="2"/>
  <c r="M2" i="2"/>
  <c r="M17" i="2"/>
  <c r="U150" i="21" l="1"/>
  <c r="H163" i="21"/>
  <c r="V150" i="21" s="1"/>
  <c r="S150" i="21"/>
  <c r="R150" i="21"/>
  <c r="Q150" i="21"/>
  <c r="M150" i="21"/>
  <c r="W150" i="21" s="1"/>
  <c r="AT10" i="2"/>
  <c r="AA25" i="21"/>
  <c r="O19" i="2" s="1"/>
  <c r="AQ4" i="2"/>
  <c r="AQ10" i="2" s="1"/>
  <c r="AP10" i="2"/>
  <c r="H147" i="21"/>
  <c r="AK10" i="2"/>
  <c r="AD25" i="21"/>
  <c r="Z25" i="21"/>
  <c r="O18" i="2" s="1"/>
  <c r="U25" i="21"/>
  <c r="O13" i="2" s="1"/>
  <c r="H140" i="21"/>
  <c r="X24" i="21" s="1"/>
  <c r="J41" i="22"/>
  <c r="P10" i="2"/>
  <c r="M21" i="22"/>
  <c r="M20" i="22"/>
  <c r="M18" i="22"/>
  <c r="M17" i="22"/>
  <c r="M16" i="22"/>
  <c r="M13" i="22" s="1"/>
  <c r="L17" i="22"/>
  <c r="L21" i="22"/>
  <c r="L20" i="22"/>
  <c r="J40" i="22" s="1"/>
  <c r="L18" i="22"/>
  <c r="L16" i="22"/>
  <c r="L13" i="22" s="1"/>
  <c r="L10" i="22"/>
  <c r="K150" i="21" l="1"/>
  <c r="L26" i="22"/>
  <c r="M26" i="22"/>
  <c r="M27" i="22" s="1"/>
  <c r="B17" i="28"/>
  <c r="B29" i="27"/>
  <c r="W24" i="21"/>
  <c r="AM9" i="2" s="1"/>
  <c r="AB25" i="21"/>
  <c r="O20" i="2" s="1"/>
  <c r="AR8" i="2"/>
  <c r="AR10" i="2" s="1"/>
  <c r="M22" i="22"/>
  <c r="M23" i="22" s="1"/>
  <c r="L22" i="22"/>
  <c r="L23" i="22" s="1"/>
  <c r="H31" i="22" s="1"/>
  <c r="AN9" i="2" l="1"/>
  <c r="P16" i="2"/>
  <c r="L10" i="2" l="1"/>
  <c r="L11" i="2"/>
  <c r="H50" i="21"/>
  <c r="L19" i="2" s="1"/>
  <c r="H47" i="21"/>
  <c r="L13" i="2" s="1"/>
  <c r="H44" i="21"/>
  <c r="L5" i="2" s="1"/>
  <c r="H41" i="21"/>
  <c r="L16" i="2" s="1"/>
  <c r="H38" i="21"/>
  <c r="H35" i="21"/>
  <c r="L14" i="2" s="1"/>
  <c r="H29" i="21"/>
  <c r="L18" i="2" s="1"/>
  <c r="K21" i="2"/>
  <c r="K20" i="2"/>
  <c r="K19" i="2"/>
  <c r="K18" i="2"/>
  <c r="K17" i="2"/>
  <c r="K16" i="2"/>
  <c r="T16" i="2" s="1"/>
  <c r="K15" i="2"/>
  <c r="K14" i="2"/>
  <c r="K13" i="2"/>
  <c r="K12" i="2"/>
  <c r="K11" i="2"/>
  <c r="K10" i="2"/>
  <c r="K9" i="2"/>
  <c r="K8" i="2"/>
  <c r="K7" i="2"/>
  <c r="K6" i="2"/>
  <c r="K5" i="2"/>
  <c r="K4" i="2"/>
  <c r="K3" i="2"/>
  <c r="K2" i="2"/>
  <c r="J3" i="2"/>
  <c r="J2" i="2"/>
  <c r="H26" i="21"/>
  <c r="L21" i="2" s="1"/>
  <c r="H23" i="21"/>
  <c r="L17" i="2" s="1"/>
  <c r="H20" i="21"/>
  <c r="L20" i="2" s="1"/>
  <c r="H17" i="21"/>
  <c r="L7" i="2" s="1"/>
  <c r="H14" i="21"/>
  <c r="R16" i="2" l="1"/>
  <c r="Q16" i="2" s="1"/>
  <c r="U16" i="2" s="1"/>
  <c r="H17" i="25" s="1"/>
  <c r="T19" i="2"/>
  <c r="R19" i="2" s="1"/>
  <c r="Q19" i="2"/>
  <c r="U19" i="2" s="1"/>
  <c r="T10" i="2"/>
  <c r="R10" i="2" s="1"/>
  <c r="Q10" i="2"/>
  <c r="U10" i="2" s="1"/>
  <c r="Q13" i="2"/>
  <c r="T13" i="2"/>
  <c r="R13" i="2" s="1"/>
  <c r="T14" i="2"/>
  <c r="R14" i="2" s="1"/>
  <c r="Q14" i="2"/>
  <c r="Q15" i="2"/>
  <c r="T15" i="2"/>
  <c r="R15" i="2" s="1"/>
  <c r="L15" i="2"/>
  <c r="L2" i="2"/>
  <c r="U14" i="2" l="1"/>
  <c r="U15" i="2"/>
  <c r="U13" i="2"/>
  <c r="H125" i="21"/>
  <c r="B24" i="27" s="1"/>
  <c r="P3" i="2" l="1"/>
  <c r="H77" i="21"/>
  <c r="H6" i="24" l="1"/>
  <c r="J38" i="22"/>
  <c r="H38" i="22" s="1"/>
  <c r="B4" i="28"/>
  <c r="G40" i="22"/>
  <c r="J18" i="21"/>
  <c r="AI3" i="2"/>
  <c r="N18" i="21"/>
  <c r="R18" i="21"/>
  <c r="AH3" i="2" s="1"/>
  <c r="AC18" i="21"/>
  <c r="P18" i="21"/>
  <c r="AF3" i="2" s="1"/>
  <c r="O18" i="21"/>
  <c r="AN3" i="2"/>
  <c r="M18" i="21"/>
  <c r="W18" i="21"/>
  <c r="AM3" i="2" s="1"/>
  <c r="L18" i="21"/>
  <c r="V18" i="21"/>
  <c r="K18" i="21"/>
  <c r="AJ3" i="2"/>
  <c r="N19" i="2"/>
  <c r="N10" i="2"/>
  <c r="N11" i="2"/>
  <c r="N13" i="2"/>
  <c r="N5" i="2"/>
  <c r="N16" i="2"/>
  <c r="S16" i="2" s="1"/>
  <c r="H188" i="21"/>
  <c r="H160" i="21"/>
  <c r="AE3" i="2" l="1"/>
  <c r="AE10" i="2" s="1"/>
  <c r="S25" i="21"/>
  <c r="O11" i="2" s="1"/>
  <c r="AI10" i="2"/>
  <c r="W25" i="21"/>
  <c r="O15" i="2" s="1"/>
  <c r="AM10" i="2"/>
  <c r="R25" i="21"/>
  <c r="O10" i="2" s="1"/>
  <c r="AH10" i="2"/>
  <c r="V25" i="21"/>
  <c r="O14" i="2" s="1"/>
  <c r="AL3" i="2"/>
  <c r="AL10" i="2" s="1"/>
  <c r="L25" i="21"/>
  <c r="O4" i="2" s="1"/>
  <c r="AB3" i="2"/>
  <c r="AB10" i="2" s="1"/>
  <c r="N25" i="21"/>
  <c r="O6" i="2" s="1"/>
  <c r="AD3" i="2"/>
  <c r="AD10" i="2" s="1"/>
  <c r="M25" i="21"/>
  <c r="O5" i="2" s="1"/>
  <c r="AC3" i="2"/>
  <c r="AC10" i="2" s="1"/>
  <c r="J25" i="21"/>
  <c r="O2" i="2" s="1"/>
  <c r="Z3" i="2"/>
  <c r="Z10" i="2" s="1"/>
  <c r="X25" i="21"/>
  <c r="O16" i="2" s="1"/>
  <c r="AN10" i="2"/>
  <c r="T25" i="21"/>
  <c r="O12" i="2" s="1"/>
  <c r="AJ10" i="2"/>
  <c r="P25" i="21"/>
  <c r="O8" i="2" s="1"/>
  <c r="AF10" i="2"/>
  <c r="K25" i="21"/>
  <c r="O3" i="2" s="1"/>
  <c r="AA3" i="2"/>
  <c r="AA10" i="2" s="1"/>
  <c r="AC25" i="21"/>
  <c r="O21" i="2" s="1"/>
  <c r="AS3" i="2"/>
  <c r="AS10" i="2" s="1"/>
  <c r="H32" i="22"/>
  <c r="P12" i="2"/>
  <c r="B16" i="28"/>
  <c r="O25" i="21"/>
  <c r="O7" i="2" s="1"/>
  <c r="S15" i="2"/>
  <c r="N21" i="2"/>
  <c r="N20" i="2"/>
  <c r="N14" i="2"/>
  <c r="N15" i="2"/>
  <c r="N2" i="2"/>
  <c r="I46" i="20" l="1"/>
  <c r="K46" i="20" s="1"/>
  <c r="L46" i="20" s="1"/>
  <c r="N44" i="2"/>
  <c r="Q44" i="2" s="1"/>
  <c r="I28" i="20"/>
  <c r="K28" i="20" s="1"/>
  <c r="L28" i="20" s="1"/>
  <c r="N26" i="2"/>
  <c r="J38" i="20"/>
  <c r="K38" i="20" s="1"/>
  <c r="L38" i="20" s="1"/>
  <c r="O36" i="2"/>
  <c r="Q36" i="2" s="1"/>
  <c r="O26" i="2"/>
  <c r="Q26" i="2" s="1"/>
  <c r="J28" i="20"/>
  <c r="J47" i="20"/>
  <c r="O45" i="2"/>
  <c r="Q45" i="2" s="1"/>
  <c r="J37" i="20"/>
  <c r="K37" i="20" s="1"/>
  <c r="L37" i="20" s="1"/>
  <c r="O35" i="2"/>
  <c r="Q35" i="2" s="1"/>
  <c r="J32" i="20"/>
  <c r="O30" i="2"/>
  <c r="Q30" i="2" s="1"/>
  <c r="J34" i="20"/>
  <c r="O32" i="2"/>
  <c r="Q32" i="2" s="1"/>
  <c r="O31" i="2"/>
  <c r="J33" i="20"/>
  <c r="O34" i="2"/>
  <c r="Q34" i="2" s="1"/>
  <c r="J36" i="20"/>
  <c r="B50" i="28"/>
  <c r="H36" i="22"/>
  <c r="P2" i="2" s="1"/>
  <c r="S2" i="2" s="1"/>
  <c r="J41" i="20"/>
  <c r="O39" i="2"/>
  <c r="Q39" i="2" s="1"/>
  <c r="O29" i="2"/>
  <c r="Q29" i="2" s="1"/>
  <c r="J31" i="20"/>
  <c r="J29" i="20"/>
  <c r="O27" i="2"/>
  <c r="Q27" i="2" s="1"/>
  <c r="J30" i="20"/>
  <c r="O28" i="2"/>
  <c r="Q28" i="2" s="1"/>
  <c r="O38" i="2"/>
  <c r="Q38" i="2" s="1"/>
  <c r="J40" i="20"/>
  <c r="J42" i="20"/>
  <c r="K42" i="20" s="1"/>
  <c r="L42" i="20" s="1"/>
  <c r="O40" i="2"/>
  <c r="Q40" i="2" s="1"/>
  <c r="N7" i="2"/>
  <c r="N22" i="2"/>
  <c r="J36" i="22"/>
  <c r="Q31" i="2" l="1"/>
  <c r="N31" i="2"/>
  <c r="I33" i="20"/>
  <c r="K33" i="20" s="1"/>
  <c r="L33" i="20" s="1"/>
  <c r="N46" i="2"/>
  <c r="Q46" i="2" s="1"/>
  <c r="I48" i="20"/>
  <c r="K48" i="20" s="1"/>
  <c r="L48" i="20" s="1"/>
  <c r="V2" i="2"/>
  <c r="B2" i="27" s="1"/>
  <c r="W22" i="2"/>
  <c r="J23" i="25" s="1"/>
  <c r="S22" i="2"/>
  <c r="V22" i="2" s="1"/>
  <c r="I23" i="25" s="1"/>
  <c r="W2" i="2"/>
  <c r="J3" i="25" s="1"/>
  <c r="I17" i="20"/>
  <c r="D21" i="2"/>
  <c r="E20" i="2"/>
  <c r="D20" i="2"/>
  <c r="E18" i="2"/>
  <c r="D18" i="2"/>
  <c r="E17" i="2"/>
  <c r="D17" i="2"/>
  <c r="E12" i="2"/>
  <c r="D12" i="2"/>
  <c r="E11" i="2"/>
  <c r="D11" i="2"/>
  <c r="D9" i="2"/>
  <c r="C9" i="2"/>
  <c r="D8" i="2"/>
  <c r="E7" i="2"/>
  <c r="D7" i="2"/>
  <c r="E6" i="2"/>
  <c r="D6" i="2"/>
  <c r="E5" i="2"/>
  <c r="D5" i="2"/>
  <c r="E4" i="2"/>
  <c r="D4" i="2"/>
  <c r="D3" i="2"/>
  <c r="E2" i="2"/>
  <c r="D2" i="2"/>
  <c r="Q17" i="2" l="1"/>
  <c r="T17" i="2"/>
  <c r="R17" i="2" s="1"/>
  <c r="Q6" i="2"/>
  <c r="T6" i="2"/>
  <c r="R6" i="2" s="1"/>
  <c r="Q18" i="2"/>
  <c r="T18" i="2"/>
  <c r="R18" i="2" s="1"/>
  <c r="S18" i="2" s="1"/>
  <c r="Q7" i="2"/>
  <c r="T7" i="2"/>
  <c r="R7" i="2" s="1"/>
  <c r="Q20" i="2"/>
  <c r="T20" i="2"/>
  <c r="R20" i="2" s="1"/>
  <c r="S20" i="2" s="1"/>
  <c r="Q8" i="2"/>
  <c r="T8" i="2"/>
  <c r="R8" i="2" s="1"/>
  <c r="T2" i="2"/>
  <c r="R2" i="2" s="1"/>
  <c r="Q2" i="2"/>
  <c r="Q9" i="2"/>
  <c r="T9" i="2"/>
  <c r="R9" i="2" s="1"/>
  <c r="S9" i="2" s="1"/>
  <c r="T21" i="2"/>
  <c r="R21" i="2" s="1"/>
  <c r="Q21" i="2"/>
  <c r="U21" i="2" s="1"/>
  <c r="T3" i="2"/>
  <c r="R3" i="2" s="1"/>
  <c r="S3" i="2" s="1"/>
  <c r="Q3" i="2"/>
  <c r="Q11" i="2"/>
  <c r="T11" i="2"/>
  <c r="R11" i="2" s="1"/>
  <c r="S11" i="2" s="1"/>
  <c r="I12" i="20" s="1"/>
  <c r="Q4" i="2"/>
  <c r="T4" i="2"/>
  <c r="R4" i="2" s="1"/>
  <c r="S4" i="2" s="1"/>
  <c r="Q12" i="2"/>
  <c r="T12" i="2"/>
  <c r="R12" i="2" s="1"/>
  <c r="Q5" i="2"/>
  <c r="T5" i="2"/>
  <c r="R5" i="2" s="1"/>
  <c r="S5" i="2" s="1"/>
  <c r="F23" i="25"/>
  <c r="E23" i="25" s="1"/>
  <c r="I3" i="25"/>
  <c r="F3" i="25" s="1"/>
  <c r="E3" i="25" s="1"/>
  <c r="I23" i="20"/>
  <c r="H16" i="25"/>
  <c r="S7" i="2"/>
  <c r="S10" i="2"/>
  <c r="S14" i="2"/>
  <c r="S13" i="2"/>
  <c r="P15" i="2"/>
  <c r="U3" i="2" l="1"/>
  <c r="U2" i="2"/>
  <c r="H3" i="25" s="1"/>
  <c r="U4" i="2"/>
  <c r="W4" i="2" s="1"/>
  <c r="J5" i="25" s="1"/>
  <c r="U8" i="2"/>
  <c r="U11" i="2"/>
  <c r="W11" i="2" s="1"/>
  <c r="J12" i="25" s="1"/>
  <c r="U20" i="2"/>
  <c r="H21" i="25" s="1"/>
  <c r="U7" i="2"/>
  <c r="V7" i="2" s="1"/>
  <c r="U18" i="2"/>
  <c r="W18" i="2" s="1"/>
  <c r="J19" i="25" s="1"/>
  <c r="U5" i="2"/>
  <c r="W5" i="2" s="1"/>
  <c r="J6" i="25" s="1"/>
  <c r="U9" i="2"/>
  <c r="W9" i="2" s="1"/>
  <c r="J10" i="25" s="1"/>
  <c r="U6" i="2"/>
  <c r="W6" i="2" s="1"/>
  <c r="J7" i="25" s="1"/>
  <c r="U12" i="2"/>
  <c r="H13" i="25" s="1"/>
  <c r="U17" i="2"/>
  <c r="W17" i="2" s="1"/>
  <c r="J18" i="25" s="1"/>
  <c r="W13" i="2"/>
  <c r="J14" i="25" s="1"/>
  <c r="H14" i="25"/>
  <c r="W21" i="2"/>
  <c r="J22" i="25" s="1"/>
  <c r="H22" i="25"/>
  <c r="W14" i="2"/>
  <c r="J15" i="25" s="1"/>
  <c r="H15" i="25"/>
  <c r="W10" i="2"/>
  <c r="J11" i="25" s="1"/>
  <c r="H11" i="25"/>
  <c r="W19" i="2"/>
  <c r="J20" i="25" s="1"/>
  <c r="H20" i="25"/>
  <c r="W3" i="2"/>
  <c r="J4" i="25" s="1"/>
  <c r="H4" i="25"/>
  <c r="B22" i="27"/>
  <c r="J23" i="20"/>
  <c r="K23" i="20" s="1"/>
  <c r="V14" i="2"/>
  <c r="V13" i="2"/>
  <c r="V10" i="2"/>
  <c r="V3" i="2"/>
  <c r="B3" i="27" s="1"/>
  <c r="S21" i="2"/>
  <c r="I22" i="20" s="1"/>
  <c r="S19" i="2"/>
  <c r="V19" i="2" s="1"/>
  <c r="I16" i="20"/>
  <c r="H7" i="20"/>
  <c r="H5" i="20"/>
  <c r="H15" i="20"/>
  <c r="H18" i="20"/>
  <c r="H6" i="20"/>
  <c r="H16" i="20"/>
  <c r="H21" i="20"/>
  <c r="H11" i="20"/>
  <c r="H14" i="20"/>
  <c r="H19" i="20"/>
  <c r="H10" i="20"/>
  <c r="H12" i="20"/>
  <c r="H13" i="20"/>
  <c r="H9" i="20"/>
  <c r="H8" i="20"/>
  <c r="H17" i="20"/>
  <c r="H3" i="20"/>
  <c r="H4" i="20"/>
  <c r="H22" i="20"/>
  <c r="H20" i="20"/>
  <c r="S6" i="2"/>
  <c r="S8" i="2"/>
  <c r="V4" i="2"/>
  <c r="S12" i="2"/>
  <c r="H8" i="25" l="1"/>
  <c r="V20" i="2"/>
  <c r="H12" i="25"/>
  <c r="W20" i="2"/>
  <c r="J21" i="25" s="1"/>
  <c r="H5" i="25"/>
  <c r="V8" i="2"/>
  <c r="B8" i="27" s="1"/>
  <c r="V12" i="2"/>
  <c r="W12" i="2" s="1"/>
  <c r="J13" i="25" s="1"/>
  <c r="H10" i="25"/>
  <c r="V9" i="2"/>
  <c r="J10" i="20" s="1"/>
  <c r="V5" i="2"/>
  <c r="J6" i="20" s="1"/>
  <c r="H6" i="25"/>
  <c r="V6" i="2"/>
  <c r="J7" i="20" s="1"/>
  <c r="W7" i="2"/>
  <c r="J8" i="25" s="1"/>
  <c r="H18" i="25"/>
  <c r="H7" i="25"/>
  <c r="V18" i="2"/>
  <c r="V11" i="2"/>
  <c r="J12" i="20" s="1"/>
  <c r="R12" i="20" s="1"/>
  <c r="H19" i="25"/>
  <c r="W8" i="2"/>
  <c r="J9" i="25" s="1"/>
  <c r="H9" i="25"/>
  <c r="R23" i="20"/>
  <c r="I4" i="25"/>
  <c r="F4" i="25" s="1"/>
  <c r="E4" i="25" s="1"/>
  <c r="B9" i="27"/>
  <c r="I10" i="25"/>
  <c r="F10" i="25" s="1"/>
  <c r="E10" i="25" s="1"/>
  <c r="B10" i="27"/>
  <c r="I11" i="25"/>
  <c r="F11" i="25" s="1"/>
  <c r="E11" i="25" s="1"/>
  <c r="B20" i="27"/>
  <c r="I21" i="25"/>
  <c r="B7" i="27"/>
  <c r="I8" i="25"/>
  <c r="I9" i="25"/>
  <c r="B4" i="27"/>
  <c r="I5" i="25"/>
  <c r="F5" i="25" s="1"/>
  <c r="E5" i="25" s="1"/>
  <c r="B14" i="27"/>
  <c r="I15" i="25"/>
  <c r="F15" i="25" s="1"/>
  <c r="E15" i="25" s="1"/>
  <c r="B19" i="27"/>
  <c r="I20" i="25"/>
  <c r="F20" i="25" s="1"/>
  <c r="E20" i="25" s="1"/>
  <c r="B13" i="27"/>
  <c r="I14" i="25"/>
  <c r="F14" i="25" s="1"/>
  <c r="E14" i="25" s="1"/>
  <c r="V21" i="2"/>
  <c r="I22" i="25" s="1"/>
  <c r="F22" i="25" s="1"/>
  <c r="E22" i="25" s="1"/>
  <c r="I11" i="20"/>
  <c r="I15" i="20"/>
  <c r="I9" i="20"/>
  <c r="I19" i="20"/>
  <c r="I21" i="20"/>
  <c r="I13" i="20"/>
  <c r="I10" i="20"/>
  <c r="I14" i="20"/>
  <c r="I20" i="20"/>
  <c r="I7" i="20"/>
  <c r="I6" i="20"/>
  <c r="I5" i="20"/>
  <c r="I4" i="20"/>
  <c r="I8" i="20"/>
  <c r="J9" i="20"/>
  <c r="J20" i="20"/>
  <c r="J11" i="20"/>
  <c r="J14" i="20"/>
  <c r="J21" i="20"/>
  <c r="J8" i="20"/>
  <c r="J5" i="20"/>
  <c r="J15" i="20"/>
  <c r="J4" i="20"/>
  <c r="F21" i="25" l="1"/>
  <c r="E21" i="25" s="1"/>
  <c r="I6" i="25"/>
  <c r="F6" i="25" s="1"/>
  <c r="E6" i="25" s="1"/>
  <c r="R4" i="20"/>
  <c r="B5" i="27"/>
  <c r="R14" i="20"/>
  <c r="R21" i="20"/>
  <c r="R5" i="20"/>
  <c r="R8" i="20"/>
  <c r="I12" i="25"/>
  <c r="F12" i="25" s="1"/>
  <c r="E12" i="25" s="1"/>
  <c r="F8" i="25"/>
  <c r="E8" i="25" s="1"/>
  <c r="J13" i="20"/>
  <c r="R13" i="20" s="1"/>
  <c r="I13" i="25"/>
  <c r="F13" i="25" s="1"/>
  <c r="E13" i="25" s="1"/>
  <c r="B12" i="27"/>
  <c r="B11" i="27"/>
  <c r="R6" i="20"/>
  <c r="R10" i="20"/>
  <c r="R7" i="20"/>
  <c r="I19" i="25"/>
  <c r="F19" i="25" s="1"/>
  <c r="E19" i="25" s="1"/>
  <c r="B18" i="27"/>
  <c r="J19" i="20"/>
  <c r="K19" i="20" s="1"/>
  <c r="R20" i="20"/>
  <c r="I7" i="25"/>
  <c r="F7" i="25" s="1"/>
  <c r="E7" i="25" s="1"/>
  <c r="R9" i="20"/>
  <c r="B6" i="27"/>
  <c r="R15" i="20"/>
  <c r="R11" i="20"/>
  <c r="F9" i="25"/>
  <c r="E9" i="25" s="1"/>
  <c r="T23" i="20"/>
  <c r="F26" i="24"/>
  <c r="K12" i="20"/>
  <c r="K9" i="20"/>
  <c r="K4" i="20"/>
  <c r="K21" i="20"/>
  <c r="K15" i="20"/>
  <c r="K11" i="20"/>
  <c r="K6" i="20"/>
  <c r="K10" i="20"/>
  <c r="K8" i="20"/>
  <c r="K7" i="20"/>
  <c r="K5" i="20"/>
  <c r="K20" i="20"/>
  <c r="K14" i="20"/>
  <c r="J22" i="20"/>
  <c r="R22" i="20" s="1"/>
  <c r="B21" i="27"/>
  <c r="I3" i="20"/>
  <c r="R19" i="20" l="1"/>
  <c r="K13" i="20"/>
  <c r="T4" i="20"/>
  <c r="F7" i="24"/>
  <c r="T14" i="20"/>
  <c r="F17" i="24"/>
  <c r="T15" i="20"/>
  <c r="F18" i="24"/>
  <c r="T12" i="20"/>
  <c r="F15" i="24"/>
  <c r="T20" i="20"/>
  <c r="F23" i="24"/>
  <c r="T9" i="20"/>
  <c r="F12" i="24"/>
  <c r="T8" i="20"/>
  <c r="F11" i="24"/>
  <c r="T7" i="20"/>
  <c r="F10" i="24"/>
  <c r="T10" i="20"/>
  <c r="F13" i="24"/>
  <c r="T11" i="20"/>
  <c r="F14" i="24"/>
  <c r="T6" i="20"/>
  <c r="F9" i="24"/>
  <c r="T19" i="20"/>
  <c r="F22" i="24"/>
  <c r="T5" i="20"/>
  <c r="F8" i="24"/>
  <c r="T21" i="20"/>
  <c r="F24" i="24"/>
  <c r="T13" i="20"/>
  <c r="F16" i="24"/>
  <c r="T22" i="20"/>
  <c r="F25" i="24"/>
  <c r="K22" i="20"/>
  <c r="J3" i="20"/>
  <c r="R3" i="20" s="1"/>
  <c r="L27" i="22"/>
  <c r="J31" i="22" s="1"/>
  <c r="V16" i="2" s="1"/>
  <c r="I17" i="25" s="1"/>
  <c r="K3" i="20" l="1"/>
  <c r="V15" i="2"/>
  <c r="I16" i="25" s="1"/>
  <c r="B16" i="27"/>
  <c r="J17" i="20"/>
  <c r="R17" i="20" s="1"/>
  <c r="W16" i="2"/>
  <c r="J17" i="25" s="1"/>
  <c r="F17" i="25" s="1"/>
  <c r="E17" i="25" s="1"/>
  <c r="W15" i="2"/>
  <c r="J16" i="25" s="1"/>
  <c r="F16" i="25" l="1"/>
  <c r="E16" i="25" s="1"/>
  <c r="T3" i="20"/>
  <c r="F6" i="24"/>
  <c r="K17" i="20"/>
  <c r="B15" i="27"/>
  <c r="J16" i="20"/>
  <c r="R16" i="20" s="1"/>
  <c r="T16" i="20" l="1"/>
  <c r="F19" i="24"/>
  <c r="T17" i="20"/>
  <c r="F20" i="24"/>
  <c r="K16" i="20"/>
  <c r="Y25" i="21"/>
  <c r="O17" i="2" s="1"/>
  <c r="S17" i="2" l="1"/>
  <c r="V17" i="2" s="1"/>
  <c r="I18" i="25" s="1"/>
  <c r="F18" i="25" s="1"/>
  <c r="E18" i="25" s="1"/>
  <c r="I18" i="20" l="1"/>
  <c r="B17" i="27"/>
  <c r="J18" i="20"/>
  <c r="R18" i="20" l="1"/>
  <c r="K18" i="20"/>
  <c r="T18" i="20" l="1"/>
  <c r="F21" i="24"/>
</calcChain>
</file>

<file path=xl/sharedStrings.xml><?xml version="1.0" encoding="utf-8"?>
<sst xmlns="http://schemas.openxmlformats.org/spreadsheetml/2006/main" count="1552" uniqueCount="827">
  <si>
    <t>IMC</t>
  </si>
  <si>
    <t>PSA (ng/ml)</t>
  </si>
  <si>
    <t>Acide Urique (microMol/l)</t>
  </si>
  <si>
    <t>Calcium sang (milliMol/l)</t>
  </si>
  <si>
    <t>Cholesterol total (milliMol/l)</t>
  </si>
  <si>
    <t>Cholesterol HDL (milliMol/l)</t>
  </si>
  <si>
    <t>Hb glyquée (%)</t>
  </si>
  <si>
    <t>Triglycerides (milliMol/l)</t>
  </si>
  <si>
    <t>Ferritine (ng/ml)</t>
  </si>
  <si>
    <t>Vitamine D (ng/ml)</t>
  </si>
  <si>
    <t>CPK (UI/l)</t>
  </si>
  <si>
    <t>GGT (UI/l)</t>
  </si>
  <si>
    <t>Hémoglobine (g/dl)</t>
  </si>
  <si>
    <t>Leucocytes (G/L)</t>
  </si>
  <si>
    <t>Lymphocytes (G/L)</t>
  </si>
  <si>
    <t>Plaquettes (G/L)</t>
  </si>
  <si>
    <t>VMP (fl)</t>
  </si>
  <si>
    <t>ALAT (UI/L)</t>
  </si>
  <si>
    <t>ASAT (UI/L)</t>
  </si>
  <si>
    <t>TSH (microIU/ml)</t>
  </si>
  <si>
    <t>MAN</t>
  </si>
  <si>
    <t>WOMAN</t>
  </si>
  <si>
    <t>AFRICAN</t>
  </si>
  <si>
    <t>ASIAN</t>
  </si>
  <si>
    <t>CONSTANT</t>
  </si>
  <si>
    <t>X</t>
  </si>
  <si>
    <t>X^2</t>
  </si>
  <si>
    <t>AGE</t>
  </si>
  <si>
    <t>Genet(MAX)</t>
  </si>
  <si>
    <t>Environ(MAX)</t>
  </si>
  <si>
    <t>TESTS</t>
  </si>
  <si>
    <t>Ref-Current</t>
  </si>
  <si>
    <t>Patient-Current</t>
  </si>
  <si>
    <t>EthnieRisk</t>
  </si>
  <si>
    <t>Référence</t>
  </si>
  <si>
    <t>Hypertrophie prostatique</t>
  </si>
  <si>
    <t>Insuffisance rénale</t>
  </si>
  <si>
    <t>Lithiase urinaire</t>
  </si>
  <si>
    <t>Ostéopénie</t>
  </si>
  <si>
    <t>Cancer du colon</t>
  </si>
  <si>
    <t>Stéatose hépatique</t>
  </si>
  <si>
    <t>Insuffisance thyroidienne</t>
  </si>
  <si>
    <t>Dyslipidémie</t>
  </si>
  <si>
    <t>Diabéte</t>
  </si>
  <si>
    <t>Syndrome métabolique</t>
  </si>
  <si>
    <t>Thrombophlébite</t>
  </si>
  <si>
    <t>Anévrysme et artériopathie</t>
  </si>
  <si>
    <t>Accident vasculaire cérébral</t>
  </si>
  <si>
    <t>Cardiopathie ischémique</t>
  </si>
  <si>
    <t>Cancer du poumon</t>
  </si>
  <si>
    <t>Cancer ORL</t>
  </si>
  <si>
    <t>Asthme et BPCO</t>
  </si>
  <si>
    <t>Mélanome</t>
  </si>
  <si>
    <t>Cancers Sein-Ovaire-Utérus</t>
  </si>
  <si>
    <t>Cancer de la prostate</t>
  </si>
  <si>
    <t>Risques</t>
  </si>
  <si>
    <t>Actuel</t>
  </si>
  <si>
    <t>ATCPperso</t>
  </si>
  <si>
    <t>PSA corrigé</t>
  </si>
  <si>
    <t>RR-Pca-T</t>
  </si>
  <si>
    <t>RR-Lithiase-T</t>
  </si>
  <si>
    <t>Homme</t>
  </si>
  <si>
    <t>Femme</t>
  </si>
  <si>
    <t>SYSTOLIC</t>
  </si>
  <si>
    <t>TREATED</t>
  </si>
  <si>
    <t>Cholesterol</t>
  </si>
  <si>
    <t>DIABETE</t>
  </si>
  <si>
    <t>SMOKER</t>
  </si>
  <si>
    <t>TOTAL</t>
  </si>
  <si>
    <t>Dyslipidémie-T</t>
  </si>
  <si>
    <t>Diabéte-T</t>
  </si>
  <si>
    <t>Tour de taille</t>
  </si>
  <si>
    <t>Ref-5years</t>
  </si>
  <si>
    <t>Fumeur</t>
  </si>
  <si>
    <t>Alcool</t>
  </si>
  <si>
    <t>Activité</t>
  </si>
  <si>
    <t>Alimentation</t>
  </si>
  <si>
    <t>Patient-5years</t>
  </si>
  <si>
    <t>Soleil</t>
  </si>
  <si>
    <t>Lpa (g/l)</t>
  </si>
  <si>
    <t>Hépatopathie dysmétabolique</t>
  </si>
  <si>
    <t>A 5 ans</t>
  </si>
  <si>
    <t>Q1 - REFERENCE</t>
  </si>
  <si>
    <t>0</t>
  </si>
  <si>
    <t>1</t>
  </si>
  <si>
    <t>CRP us (mg/l)</t>
  </si>
  <si>
    <t>IMPORT</t>
  </si>
  <si>
    <t>Score</t>
  </si>
  <si>
    <t>GENETIQUE</t>
  </si>
  <si>
    <t>Y</t>
  </si>
  <si>
    <t>N</t>
  </si>
  <si>
    <t>2 ou plus</t>
  </si>
  <si>
    <t>Risque faible</t>
  </si>
  <si>
    <t>Risque moyen</t>
  </si>
  <si>
    <t>Risque élevé</t>
  </si>
  <si>
    <t>Risque très élevé</t>
  </si>
  <si>
    <t>Cancer Col Utérus</t>
  </si>
  <si>
    <t>Cancers Sein-Ovaire-Endométre</t>
  </si>
  <si>
    <t>Mesologiques</t>
  </si>
  <si>
    <t>Tests</t>
  </si>
  <si>
    <t>SexRisk</t>
  </si>
  <si>
    <t>FIB4</t>
  </si>
  <si>
    <t>1,45-3,25</t>
  </si>
  <si>
    <t>Risk CV</t>
  </si>
  <si>
    <t>Score CV</t>
  </si>
  <si>
    <t>Créatininémie (microMol/l)</t>
  </si>
  <si>
    <t>Autres</t>
  </si>
  <si>
    <t>FIB4= [Age x ASAT] / [plaquettes x √ALAT ]</t>
  </si>
  <si>
    <t>Actions recommandées</t>
  </si>
  <si>
    <t>Risques actionnables</t>
  </si>
  <si>
    <t>Améliorer sa morphologie</t>
  </si>
  <si>
    <t>Améliorer sa condition physique</t>
  </si>
  <si>
    <t>Arréter de Fumeur</t>
  </si>
  <si>
    <t>Réduire l' Alcool</t>
  </si>
  <si>
    <t>Changer son alimentation</t>
  </si>
  <si>
    <t>Score FIB4 (NASH)</t>
  </si>
  <si>
    <t>à 10 ans</t>
  </si>
  <si>
    <t>risk actuel</t>
  </si>
  <si>
    <t>risk 5 ans</t>
  </si>
  <si>
    <t>Age5</t>
  </si>
  <si>
    <t>Total</t>
  </si>
  <si>
    <t>Cockcroft et Gault</t>
  </si>
  <si>
    <t>Synd Met</t>
  </si>
  <si>
    <t>diabete</t>
  </si>
  <si>
    <t>dyslipidemie</t>
  </si>
  <si>
    <t>HTA</t>
  </si>
  <si>
    <t>supplémentation en Vitamine D</t>
  </si>
  <si>
    <t>MAX</t>
  </si>
  <si>
    <t>Avec action</t>
  </si>
  <si>
    <t>E</t>
  </si>
  <si>
    <t>Cholesterol LDL (g/l)</t>
  </si>
  <si>
    <t>Test</t>
  </si>
  <si>
    <t>Units</t>
  </si>
  <si>
    <t>Results</t>
  </si>
  <si>
    <t>Lipoproteine-a</t>
  </si>
  <si>
    <t>g/L</t>
  </si>
  <si>
    <t>Total Cholesterol</t>
  </si>
  <si>
    <t>g/l</t>
  </si>
  <si>
    <t>Cholesterol HDL</t>
  </si>
  <si>
    <t>Cholesterol LDL</t>
  </si>
  <si>
    <t>Triglycerides</t>
  </si>
  <si>
    <t>Protein C-Reactive ULTRASENSITIVE</t>
  </si>
  <si>
    <t>mg/L</t>
  </si>
  <si>
    <t>Blood glucose</t>
  </si>
  <si>
    <t>Hb1Ac</t>
  </si>
  <si>
    <t>%</t>
  </si>
  <si>
    <t>PSA</t>
  </si>
  <si>
    <t>ng/mL</t>
  </si>
  <si>
    <t>Hb</t>
  </si>
  <si>
    <t>g/dL</t>
  </si>
  <si>
    <t>VGM</t>
  </si>
  <si>
    <t>fL</t>
  </si>
  <si>
    <t>Erythrocytes</t>
  </si>
  <si>
    <t>T/L</t>
  </si>
  <si>
    <t>Leucocytes</t>
  </si>
  <si>
    <t>G/L</t>
  </si>
  <si>
    <t>Neutrophils</t>
  </si>
  <si>
    <t>Eosinophils</t>
  </si>
  <si>
    <t>Lymphocytes</t>
  </si>
  <si>
    <t>Platelets</t>
  </si>
  <si>
    <t>Iron blood</t>
  </si>
  <si>
    <t>µmol/L</t>
  </si>
  <si>
    <t>Ferritin</t>
  </si>
  <si>
    <t>µg/L</t>
  </si>
  <si>
    <t>Transferrin saturation</t>
  </si>
  <si>
    <t>ALAT</t>
  </si>
  <si>
    <t>UI/l</t>
  </si>
  <si>
    <t>ASAT</t>
  </si>
  <si>
    <t>GGT</t>
  </si>
  <si>
    <t>UI/L</t>
  </si>
  <si>
    <t>ng/ml</t>
  </si>
  <si>
    <t>micromol/l</t>
  </si>
  <si>
    <t>Testosterone</t>
  </si>
  <si>
    <t>nmol/l</t>
  </si>
  <si>
    <t>Bioavalaible Testosterone</t>
  </si>
  <si>
    <t>TSH</t>
  </si>
  <si>
    <t>mUI/L</t>
  </si>
  <si>
    <t>Cortisol blood</t>
  </si>
  <si>
    <t>micromol/L</t>
  </si>
  <si>
    <t>10microg/100ml</t>
  </si>
  <si>
    <t>Uric Acid Blood</t>
  </si>
  <si>
    <t>Vitamin B6</t>
  </si>
  <si>
    <t>nmol/L</t>
  </si>
  <si>
    <t>Creatinine blood</t>
  </si>
  <si>
    <t>Glomerular filtration rate</t>
  </si>
  <si>
    <t>mL/min/1,73m²</t>
  </si>
  <si>
    <t>Hemoglobinuria</t>
  </si>
  <si>
    <t>Positive/Negative</t>
  </si>
  <si>
    <t>Diuresis (24h)</t>
  </si>
  <si>
    <t>ml/24h</t>
  </si>
  <si>
    <t>Calcium Urine</t>
  </si>
  <si>
    <t>mmol/24h</t>
  </si>
  <si>
    <t>Urea urine</t>
  </si>
  <si>
    <t>Urate urine</t>
  </si>
  <si>
    <t>mg/24h</t>
  </si>
  <si>
    <t>pH urine</t>
  </si>
  <si>
    <t>Urine density</t>
  </si>
  <si>
    <t>creatinine urine</t>
  </si>
  <si>
    <t>sodium urine</t>
  </si>
  <si>
    <t>Proteinuria</t>
  </si>
  <si>
    <t>g/24h</t>
  </si>
  <si>
    <t>Glycosuria</t>
  </si>
  <si>
    <t>Bilirubin urine</t>
  </si>
  <si>
    <t>Creat g</t>
  </si>
  <si>
    <t>Urée g</t>
  </si>
  <si>
    <t>Age</t>
  </si>
  <si>
    <t>Weight (kg)</t>
  </si>
  <si>
    <t>Height (cm)</t>
  </si>
  <si>
    <t>BMI</t>
  </si>
  <si>
    <t>Neutro/lymph</t>
  </si>
  <si>
    <t>Testo score</t>
  </si>
  <si>
    <t>DHT/T</t>
  </si>
  <si>
    <t>Cortisol/DHEAS&lt;0.1</t>
  </si>
  <si>
    <t>VitaD&lt;30</t>
  </si>
  <si>
    <t>Calciuria</t>
  </si>
  <si>
    <t>Uricosurie</t>
  </si>
  <si>
    <t>Natriurese</t>
  </si>
  <si>
    <t>Densité</t>
  </si>
  <si>
    <t>Na cunsumption g/j</t>
  </si>
  <si>
    <t>besoins</t>
  </si>
  <si>
    <t>Protein cunsumption g/j</t>
  </si>
  <si>
    <t>Sex</t>
  </si>
  <si>
    <t>%sarcopeniaH</t>
  </si>
  <si>
    <t>%sarcopeniaF</t>
  </si>
  <si>
    <t>CRP&gt;3</t>
  </si>
  <si>
    <t>Blood deficiency score</t>
  </si>
  <si>
    <t>Urolithiasisscore</t>
  </si>
  <si>
    <t>mmol/l</t>
  </si>
  <si>
    <t>Ratio Cholesterol Total/HDL</t>
  </si>
  <si>
    <t>faible&lt;3,4</t>
  </si>
  <si>
    <t>Moyen&lt;5</t>
  </si>
  <si>
    <t>microg/100ml</t>
  </si>
  <si>
    <t>mg/l</t>
  </si>
  <si>
    <t>Meq/24h</t>
  </si>
  <si>
    <t>NUTRITION</t>
  </si>
  <si>
    <t>muscleH theorique</t>
  </si>
  <si>
    <t>MuscleF theorique</t>
  </si>
  <si>
    <t>Creatmuscle calculé</t>
  </si>
  <si>
    <t>riskAge</t>
  </si>
  <si>
    <t>Réduire l'Alcool</t>
  </si>
  <si>
    <t>Pathologies</t>
  </si>
  <si>
    <t>Score FIB4</t>
  </si>
  <si>
    <t>Qualité de vie</t>
  </si>
  <si>
    <t>Qualité sommeil</t>
  </si>
  <si>
    <t>Patient-5yearssimulateur</t>
  </si>
  <si>
    <t>à5ans</t>
  </si>
  <si>
    <t>Risques à 5 ans %</t>
  </si>
  <si>
    <t>Satisfaction</t>
  </si>
  <si>
    <t>Diabéte de type 2</t>
  </si>
  <si>
    <t>Cancers de la sphère ORL</t>
  </si>
  <si>
    <t>Cancer du colon et du rectum</t>
  </si>
  <si>
    <t>Diabéte type 2</t>
  </si>
  <si>
    <t>Maladie du Foie et lithiase biliaire</t>
  </si>
  <si>
    <t>Appareil urinaire</t>
  </si>
  <si>
    <t>Appareil Digestif</t>
  </si>
  <si>
    <t>Appareil locomoteur</t>
  </si>
  <si>
    <t>Nerveuse et émotionnelle</t>
  </si>
  <si>
    <t>BMIpourpsa</t>
  </si>
  <si>
    <t>4 à 10</t>
  </si>
  <si>
    <t>4 à 5</t>
  </si>
  <si>
    <t>150-450</t>
  </si>
  <si>
    <t>2a7</t>
  </si>
  <si>
    <t>1,5a4</t>
  </si>
  <si>
    <t>poidsIdéal</t>
  </si>
  <si>
    <t>RecommandéH</t>
  </si>
  <si>
    <t>kgmuscle=23/gcreaturine</t>
  </si>
  <si>
    <t>BMR = 10W + 6.25H - 5A + 5</t>
  </si>
  <si>
    <t>CalorieH</t>
  </si>
  <si>
    <t>BMR = 10W + 6.25H - 5A - 161</t>
  </si>
  <si>
    <t>CalorieF</t>
  </si>
  <si>
    <t>Alpha-1 globuline</t>
  </si>
  <si>
    <t>Alpha-2-globuline</t>
  </si>
  <si>
    <t>Gamma Globuline</t>
  </si>
  <si>
    <t>2,1a3,5</t>
  </si>
  <si>
    <t>5,1a8,5</t>
  </si>
  <si>
    <t>Inflammation</t>
  </si>
  <si>
    <t>Gammapathie</t>
  </si>
  <si>
    <t>L’IMC est une estimation de la graisse corporelle et une bonne jauge de votre risque de maladies qui peuvent survenir avec plus de graisse corporelle. Insuffisance pondérale : Inférieure à 18,5 : Normale : 18,5–24,9 ; Surpoids : 25,0–29,9 ; Obésité : 30,0 et plus</t>
  </si>
  <si>
    <t>Systolique: Faible &lt;90; Souhaitable: 90-120; Limite: 120-140; Haute &gt;140</t>
  </si>
  <si>
    <t>Diastolique: Faible &lt;60; Souhaitable: 60-80; Limite: 80-90; Haute &gt;90.</t>
  </si>
  <si>
    <t>nombre de calories quotidiennes à consommer chaque jour pour maintenir le poids</t>
  </si>
  <si>
    <t>nombre de calories quotidiennes à consommer chaque jour pour perdre du poids (0,25 kg / semaine)</t>
  </si>
  <si>
    <t>nombre de calories quotidiennes à consommer chaque jour pour prendre du poids (0,25 kg / semaine)</t>
  </si>
  <si>
    <t>Le cholestérol à lipoprotéines de basse densité (LDL-C) est largement reconnu comme un risque cardiovasculaire établi. Souhaitable : &lt;1g/dL ; Ci-dessus souhaitable: 1-1,29 g / L; Limite élevée : 1,30-1,59 g/L ; Haute : 1,60-1,89 g/L ; Très élevé : &gt; or = 1,90 g/L.</t>
  </si>
  <si>
    <t>L’augmentation des taux plasmatiques de triglycérides est révélatrice d’une anomalie métabolique et, avec un taux de cholestérol élevé, est considérée comme un facteur de risque de maladie athéroscléreuse. Normal : &lt;1,50 g/L; Limite élevée : 1,50-1,99 g/L ; Haute : 2-4,99 g/L ; Très élevé : &gt; ou =5g/L. En présence de facteurs de risque de maladie coronarienne, les valeurs limites élevées et élevées nécessitent une attention particulière. L’hyperlipidémie peut être héréditaire ou associée à une obstruction biliaire, à un diabète sucré, à un syndrome néphrotique, à une insuffisance rénale ou à des troubles métaboliques liés aux endocrinopathies. L’augmentation des triglycérides peut également être induite par des médicaments.</t>
  </si>
  <si>
    <t>La protéine C-réactive (CRP) est un biomarqueur de l’inflammation. Risque plus faible : &lt;2,0 mg/L; Risque plus élevé : &gt; or = 2,0 mg/L; Inflammation aiguë: &gt;10,0 mg / L. CRP augmente rapidement à l’inflammation des tissus. La CRP à haute sensibilité est plus précise que la CRP standard lors de la mesure des concentrations de base. Des valeurs supérieures à 2,0 mg/L suggèrent une probabilité accrue de développer une maladie cardiovasculaire ou des événements ischémiques. Les taux plasmatiques de CRP sont également un trait génétique quantitatif.</t>
  </si>
  <si>
    <t xml:space="preserve">Une HbA1c élevée doit être confirmée par une mesure répétée, sauf chez les personnes qui ont une augmentation de la glycémie plasmatique &gt;200 mg / dL. Les patients qui ont une HbA1c entre 5,7% et 6,4% sont considérés comme présentant un risque accru de développer un diabète à l’avenir. </t>
  </si>
  <si>
    <t>Des valeurs élevées d’alanine aminotransférase (ALT) sont observées dans les maladies hépatiques parenchymateuses avec destruction des hépatocytes. Les valeurs sont généralement au moins 10 fois supérieures à la plage normale. Dans l’hépatite infectieuse et d’autres affections inflammatoires affectant le foie, l’ALT est typiquement plus élevée que l’aspartate aminotransférase (AST), et le rapport ALT: AST, qui normalement et dans d’autres conditions est inférieur à 1, devient supérieur à l’unité. Les plages habituelles sont de 10 à 50 UI / L</t>
  </si>
  <si>
    <t>Des valeurs élevées d’aspartate aminotransférase (AST) sont observées dans les maladies hépatiques parenchymateuses avec destruction des hépatocytes. Les valeurs sont généralement au moins 10 fois supérieures à la plage normale. Les niveaux peuvent atteindre des valeurs allant jusqu’à 100 fois la limite supérieure de référence, bien que des élévations de 20 à 50 fois soient le plus souvent rencontrées. Des valeurs élevées d’AST peuvent également être observées dans les troubles affectant le cœur, les muscles squelettiques et les reins. Les plages habituelles sont de 10 à 50 UI / L.</t>
  </si>
  <si>
    <t>La gamma-glutamyl transférase est l’indicateur enzymatique le plus sensible des maladies du foie. Les plages habituelles sont de 8 à 61 UI / L</t>
  </si>
  <si>
    <t>Les plages habituelles sont de 7 à 11 mg / l (60 et 95 μmol / L) la créatinine sérique est inversement corrélée avec le taux de filtration glomérulaire (DFG). la génération de créatinine dépend de la masse musculaire. Ainsi, les jeunes hommes musclés peuvent avoir des taux sériques de créatinine significativement plus élevés que les femmes âgées, malgré des DFG similaires.</t>
  </si>
  <si>
    <t>DFG mL/min/1,73 m(2) : &gt;90; Légèrement diminué; 60 à 89; Légèrement à modérément diminué; 45 à 59 ans; Diminution modérée à sévère; 30-44; Sévèrement diminué; 15-29; Insuffisance rénale &lt;15</t>
  </si>
  <si>
    <t>les valeurs NLR normales sont &lt;2,5. NLR évalue l’état inflammatoire. Il a prouvé son utilité dans la stratification de la mortalité dans les événements cardiaques majeurs, en tant que facteur pronostique fort dans plusieurs types de cancers</t>
  </si>
  <si>
    <t>MÉTRIQUE</t>
  </si>
  <si>
    <t>Indice de masse corporelle</t>
  </si>
  <si>
    <t>Diurèse (24h)</t>
  </si>
  <si>
    <t>COMORBIDITÉ</t>
  </si>
  <si>
    <t>BIOLOGIE</t>
  </si>
  <si>
    <t>Érythrocytes de volume corpusculaire moyen (MCV)</t>
  </si>
  <si>
    <t>Érythrocytes</t>
  </si>
  <si>
    <t>Leucocyturie</t>
  </si>
  <si>
    <t>pH de l’urine</t>
  </si>
  <si>
    <t>Commentaires</t>
  </si>
  <si>
    <t> masse muscleH=0,407 * poids en kg + 0,267 * taille en cm – 19,2</t>
  </si>
  <si>
    <t>1 g de protéines par kilo de poids ideal et par jour </t>
  </si>
  <si>
    <t>Examenrécents</t>
  </si>
  <si>
    <r>
      <t>Femmes : 0,252 * </t>
    </r>
    <r>
      <rPr>
        <b/>
        <sz val="12"/>
        <color rgb="FF202124"/>
        <rFont val="Calibri"/>
        <family val="2"/>
        <scheme val="minor"/>
      </rPr>
      <t>poids</t>
    </r>
    <r>
      <rPr>
        <sz val="12"/>
        <color rgb="FF202124"/>
        <rFont val="Calibri"/>
        <family val="2"/>
        <scheme val="minor"/>
      </rPr>
      <t> en kg + 0,473 * taille en cm – 48,3</t>
    </r>
  </si>
  <si>
    <t>Densité de l’urine</t>
  </si>
  <si>
    <t>Regional</t>
  </si>
  <si>
    <t>Smoking</t>
  </si>
  <si>
    <t>Systolic</t>
  </si>
  <si>
    <t>Cholesteroltot</t>
  </si>
  <si>
    <t>Cholesterolhdl</t>
  </si>
  <si>
    <t>mmol</t>
  </si>
  <si>
    <t>Un haut risque &gt;1,5 est associé au risque de formation de calculs urinaires</t>
  </si>
  <si>
    <t>Le poids idéal a été introduit pour estimer les doses à usage médical.  Il est également largement utilisé dans tous les sports.</t>
  </si>
  <si>
    <t>insuffissance renale</t>
  </si>
  <si>
    <t>0=Très satisfaisant</t>
  </si>
  <si>
    <t>1=Assez satisfaisant</t>
  </si>
  <si>
    <t>2=Peu satisfaisant</t>
  </si>
  <si>
    <t>3=Pas du tout satisfaisant</t>
  </si>
  <si>
    <t>0=Jamais de fuite d’urine</t>
  </si>
  <si>
    <t>1=Moins d’une fuite d’urine par semaine</t>
  </si>
  <si>
    <t>2=Plusieurs fuites d’urine par semaine</t>
  </si>
  <si>
    <t>3=Plusieurs fuites d’urine par jour</t>
  </si>
  <si>
    <t>0=Plus de 15 minutes</t>
  </si>
  <si>
    <t>1=De 6 à 15 minutes</t>
  </si>
  <si>
    <t>2=De 1 à 5 minutes</t>
  </si>
  <si>
    <t>3=Moins de 1 minute</t>
  </si>
  <si>
    <t>Vitamin D</t>
  </si>
  <si>
    <t>Lors d’abus d’alcool, on observe un rapport ASAT/ALAT ≥ 2 contrairement aux autres causes d’augmentation des transaminases qui provoquent souvent un rapport ASAT/ALAT &lt; 2.</t>
  </si>
  <si>
    <t>Le scor FIB4 est un score utilisé pour le dépistage de la fibrose hépatique. &lt;1,3 Normal; 1,3-2,67 Intermédiaire à surveiller &gt;2,67 Anormal</t>
  </si>
  <si>
    <t>Volume prostate cc (Echographie)</t>
  </si>
  <si>
    <t>PSAD</t>
  </si>
  <si>
    <t xml:space="preserve">La densité du PSA est calculée comme PSA total (ng/ml) divisé par le volume de la prostate (ml). La valeur normale habituelle est PSAD &lt;0,12 </t>
  </si>
  <si>
    <t>Glycémie à jeun</t>
  </si>
  <si>
    <t>Irénale</t>
  </si>
  <si>
    <t>&lt;3,5</t>
  </si>
  <si>
    <t>&gt;1,4</t>
  </si>
  <si>
    <t>&lt;5</t>
  </si>
  <si>
    <r>
      <t>40 à 60 mg/L</t>
    </r>
    <r>
      <rPr>
        <sz val="8"/>
        <color rgb="FF303030"/>
        <rFont val="Arial"/>
        <family val="2"/>
      </rPr>
      <t> (ou 240 à 360 umol/l)</t>
    </r>
  </si>
  <si>
    <t>Calcium blood</t>
  </si>
  <si>
    <t>2.2-2.6 mmol/l</t>
  </si>
  <si>
    <t>milliMol/l</t>
  </si>
  <si>
    <t>mg/dl</t>
  </si>
  <si>
    <t>L’augmentation de la taille de la prostate et les lésions tissulaires de la prostate causées par une hypertrophie bénigne de la prostate, une prostatite ou un cancer de la prostate peuvent augmenter les taux de PSA circulants de plus de 3 ng / ml. La sécrétion de PSA diminue également avec un déficit hormonal masculin. Ainsi le taux de PSA peut être corrigé par différents facteurs (Voir PSA corrigé) et interprété par la densité du PSA si le volume de la prostate est connu</t>
  </si>
  <si>
    <t>L’hyperuricémie est le plus souvent définie par des concentrations supérieures à 80 mg/L (420mcromol/l) chez les hommes ou supérieures à 61 mg/L (360micromol/l) chez les femmes. Les principales causes sont l’augmentation de la synthèse de la purine, les troubles métaboliques héréditaires, l’apport alimentaire excessif en purine, l’augmentation du renouvellement des acides nucléiques, la malignité, les médicaments cytotoxiques et la diminution de l’excrétion due à une insuffisance rénale chronique ou à une réabsorption rénale accrue. Un suivi à long terme de ces patients est entrepris parce que beaucoup sont à risque de développer une maladie rénale; peu de ces patients développent le syndrome clinique de la goutte.</t>
  </si>
  <si>
    <t xml:space="preserve">Un pH &gt;6,5 est associé aux calculs de phosphate de calcium avec une infection des voies urinaires (bactéries fendant l’urée) ou une acidose tubulaire distale. Le pH &lt;5,2 est lié au risque de calculs uriques acides.
</t>
  </si>
  <si>
    <t>Positive</t>
  </si>
  <si>
    <t>Negative</t>
  </si>
  <si>
    <t>Hemoglobinuria (dipstick test) or Hematuria (CBEU&gt;1000/ml)</t>
  </si>
  <si>
    <t>Leucocyturia (dipstick test) or leucocyturia (CBEU&gt;1000/ml)</t>
  </si>
  <si>
    <t>Nitrite in urine or bacteriuria CBEU ≥ 100.00/ml</t>
  </si>
  <si>
    <t>Hémoglobinurie/hématurie</t>
  </si>
  <si>
    <t> La présence de leucocytes dans les urines est un signe d’infection ou d’inflammation des voies urinaires. La bandelette urinaire peut la détecter, les valeurs normales usuelles sur l'examen cytobacteriologique des urines (ECBU) sont  &lt;10 000 leucocytes /ml</t>
  </si>
  <si>
    <t>La présence d'hémoglobine dans les urines peut être détectée par la bandelette urinaire, si elle est positive elle témoigne soit d'une hématurie (globules rouges dans l’urine &gt;10 hématies/mm3 sur un examen cytobacterologique des urine (ECBU)) soit à de l'hémoglobine comme dans les anémies hémolytiques et justifie une investigation plus approfondie. La présence de plus de 10000 hématies /Ml correspond à une hématurie.</t>
  </si>
  <si>
    <t>Nitrites /Bactériurie</t>
  </si>
  <si>
    <t>Sur l'examen cytobacteriologique des urines (ECBU) une  bactériurie &lt; 1000 UFC/mL indique une absence d’infection (si le patient n’est pas sous antibiothérapie, ni hyperhydraté et si le temps de d’abstinence urinaire est supérieur à 3 h). Une bactériurie ≥ 10000 UFC/mL indique très souvent  une infection urinaire. La bandelette urinaire peut détecter des nitites dans les urines qui fait suspecter une infections urinaire qui doit être confirmée par un ECBU.</t>
  </si>
  <si>
    <t>Glycosurie (bandelette ou dosage)</t>
  </si>
  <si>
    <t>Bilirubine urinaire (bandelette ou dosage)</t>
  </si>
  <si>
    <t>Proteinurie</t>
  </si>
  <si>
    <t>Une proteinurie témoigne d'une atteinte rénale, qu’elle soit tubulaire ou glomérulaire. Une protéinurie peut être suspectée sur la bandelette urinaire. Pour confirmer la proteinurie un dosage sur 24 heures.Les valeurs normales sont moins de 30mg/24 heures.</t>
  </si>
  <si>
    <t>Resultats</t>
  </si>
  <si>
    <t>Code couleur</t>
  </si>
  <si>
    <t>Normal</t>
  </si>
  <si>
    <t>Action</t>
  </si>
  <si>
    <t>Controler</t>
  </si>
  <si>
    <t>pas de code</t>
  </si>
  <si>
    <t>&lt;0,18 ou &gt;0,29</t>
  </si>
  <si>
    <t>0,25-0,29</t>
  </si>
  <si>
    <t>0,18-0,24</t>
  </si>
  <si>
    <t>&gt;102</t>
  </si>
  <si>
    <t>94-102</t>
  </si>
  <si>
    <t>&lt;94</t>
  </si>
  <si>
    <t>&lt;80</t>
  </si>
  <si>
    <t>80-88</t>
  </si>
  <si>
    <t>&gt;88</t>
  </si>
  <si>
    <t>La mesure du tour de taille aide à dépister les risques possibles pour la santé liés au surpoids et à l’obésité. Ce risque augmente avec un tour de taille supérieur à 102 cm (40 pouces) pour les hommes. Le tour de taille peut être ajusté sur la taille, il ne devrait pas dépasser le moitié de la taille (ex: pour 180cm &lt; à 90cm)</t>
  </si>
  <si>
    <t>La mesure du tour de taille aide à dépister les risques possibles pour la santé liés au surpoids et à l’obésité. Ce risque augmente avec un tour de taille supérieur à 88 cm (35 pouces) pour les femmes. Le tour de taille peut être ajusté sur la taille, il ne devrait pas dépasser le moitié de la taille (ex: pour 180cm &lt; à 90cm)</t>
  </si>
  <si>
    <t>90-120</t>
  </si>
  <si>
    <t>120-140</t>
  </si>
  <si>
    <t>&lt;90 ou &gt;140</t>
  </si>
  <si>
    <t>80-84</t>
  </si>
  <si>
    <t>&gt;85</t>
  </si>
  <si>
    <t>750-2500</t>
  </si>
  <si>
    <t>&lt;500 ou  &gt;3000</t>
  </si>
  <si>
    <t>500-750 ou 2500-3000</t>
  </si>
  <si>
    <t>Le volume normal des urines par jour (diurérése) est entre 750 - 2500 ml. Une  diurèse élevée (polyurie), peut révéler un diabète sucré, ou un diabéte insipide (carence en hormone antidiurétique), une maladie rénale, des médicaments diurétiques ; ou une addiction l'eau (potomanie). Une diurése insuffisante est généralement due a une hydratation insuffisante, elle expose à la lithiase rénale. parfois elle peut révéler une maladie rénale</t>
  </si>
  <si>
    <t>30-50</t>
  </si>
  <si>
    <t xml:space="preserve">10-30 ou 50-80 </t>
  </si>
  <si>
    <t>&lt;10 ou &gt;80</t>
  </si>
  <si>
    <t>&lt;10 ng/mL (carence grave); 10-30 ng / mL (carence légère à modérée); 30-50 ng/mL (niveaux optimaux); 51-80 ng / mL (risque accru d’hypercalciurie et de lithiase rénale); &gt;80 ng/mL (toxicité possible). des niveaux inférieurs à 25 ng / mL sont associés à un risque accru d’hyperparathyroïdie secondaire, de densité minérale osseuse réduite et de fractures. Des niveaux inférieurs à 10 ng / mL peuvent entraîner une minéralisation inadéquate de l’ostéoïde nouvellement formé, entraînant une ostéomalacie.</t>
  </si>
  <si>
    <t>&gt;50%</t>
  </si>
  <si>
    <t>20%-50%</t>
  </si>
  <si>
    <t>&lt;20%</t>
  </si>
  <si>
    <t>le syndrome métabolique est associée à un risque de dyslipidémie, de diabète et d'événements cardiovasculaires. Un risque élevé est supérieur à 50 %. Risque intermédiaire : de 20 à 50 % et risque faible est inférieur à 20 %.</t>
  </si>
  <si>
    <t>25-50%</t>
  </si>
  <si>
    <t>&lt;25%</t>
  </si>
  <si>
    <t>&lt;30</t>
  </si>
  <si>
    <t>L'élévation du cholestérol est à interpréter en fonction de ses fractions LDL et HDL. le Cholesterol LDL  est un facteur de risque de mortalité cardio-vasculaire et la constitutionde lésions d'athérosclérose , mais l'association avec la gravité des lésions est inconstante. Souhaitable : &lt;2g/L ; Limite élevée : 2-2,39 g/L ; Élevé : &gt; ou = 2,40 g/L. Des valeurs supérieures à la plage normale indiquent la nécessité d’une analyse quantitative du profil des lipoprotéines.</t>
  </si>
  <si>
    <t>&lt;2</t>
  </si>
  <si>
    <t>&lt;1,6</t>
  </si>
  <si>
    <t>&lt;1,5</t>
  </si>
  <si>
    <t>1,5-5</t>
  </si>
  <si>
    <t>&gt;5</t>
  </si>
  <si>
    <t>1,6-1,9</t>
  </si>
  <si>
    <t>&gt;1,9</t>
  </si>
  <si>
    <t>Les valeurs anormales sont faibles HDL : &lt;0,4 g/L pour les hommes et &lt;0,5 g/l pour les femmes. Un faible taux de cholestérol à lipoprotéines de haute densité (HDL) est en corrélation avec un risque accru de maladie coronarienne. Des valeurs supérieures ou égales à 0,8 à 1 g/L peuvent indiquer une réponse métabolique à certains médicaments tels que l’hormonothérapie substitutive, les maladies hépatiques chroniques ou une forme d’intoxication chronique, comme l’alcool, les métaux lourds ou les produits chimiques industriels, y compris les pesticides.</t>
  </si>
  <si>
    <t>&lt;0,4</t>
  </si>
  <si>
    <t>&gt;0,6</t>
  </si>
  <si>
    <t>0,4-0,6</t>
  </si>
  <si>
    <t>&gt;10</t>
  </si>
  <si>
    <t>H (Hight) élevé, N Normal, L (Low) bas. L’augmentation des gamma-globulines (&gt; 15 g/l) peut être d’origine polyclonale dans différentes pathologies infectieuses, autoimmunes ou hépatiques ou – d’origine monoclonale dans les gammapathies malignes.</t>
  </si>
  <si>
    <t>&lt;6 ou &gt;15</t>
  </si>
  <si>
    <t xml:space="preserve"> 6-15</t>
  </si>
  <si>
    <t xml:space="preserve"> 2-10</t>
  </si>
  <si>
    <t xml:space="preserve"> 3-6 ou 10-15</t>
  </si>
  <si>
    <t>Un score &gt;1 fait suspecter un état inflammatoire.</t>
  </si>
  <si>
    <t>&lt;0,8</t>
  </si>
  <si>
    <t>0,8-1</t>
  </si>
  <si>
    <t>&gt;1</t>
  </si>
  <si>
    <t>&lt;5,7%</t>
  </si>
  <si>
    <t>&gt;6,4%</t>
  </si>
  <si>
    <t>5,7-6,4%</t>
  </si>
  <si>
    <t>0,7-1</t>
  </si>
  <si>
    <t>&gt;1,26</t>
  </si>
  <si>
    <t>1-1,26</t>
  </si>
  <si>
    <t>A jeun, la glycémie doit se situer entre 0,70 g/L et 1,40 g/L. entre 0,70 grammes et 1 gramme de glucose par litre de sang. &lt; 0,70g/correspond à une hypoglycémie. Au-dessus d'1g/L il y a une hyperglycémie. Le diabète correspond à des taux de glycémie &gt;1,26g/L</t>
  </si>
  <si>
    <t>&lt;3</t>
  </si>
  <si>
    <t>&gt;6</t>
  </si>
  <si>
    <t xml:space="preserve"> 3-6</t>
  </si>
  <si>
    <t xml:space="preserve"> 11,6-16,6</t>
  </si>
  <si>
    <t>Les gammes habituelles sont pour les hommes 13,2-16,6 g / dL; et les femmes 11,6-15,0 g/dL . Un taux élévé d'hémoglogine fait suspecter une polyglogulie si il s'associe à un hématocrite &gt;49 % chez l'homme, &gt;48 % chez la femme.L’anémie est une baisse anormale du taux d’hémoglobine. Sa valeur seuil en dessous de laquelle on parle d’anémie est variable selon l’âge et le sexe. Les causes d’anémie sont multiples mais la carence en fer est la plus fréquente chez la femme.</t>
  </si>
  <si>
    <t>&lt;80 ou &gt;100</t>
  </si>
  <si>
    <t>78,2-97,9</t>
  </si>
  <si>
    <t>Le volume des globules rouges pet caractériser une anémie  comme microcytaire (MCV &lt;80), macrocytaire (MCV &gt;100) ou normocytaire selon MCV. Les gammes habituelles sont les suivantes:  78,2-97,9 /femtolitre.</t>
  </si>
  <si>
    <t>78,2-80 ou 97,9-100</t>
  </si>
  <si>
    <t>Les gammes habituelles sont Homme 4,35-5,65 x 10 (12) / L; Femmes 3,92-5,13 x 10(12)/L</t>
  </si>
  <si>
    <t>3,4-5,65</t>
  </si>
  <si>
    <t>&lt;3,4 ou &gt;5,65</t>
  </si>
  <si>
    <t>7-11,6 ou 16,6-18,4</t>
  </si>
  <si>
    <t>&lt;7 ou &gt;18,4</t>
  </si>
  <si>
    <t>3,4-9,6</t>
  </si>
  <si>
    <t>Les gammes habituelles sont : 3,4-9,6 x 10 (9) / L</t>
  </si>
  <si>
    <t>&lt;1,5 ou &gt;15</t>
  </si>
  <si>
    <t>&lt;1,5-3,4 ou &gt;9,6-15</t>
  </si>
  <si>
    <t>Les gammes habituelles sont  1,56-6,45 x 10 (9) / L</t>
  </si>
  <si>
    <t>Les plages habituelles sont 0,03-0,48 x 10 (9) / L</t>
  </si>
  <si>
    <t>1,56-6,45</t>
  </si>
  <si>
    <t>0,03-0,48</t>
  </si>
  <si>
    <t>0,95-3,07</t>
  </si>
  <si>
    <t>135-371</t>
  </si>
  <si>
    <t>&lt;0,5 ou &gt;7,5</t>
  </si>
  <si>
    <t>&gt;0,5</t>
  </si>
  <si>
    <t>Les plages habituelles sont 0,95-3,07 x 10(9)/L. , il existe de très nombreuses causes réactionnelles et transitoires. Une lymphocytose chronique (au-delà de 3 mois) devra être explorée. Le typage lymphocytaire est l’examen complémentaire de
1ière ligne. Le tabagisme chronique peut être la cause d’une lymphocytose modérée.</t>
  </si>
  <si>
    <t>3,07-4,5</t>
  </si>
  <si>
    <t>&lt;0,95 ou &gt;4,5</t>
  </si>
  <si>
    <t>Les gammes habituelles sont Hommes 135-317 x 10 (9) / L; Femmes 157-371 x 10(9)/L. Une valeur basse entraine un risque de saignement prolongé, d’épistaxis ou d’apparition d'hématomes. Une valeur élevée entraine un risque de thrombose</t>
  </si>
  <si>
    <t>&lt;100 ou &gt;600</t>
  </si>
  <si>
    <t xml:space="preserve"> 100-135 ou 371-600</t>
  </si>
  <si>
    <t>&gt;1000</t>
  </si>
  <si>
    <t>20-336</t>
  </si>
  <si>
    <t xml:space="preserve"> 10-20 ou 336-1000</t>
  </si>
  <si>
    <t>&lt;10 ou &gt;1000</t>
  </si>
  <si>
    <t>&gt;100</t>
  </si>
  <si>
    <t xml:space="preserve"> 50-100</t>
  </si>
  <si>
    <t>&lt;50</t>
  </si>
  <si>
    <t>&gt;200</t>
  </si>
  <si>
    <t>50-200</t>
  </si>
  <si>
    <t>&lt;61</t>
  </si>
  <si>
    <t xml:space="preserve"> 61-500</t>
  </si>
  <si>
    <t>&gt;500</t>
  </si>
  <si>
    <t xml:space="preserve"> 1-2</t>
  </si>
  <si>
    <t>&gt;2</t>
  </si>
  <si>
    <t>&lt;1</t>
  </si>
  <si>
    <t>&lt;1,3</t>
  </si>
  <si>
    <t>1,3-2,67</t>
  </si>
  <si>
    <t>&gt;2,67</t>
  </si>
  <si>
    <t>0,4-4</t>
  </si>
  <si>
    <t>&lt;0,4 ou &gt;4</t>
  </si>
  <si>
    <t>&lt;420</t>
  </si>
  <si>
    <t>420-700</t>
  </si>
  <si>
    <t>&gt;700</t>
  </si>
  <si>
    <t>&lt;11</t>
  </si>
  <si>
    <t>&gt;56</t>
  </si>
  <si>
    <t>&gt;60</t>
  </si>
  <si>
    <t>30-60</t>
  </si>
  <si>
    <t>1,5-2</t>
  </si>
  <si>
    <t>5,2-6,5</t>
  </si>
  <si>
    <t>&lt;5,2 ou &gt;6,5</t>
  </si>
  <si>
    <t>g/ml</t>
  </si>
  <si>
    <t>&lt;1001 ou &gt;1030</t>
  </si>
  <si>
    <t>1001-1030</t>
  </si>
  <si>
    <t>Une faible densité (SG) (&lt;1001) peut indiquer la présence d’un diabète insipide, une maladie causée par une altération du fonctionnement de l’hormone antidiurétique (ADH). Un faible taux de SG peut également survenir chez les patients atteints de glomérulonéphrite, de pyélonéphrite et d’autres anomalies rénales. Dans ces cas, le rein a perdu sa capacité de concentration en raison d’une lésion tubulaire. Un taux élevé de SG peut survenir en cas deshydratation</t>
  </si>
  <si>
    <t>&lt;0,12</t>
  </si>
  <si>
    <t>0,12-0,15</t>
  </si>
  <si>
    <t>&gt;0,15</t>
  </si>
  <si>
    <t>&lt;2,5</t>
  </si>
  <si>
    <t>&gt;2,5</t>
  </si>
  <si>
    <t>CPK (créatine phosphokinase)</t>
  </si>
  <si>
    <t>Les valeurs usuelles sont pour les Femmes: 29-168 UI/l et pour les Hommes: 30-200 UI/l. Un taux de CPK  élevé qpeut être dû à une souffrance musculaire, cardiaque ou cérébrale. Les causes peuvent être d’origine pathologique ou non.</t>
  </si>
  <si>
    <t>&lt;200</t>
  </si>
  <si>
    <t>200-1000</t>
  </si>
  <si>
    <t>Le PSA corrigé est le PSA total pondéré avec un algorithme basé sur les troubles des voies urinaires faibles et le déficit en androgènes. La valeur normale habituelle est &lt;3.</t>
  </si>
  <si>
    <t>Vide</t>
  </si>
  <si>
    <t>Poids corporel idéal (kg)</t>
  </si>
  <si>
    <t>tour de taille Hommes (cm)</t>
  </si>
  <si>
    <t>tour de taille Femmes (cm)</t>
  </si>
  <si>
    <t>Pression artérielle systolique (mmHg)</t>
  </si>
  <si>
    <t>Pression artérielle diastolique (mm Hg)</t>
  </si>
  <si>
    <t>Vitamine D2+D3 (ng/ml)</t>
  </si>
  <si>
    <t>Troubles métaboliques (score)</t>
  </si>
  <si>
    <t>Apnée du sommeil (score)</t>
  </si>
  <si>
    <t>Lipoprotéine-a (mg/dl)</t>
  </si>
  <si>
    <t>Cholestérol total (g/l)</t>
  </si>
  <si>
    <t>Cholestérol HDL (g/l)</t>
  </si>
  <si>
    <t>Cholestérol LDL (g/l)</t>
  </si>
  <si>
    <t>Triglycérides (g/l)</t>
  </si>
  <si>
    <t>Protéine C-Réactive ULTRASENSIBLE (mg/l)</t>
  </si>
  <si>
    <t>Profil  gammapathie (score)</t>
  </si>
  <si>
    <t>Statut inflammatoire (score)</t>
  </si>
  <si>
    <t>Hb1Ac (%)</t>
  </si>
  <si>
    <t>Taux d'Hémoglobine (g/dl)</t>
  </si>
  <si>
    <r>
      <t>Leucocytes (10</t>
    </r>
    <r>
      <rPr>
        <b/>
        <vertAlign val="superscript"/>
        <sz val="18"/>
        <color rgb="FF000000"/>
        <rFont val="Calibri"/>
        <family val="2"/>
        <scheme val="minor"/>
      </rPr>
      <t>9</t>
    </r>
    <r>
      <rPr>
        <b/>
        <sz val="18"/>
        <color rgb="FF000000"/>
        <rFont val="Calibri"/>
        <family val="2"/>
        <scheme val="minor"/>
      </rPr>
      <t>/l)</t>
    </r>
  </si>
  <si>
    <r>
      <t>Neutrophiles (10</t>
    </r>
    <r>
      <rPr>
        <b/>
        <vertAlign val="superscript"/>
        <sz val="18"/>
        <color rgb="FF000000"/>
        <rFont val="Calibri"/>
        <family val="2"/>
        <scheme val="minor"/>
      </rPr>
      <t>9</t>
    </r>
    <r>
      <rPr>
        <b/>
        <sz val="18"/>
        <color rgb="FF000000"/>
        <rFont val="Calibri"/>
        <family val="2"/>
        <scheme val="minor"/>
      </rPr>
      <t>/l)</t>
    </r>
  </si>
  <si>
    <r>
      <t>Éosinophiles (10</t>
    </r>
    <r>
      <rPr>
        <b/>
        <vertAlign val="superscript"/>
        <sz val="18"/>
        <color rgb="FF000000"/>
        <rFont val="Calibri"/>
        <family val="2"/>
        <scheme val="minor"/>
      </rPr>
      <t>9</t>
    </r>
    <r>
      <rPr>
        <b/>
        <sz val="18"/>
        <color rgb="FF000000"/>
        <rFont val="Calibri"/>
        <family val="2"/>
        <scheme val="minor"/>
      </rPr>
      <t>/l)</t>
    </r>
  </si>
  <si>
    <r>
      <t>Lymphocytes (10</t>
    </r>
    <r>
      <rPr>
        <b/>
        <vertAlign val="superscript"/>
        <sz val="18"/>
        <color rgb="FF000000"/>
        <rFont val="Calibri"/>
        <family val="2"/>
        <scheme val="minor"/>
      </rPr>
      <t>9</t>
    </r>
    <r>
      <rPr>
        <b/>
        <sz val="18"/>
        <color rgb="FF000000"/>
        <rFont val="Calibri"/>
        <family val="2"/>
        <scheme val="minor"/>
      </rPr>
      <t>/l)</t>
    </r>
  </si>
  <si>
    <r>
      <t>Plaquettes (10</t>
    </r>
    <r>
      <rPr>
        <b/>
        <vertAlign val="superscript"/>
        <sz val="18"/>
        <color rgb="FF000000"/>
        <rFont val="Calibri"/>
        <family val="2"/>
        <scheme val="minor"/>
      </rPr>
      <t>9</t>
    </r>
    <r>
      <rPr>
        <b/>
        <sz val="18"/>
        <color rgb="FF000000"/>
        <rFont val="Calibri"/>
        <family val="2"/>
        <scheme val="minor"/>
      </rPr>
      <t>/l)</t>
    </r>
  </si>
  <si>
    <t>Les gammes habituelles sont les hommes: 24-336 ng/mlL, les femmes: 11-307 ng/ml. L’hypoferritinémie est associée à un risque de carence en fer et une anémie. La carence en fer latente se produit lorsque la ferritine sérique est faible sans faible taux d’hémoglobine. L’hyperferritinémie est associée à des conditions de surcharge en fer, y compris l’hémochromatose héréditaire où les concentrations peuvent dépasser 1 000 ng/ml. L’hyperferritinémie sans surcharge en fer peut être causée par des troubles hépatiques courants, des néoplasmes, une inflammation aiguë ou chronique et un syndrome héréditaire d’hyperferritinémie-cataracte.</t>
  </si>
  <si>
    <t>GGT (UI/L)</t>
  </si>
  <si>
    <t>TSH (mUI/L)</t>
  </si>
  <si>
    <t>Acide urique sang (micromol/L)</t>
  </si>
  <si>
    <t>Créatinine sang (mg/L)</t>
  </si>
  <si>
    <t>Taux de filtration glomérulaire mL/min/1,73 m(2)</t>
  </si>
  <si>
    <t>Risque de lithiase urinaire (Score)</t>
  </si>
  <si>
    <t>PSAD (Densité de l’antigène spécifique de la prostate) (score)</t>
  </si>
  <si>
    <t>PSA corrigé (ng/ml)</t>
  </si>
  <si>
    <t>Rapport neutrophiles-lymphocytes (NLR) (score)</t>
  </si>
  <si>
    <t>CPK (créatine phosphokinase) (UI/L)</t>
  </si>
  <si>
    <t>Calcium Urine/24h</t>
  </si>
  <si>
    <t>DHT</t>
  </si>
  <si>
    <t>Cortisol/DHEAS</t>
  </si>
  <si>
    <t>Dehydroepiandrosterone Sulfate(DHEAS)</t>
  </si>
  <si>
    <t>L’augmentation du rapport DHT/T &gt; 10% est associée à une hypertrophie évolutive de la prostate.</t>
  </si>
  <si>
    <t>L’augmentation du rapport Cortisol (micromole/l)/DHEAS(micromole/l) &gt;0,1 est associée à la dépression, au stress, au vieillissement et au déclin de la fonction immunitaire.</t>
  </si>
  <si>
    <t>Un apport élevé en sodium augmente la pression artérielle, c’est un facteur de risque de maladie cardiovasculaire. Il est recommandé de ne pas dépasser 5,8 grammes de NaCl (2,3 g de Na) par jour et une limite idéale de pas plus de 3,8 g de NaCl (1,5 g de Na) par jour.</t>
  </si>
  <si>
    <t>Il est recommandé de ne pas dépasser 0,8 g par kg de poids corporel idéal par jour. Un apport excessif en protéines peut augmenter le risque de certains cancers et stresser les reins par la voie de l’azote. Les régimes riches en protéines peuvent provoquer l’excrétion de calcium par les reins et entraîner une faiblesse osseuse générale, des calculs urinaires et de l’ostéoporose.</t>
  </si>
  <si>
    <t>Consommation recommandée de protéines (g quotidienne)</t>
  </si>
  <si>
    <r>
      <t>La TSH est une hormone qui stimule la synthèse et la libération des hormones thyroïdiennes </t>
    </r>
    <r>
      <rPr>
        <b/>
        <u/>
        <sz val="18"/>
        <rFont val="Calibri"/>
        <family val="2"/>
        <scheme val="minor"/>
      </rPr>
      <t>T3</t>
    </r>
    <r>
      <rPr>
        <b/>
        <sz val="18"/>
        <rFont val="Calibri"/>
        <family val="2"/>
        <scheme val="minor"/>
      </rPr>
      <t> et </t>
    </r>
    <r>
      <rPr>
        <b/>
        <u/>
        <sz val="18"/>
        <rFont val="Calibri"/>
        <family val="2"/>
        <scheme val="minor"/>
      </rPr>
      <t>T4</t>
    </r>
    <r>
      <rPr>
        <b/>
        <sz val="18"/>
        <rFont val="Calibri"/>
        <family val="2"/>
        <scheme val="minor"/>
      </rPr>
      <t> dans le sang. (TSH &gt; 4.0 mUI/L suspicion d' hypothyroïdie: TSH &lt; 0.4 mUI/L suscipcion d' hyperthyroïdie</t>
    </r>
  </si>
  <si>
    <t>Sarcopénie Femmes</t>
  </si>
  <si>
    <t>Sarcopénie Hommes</t>
  </si>
  <si>
    <t>Acide Urique urine/24h</t>
  </si>
  <si>
    <t>La Lp(a) est « la lipoprotéine la plus athérogène ». Lp(a) &gt;0,30g/L augmente le risque cardiovasculaire de 2 à 3 fois. Lp(a) est un trait génétique quantitatif.</t>
  </si>
  <si>
    <t>Rapport Cholesterol Total/HDL</t>
  </si>
  <si>
    <t>L’excrétion urinaire d’acide urique est élevée chez les patients présentant des calculs d’acide urique. En fonction du régime alimentaire: &lt;750 mg (4,5 mmol) / 24 heures est recommandé. Les niveaux d’acide urique dans l’urine sont élevés (hors cancers et hémopathies) après la consommation d’aliments riches en nucléoprotéines.</t>
  </si>
  <si>
    <t>&lt;0,3</t>
  </si>
  <si>
    <t>0,3-0,5</t>
  </si>
  <si>
    <t>Commentaires patients</t>
  </si>
  <si>
    <t>Un ratio &gt;4 est associé au risque cardiovasculaire</t>
  </si>
  <si>
    <t>&lt;250mg/24h</t>
  </si>
  <si>
    <t>&gt;100mg/24h</t>
  </si>
  <si>
    <t>&lt;750mg/24h</t>
  </si>
  <si>
    <t>&gt;4</t>
  </si>
  <si>
    <t>&gt;0,1</t>
  </si>
  <si>
    <t>&lt;0,3ng/ml</t>
  </si>
  <si>
    <t>&lt;4g/j</t>
  </si>
  <si>
    <t>Les plages habituelles sont de 0,7 à 3,4 ng / ml (2,4 à 11,7 nmol / l). La testostérone circulante est liée à la globuline liant les hormones sexuelles (SHBG). la testostérone non liée à la SHBG est donc considérée comme biodisponible. La testostérone biodisponible est un meilleur reflet du composant biologiquement actif de la testostérone. BT diminue de 1% / an avec l’âge.</t>
  </si>
  <si>
    <t>Neutrophiles (G/L)</t>
  </si>
  <si>
    <t>H</t>
  </si>
  <si>
    <t>Normal est « 0 ». La réabsorption du glucose par les tubules rénaux est un processus saturable, et une glycémie supérieure à 160 mg/dL entraîne une plus grande quantité de glucose dans l’ultrafiltrat que ce qui peut être résorbé par les tubules rénaux. la glycosurie doit être négative sur la bandelette urinaire et inférieur à 15mg/dl.</t>
  </si>
  <si>
    <t>Normal est « 0 ». Un taux élevé de bilirubine urinaire est évocateur d’une maladie hépatocellulaire ou d’une obstruction biliaire post-hépatique. L’hyperbilirubinémie due à l’hémolyse est principalement due à la bilirubine non conjuguée et n’entraîne donc pas d’augmentation de la bilirubine urinaire.</t>
  </si>
  <si>
    <t>Negative =0</t>
  </si>
  <si>
    <t>Negative=0</t>
  </si>
  <si>
    <t>Positive &gt;0</t>
  </si>
  <si>
    <t>Testosterone biodisponible (BT)</t>
  </si>
  <si>
    <t>Consommation de protéines g/j</t>
  </si>
  <si>
    <t>Consommation de protéines recommandée</t>
  </si>
  <si>
    <t xml:space="preserve"> 11-56</t>
  </si>
  <si>
    <t>L’hypertrophie bénigne de la prostate est une cause majeure pour les hommes de troubles des voies urinaires basses et de diminution de la qualité de vie. L’héritabilité est d’environ 80%. Le surpoids et la dysfonction érectile y sont fréquemment associés. Intégratome évalue le risque d'hypertrophie prostatique évolutive, pouvant se compliquer par des infections urinaires, des calculs de vessie, rétention urinaire ou insuffissance rénale. Le dépistage usuel proposé est basé sur l'évaluation annuelle des troubles mictionnels. Si le risque évalué par intégratome est élevé une consultation spécialisée d'urologie est proposée et le bilan est complété par une échographie vésicale et rénale, avec mesure du résidu post-mictionnel et une débitmétrie mictionnelle.</t>
  </si>
  <si>
    <t>La contribution des facteurs génétiques à l’ostéoporose est d’environ 70%. Cependant, d’autres facteurs tels que le tabagisme, l’utilisation de corticostéroïdes augmentent le risque d’ostéoporose. Les autres causes sont le déclin des stéroïdes sexuels, l’insuffisance pondérale, la consommation d’alcool, la carence en vitamine D, la consommation excessive de vitamine A. Le dépistage usuel proposé est basé sur l'évaluation annuelle de la vitamine D et du bilan calcique urinaire. Si le risque évalué par intégratome est élevé une consultation spécialisée de rhumatologie est proposée et le bilan est complété par une ostéodensitométrie.</t>
  </si>
  <si>
    <t>Les facteurs de risque des calculs biliaires sont l’âge, la génétique, le syndrome métabolique, la perte de poids rapide et une alimentation inappropriée augmentent également le risque. Il est lié à certaines maladies telles que les dyslipidémies, la fibrose hépatique et la maladie de Crohn, la drépanocytose. La pancréatite est liée aux calculs biliaires mais aussi à la forte consommation d’alcool et au tabagisme et à l’étiologie auto-immune. Le dépistage usuel proposé est basé sur l'évaluation annuelle le bilan hépatique. Si le risque évalué par intégratome est élevé une consultation spécialisée de gastro-entérologie est proposée et le bilan est complété par une échographie abdominale.</t>
  </si>
  <si>
    <t>L'insuffissance thyroidienne ou hypothyroïdie est caractérisée par une production trop faible d’hormones par la glande thyroide. Ces hormones sont indispensables au métabolisme energetique. L'hypothyroidie se complique en particulier de troubles cardiaques. Les causes les plus fréquentes sont auto-immunes. Le dépistage usuel proposé est basé sur l'évaluation annuelle de la TSH. Si le risque évalué par intégratome est élevé une consultation spécialisée d'endocrinologie est proposée et le bilan est complété par une échographie thyroidienne et un dosage sanguin des hormones T3 et T4libre et la recherche d'autoanticorps Anti-TG et Anti TPO.</t>
  </si>
  <si>
    <t>Le syndrome métabolique combine l’hypertension artérielle, le diabète, les troubles lipidiques et le surpoids. Le risque de développer un syndrome est élevé si &gt; 20%.  Intermédiaire : de 10 à 20 % et  faible si&lt; 10 %. C'est un facteur de risque majeur des maladies cardio-vasculaires et neuro-vasculaires. Le dépistage usuel proposé est basé sur l'évaluation annuelle de la tension artérielle, de la surcharge pondérale, de glycémie et de l'hémoglogine glyquée, du bilan lipidique. Si le risque évalué par intégratome est élevé une consultation spécialisée d'endocrinologie et de nutrition sont proposés et le bilan est complété par un bilan cardiovasculaire, rénal, hépatique et du fond d'oeil.</t>
  </si>
  <si>
    <t>Il représente 90% des formes de diabéte sucré. Il se caractérisée par un taux trop élevé de glucose (sucre) dans le sang. Il  survient généralement chez les adultes aprés 50 ans, et touche davantage les personnes en surcharge pondérale. Non traité, il peut peut ainsi être à l’origine de maladies cardiovasculaires, d’une perte de vision irréversible,  d’atteintes des nerfs et d’insuffisance rénale. Le dépistage usuel proposé est basé sur l'évaluation annuelle de la glycémie et de l'hémoglogine glyquée. Si le risque évalué par intégratome est élevé une consultation spécialisée  d'endocrinologie et de nutrition sont proposés et le bilan est complété par un bilan cardiovasculaire, réanal et du fond d'oeil.</t>
  </si>
  <si>
    <t>Les dyslipidémies sont définies par l'élévation anormale dans le sang des lipides: cholesterol (hypercholestérolémie) ou triglycérides. Elles sont souvent d'origine génétique et aggravées par la surchage pondérale, la consommation d'alcool et de sucres rapides. Elles contribuent aux risques cardio-vasculaires.  Le dépistage usuel proposé est basé sur l'évaluation annuelle du bilan lipidique. Si le risque évalué par intégratome est élevé une consultation spécialisée  d'endocrinologie et de nutrition sont proposés avec une recherche de complications cardiovasculaires.</t>
  </si>
  <si>
    <t>C'est une maladie  caractérisée par un défaut d'oxygénation du cœur due à une mauvaise vascularisation par les artéres coronaires. Elle peut se compliquer de façon aigue par  l’infarctus du myocarde ou évoluer chroniquement vers l'insuffisance cardiaque. L'obstruction des artéres coronaires qui vascularisent le coeur est favorisée par l'exposition au tabagisme, les dyslipidémies, le diabéte et façon plus générale le syndrome métabolique. Il existe également une prédispostin  héréditaire. L'apnée du sommeil et les troubles de l'érection sont souvent associés. Le dépistage usuel proposé est basé sur l'évaluation annuelle de la tension artérielle et de l'ECG. Si le risque évalué par intégratome est élevé une consultation spécialisée cardiovasculaire est proposée et le bilan est complété par une épreuve d'effort, une score calcique coronaire, une échographie et doppler des axes artériels carotidiens, aorto-iliaques.</t>
  </si>
  <si>
    <t>Ce sont les cancers des voies aérodigestives supérieures (bouche, pharynx, larynx, aussi appelés gorge, sinus). Ils sont favorisés par la consommation de tabac et d’alcool.  Dans certains cas à une infection à certains types de papillomavirus humains (HPV). Certains de ces cancers  peuvent aussi être liés à une exposition professionnelle. Le dépistage usuel proposé est basé sur l'examen clinique. Si le risque évalué par intégratome est élevé une consultation spécialisée d'ORL est proposée.</t>
  </si>
  <si>
    <t> C'est un cancer de la peau, il  peut ressembler à un grain de beauté (naevus). Il est favorisé par une peau claire (peau qui rougit avant de bronzer)
Des antécédents familiaux. Une exposition répétée au soleil avec des antécédents de coups de soleils. Les naevus suspects de transformation en mélanome sont  = Asymétrique, avec des bords irréguliers en « carte de géographie », avec  plusieurs couleurs : brun clair, brun foncé, rosé et d'un  diamètre &gt; 6 mm.Le dépistage usuel proposé est basé sur l'examen clinique. Si le risque évalué par intégratome est élevé une consultation spécialisée de dermatologie est proposée.</t>
  </si>
  <si>
    <t>Calcium urine: &gt; 0,1 mmol/kg/j</t>
  </si>
  <si>
    <t>Les calculs urinaires sont liés à des composants du syndrome métabolique (indice de masse corporelle élevé, dérégulation de la glycémie) et d’une alimentation inappropriée (exés de sel, de protéines, de vitamineD). Il existe également une part d'hérédité selon les différents types de calculs. Le dépistage usuel proposé est basé sur l'évaluation annuelle de la bandelette urinaire et du bilan calcique et urique urinaire. Si le risque évalué par intégratome est élevé une consultation spécialisée d'urologie est proposée et le bilan est complété par une échographie vésicale et rénale et un bilan nutritionnel.</t>
  </si>
  <si>
    <t>Les cancers de la prostate représentent environ 25 % des cancers diagnostiqués chez les hommes. L’héritabilité est d’environ 60%.  Le surpoids et le tabagisme augmentent la mortalité par cancer de la prostate.  Intégratome évalue le risque de cancer de la prostate évolutif, pouvant évoluer vers des métastases. Le dépistage usuel proposé est de réaliser un dosage du PSA annuel entre 50 et 75 ans. Si il y a des facteurs de risque génétiques (histoire familiale ou une origine africaine ou antillaise) le dépistage est débuté à 45 ans. Si le risque évalué par intégratome est élevé une consultation spécialisée d'urologie est proposée et le bilan est complété par une IRM prostatique.</t>
  </si>
  <si>
    <t>La fréquence de l’insuffisance rénale dans la population est d’environ 15%. L’étiologie est multifactorielle. Elle est liée à la mortalité prématurée et à la diminution de la qualité de vie. Elle est étroitement liée aux néphropathies familiales, aux facteurs du  syndrome métabolique et aux risques cardio-vasculaires.</t>
  </si>
  <si>
    <t>Les cancers du côlon représentent environ 15 % des cancers diagnostiqués. L’héritabilité est d’environ 30%. Environ 54 % des cas de cancer de l’intestin sont évitables. La viande grillée trop peu de fibres dans l’alimentation, le surpoids, la consommation d’alcool augmentent le risque de cancer de l’intestin. Le dépistage usuel proposé est basé sur l'évaluation annuelle la recherche de sang dans les selles. Le dosage sanguin Test Septine-9 est plus performans, le dosage de l'ACE peu sensible. Si le risque évalué par intégratome est élevé une consultation spécialisée de gastro-entérologie est proposée et le bilan est complété par une coloscopie ou une imagerie du colon.</t>
  </si>
  <si>
    <t>La phlébite ou thrombose veineuse est une pathologie cardiovasculaire qui correspond à la formation d'un caillot de sang dans une veine. Elle touche environ une personne sur 1000, sa fréquence augmente avec l'âge et elle complique certains états pathologiques: longue immobilisation, par exemple, après une chirurgie ou une fracture, cancer. Il existe une prédisposition héréditaire qui doit être recherchée lorsqu'il existe des antécédents familiaux. Elle se localise le plus fréquemment dans une veine de la jambe. si le caillot se forme dans une veine profonde, le caillot peut migrer et déterminer une embolie pulmonaire avec un risque de déficience cardiaque aigu.Si le risque évalué par intégratome est élevé une consultation spécialisée d'angiologie peut être proposée et le bilan est complété par un dosage des protéines C et  S.Une attention particuliéere à la prévetion par l'utilisation de bas de contention est proposée en cas de facteur déclechant (immobilisation, long voyage en avion...)</t>
  </si>
  <si>
    <t>Les anévrysmes de l'aorte abdominale (dilation de l'aorte qui peut se rompre) et l'artériopathie des membres inférieurs (oblitération des artéres) sont des complications de l’athérosclérose (inflammation due au dépots de lipides dans la paroi des artéres) , souvent associée aux composantes du syndrome métabolique. Il surviennent habituellemnt aprés 60 ans. Pour l'anévrysme de l'aorte, une prédispositions héréditaire existe. Ces pathologies sont fortement aggravée par l'exposition au tabagisme.  Le dépistage usuel proposé est basé sur l'évaluation annuelle de la tension artérielle et l'examen de l'abdomen. Si le risque évalué par intégratome est élevé une consultation spécialisée cardiovasculaire est proposée et le bilan est complété par une échographie et doppler des axes artériels carotidiens, aorto-iliaques.</t>
  </si>
  <si>
    <t>Les accidents vasculaires cérébraux (AVC) sont caractérisés par la survenue brutale d'un déficit neurologique, dans 75 % des cas, ils touchent surtout des patients de plus de 65 ans. Le vieillissement des vaisseaux et l'hérédité jouent un rôle dans la survenue d'un AVC. La moitié des cas sont dus à l'athérosclérose et dans un tiers des cas à des troubles dy ruthme cardiaque (fibrillation auriculaire). Dans les facteurs de risque on retrouve aussi  l'hérédité, les composantes du syndrome métabolique (hypertension artérielle, qui contribue à 40% au risque d’AVC; l'obésité, le diabéte, les dyslipidémies; le tabagisme, la consommation d’alcool. L'apnée du sommeil et les troubles de l'érection sont souvent associés. Le dépistage usuel proposé est basé sur l'évaluation annuelle de la tension artérielle et de l'ECG. Si le risque évalué par intégratome est élevé une consultation spécialisée cardiovasculaire est proposée et le bilan est complété par  une échographie et doppler des axes artériels carotidiens et un ECG.</t>
  </si>
  <si>
    <t>Le cancer du poumon ou cancer bronchopulmonaire est principalement du à l'exposition au tabac . Le tabagisme est responsable de 80% des cancers du poumon. Le dépistage usuel proposé est basé sur le scanner thoracique faible dose pour les sujets à risque entre 50 et 75 ans. Si le risque évalué par intégratome est élevé une consultation spécialisée de pneumologie est proposée et le bilan est complété par un scanner thoracique faible dose.</t>
  </si>
  <si>
    <t>L’asthme et la BPCO (Bronchopneumopathie chronique obstructive) sont deux maladies inflammatoires chroniques obstructives des voies respiratoires. Ces pathologies touchent principalement les petites voies aériennes dans la BPCO, alors qu’ils touchent aussi les voies aériennes de plus grand calibre dans l’asthme. Il existe une prédisposition génétique pour ces 2 pathologies. Dans l'asthme il peut exister une composante allergique. Le tabagisme est impliqué dans environ 80 % des BPCO et aggrave l'asthme. Certaines es expositions professionnelles et la pollution atmosphérique peuvent participer à la genése de ces pathologies.Le dépistage usuel proposé est basé sur l'examen la spirométrie. Si le risque évalué par intégratome est élevé une consultation spécialisée de pneumologie est proposée et le bilan est complété par une spirométrie et un scanner thoracique.</t>
  </si>
  <si>
    <t>Les cancers du sein représentent environ 30 % des cancers diagnostiqués chez les femmes, ils peuvent aussi toucher les hommes en particulier en cas de prédisposition hérédiatire. L’héritabilité est d’environ 60%.  Le surpoids et le tabagisme augmentent la mortalité par cancer du sein.  Les cancers de l'ovaire surviennent habituellemnt autour de 65 ans ou avant en cas de prédisposition familiale. Les autres facteurs de risque sont l’absence de grossesse, l’obésité ; la précocité des règles ou une ménopause tardive.Le cancer de l'endomètre est après le cancer du sein, c'est le plus fréquent des cancers gynécologiques. Il touche généralement les femmes autour de 68 ans ou avant en cas de prédisposition familiale. Le syndrome métabolique est un facteur de risque.  Le dépistage usuel proposé est pour le cancer du sein de réaliser une mammographie annuelle entre 50 et 75 ans. Si il y a des facteurs de risque génétiques (mutation prédisposante) le dépistage est débuté à 30 ans. Si le risque évalué par intégratome est élevé une consultation spécialisée de gynécologie est proposée et le bilan est complété par une mammogaphie, une échographie pelvienne.</t>
  </si>
  <si>
    <t>Le rapport masse musculaire calculée sur théorique estime le degré de la sarcopénie.  (perte de 0,5 à 1% par an après l’âge de 50 ans). C’est une composante du syndrome de fragilité. Le diagnostic est confirmé par une mesure de la masse musculaire  en absorptiomètrie biphotonique à rayons X (DXA). La prévention de la sarcopénie repose sur le remplacement de la vitamine D déficiente, la garantie d’un apport adéquat en calories et en protéines, et le renforcement musculaire.</t>
  </si>
  <si>
    <t>Le rapport masse musculaire calculée sur théorique estime le degré de la sarcopénie.  (perte de 0,5 à 1% par an après l’âge de 50 ans). C’est une composante du syndrome de fragilité.  Le diagnostic est confirmé par une mesure de la masse musculaire  en absorptiomètrie biphotonique à rayons X (DXA). La prévention de la sarcopénie repose sur le remplacement de la vitamine D déficiente, la garantie d’un apport adéquat en calories et en protéines, et le renforcement musculaire.</t>
  </si>
  <si>
    <t>ALAT/AAST (score)</t>
  </si>
  <si>
    <t>Les calories quotidiennes (kcal) poids stable</t>
  </si>
  <si>
    <t>Calories quotidiennes (kcal) besoin de gagner du poids</t>
  </si>
  <si>
    <t>L'apnée  du sommeil correspond à des pauses respiratoires pendant le sommeil. Un risque élevé est supérieur à 50 % fait suspecter une apnée du sommeil. L'apnée du sommeil augmente le risque neurologiques (somnolence, troubles cognitifs…), cardiovasculaires (HTA, infarctus du myocarde, arythmies…) et métaboliques (diabète de type 2)</t>
  </si>
  <si>
    <t>Les valeurs normales sont : &lt;0,1 mmol (4mg)/kg/JourHommes : &lt;250 mg/24 heures ; Femmes : &lt;200 mg/24 heures. L'hypercalciurie contribue à la formation de calculs rénaux et à l'ostéoporose. Globalement, le risque de lithiase urinaire semble augmenter lorsque le taux de calcium dans les urines de 24 heures est &gt;250 mg chez les hommes et &gt;200 mg chez les femmes. Les diurétiques thiazidiques sont souvent utilisés pour réduire l'excrétion urinaire de calcium. Les causes secondaires d'hypercalciurie comprennent l'hyperparathyroïdie, la maladie de Paget, l'immobilisation prolongée, l'intoxication à la vitamine D et les maladies qui détruisent les os (comme le cancer métastatique ou le myélome multiple). L'excrétion urinaire de calcium peut être utilisée pour évaluer le niveau de la supplémentation en calcium et en vitamine D</t>
  </si>
  <si>
    <t>Calories quotidiennes (kcal) besoin de perdre du poids</t>
  </si>
  <si>
    <t>Consommation de NaCl (sel) g/j</t>
  </si>
  <si>
    <t>Tumeur Vie excrétrice urinaire</t>
  </si>
  <si>
    <t>TumeurVEU</t>
  </si>
  <si>
    <t>TumeurVessie</t>
  </si>
  <si>
    <t>Hématurie</t>
  </si>
  <si>
    <t>Tumeur Vessie</t>
  </si>
  <si>
    <t>Tumeur de vessie</t>
  </si>
  <si>
    <t>DeltaRisque</t>
  </si>
  <si>
    <t>Les tumeurs (cancers) de la vessie ou des voies urinaires sont principalement dues à l'exposition au tabac . Le dépistage usuel proposé est basé sur la recherche de sang dans les urines et la cytologie urinaire  . Si le risque évalué par intégratome est élevé une consultation spécialisée en urologie est proposée et le bilan est complété par une cytologie urinaire et une échographie vésicale</t>
  </si>
  <si>
    <t>Tumeur de Vessie</t>
  </si>
  <si>
    <t>Score CV 2</t>
  </si>
  <si>
    <t>ScoreCV2</t>
  </si>
  <si>
    <t>Sexe</t>
  </si>
  <si>
    <t>Smoker</t>
  </si>
  <si>
    <t>TA</t>
  </si>
  <si>
    <t>CholesterolNonHDL</t>
  </si>
  <si>
    <t>ScoreCV2 = -25,7140130071773+0,267011088709677*Age+2,55729166666666*Sexe+2,97395833333333*Smoker+7,53386699507389E-02*TA+0,576041666666669*Cholesterol non HDL</t>
  </si>
  <si>
    <t>Repos Debout Pression artérielle systolique (mmHg)</t>
  </si>
  <si>
    <t>Effort Pression artérielle systolique (mmHg)</t>
  </si>
  <si>
    <t>Repos Debout Fréquence cardiaque</t>
  </si>
  <si>
    <t>SpO2  repos</t>
  </si>
  <si>
    <t xml:space="preserve">SpO2  effort </t>
  </si>
  <si>
    <t> le taux d’oxygène dans le sang doit être compris entre 95 et 100%</t>
  </si>
  <si>
    <t>Repos couché Fréquence cardiaque (P1)</t>
  </si>
  <si>
    <t>Effort Fréquence cardiaque (P2)</t>
  </si>
  <si>
    <t>Hypotension orthostatique</t>
  </si>
  <si>
    <t>Test d'aptitude fréquence cardiaqueà l'effort</t>
  </si>
  <si>
    <t>Le test des flexions aptitude de la fréquence cardiaqueà l'effort est excellent ou très bon si &lt;2; bon si 2-4; moyen si 4-6; faible si 6-8;très faible ou médiocre si &gt;8</t>
  </si>
  <si>
    <t>&lt;4</t>
  </si>
  <si>
    <t>&gt;8</t>
  </si>
  <si>
    <t>une augmentation de la  TAsystomlique &gt; 20 mmHg par minute de durée d’effort une augmentation par 2,du risque d’un accident vasculaire par rapport aux hommes dont l’augmentation est &lt; 16 mmHg par minute.</t>
  </si>
  <si>
    <t>Test d'aptitude tension artérielle à l'effort (deltaTA effort-TA repos)</t>
  </si>
  <si>
    <t>La difference entre tension diastolique et systolique doit augmenter à l'effort.</t>
  </si>
  <si>
    <t>Test d'aptitude tension artérielle à l'effort (deltaTA systolique-diastolique au repos et à l'effort</t>
  </si>
  <si>
    <t>&gt;0</t>
  </si>
  <si>
    <t>&lt;0</t>
  </si>
  <si>
    <t>&gt;95%</t>
  </si>
  <si>
    <t>&lt;95%</t>
  </si>
  <si>
    <t>Une baisse de la pression systolique ≥ 30 mmHg est un critère de diagnostic de l’hypotension orthostatique</t>
  </si>
  <si>
    <t>20-30</t>
  </si>
  <si>
    <t>&lt;20</t>
  </si>
  <si>
    <t>&gt;30</t>
  </si>
  <si>
    <t>La fibrillation atriale est la forme la plus courante d'arythmie et peut entraîner une insuffisance cardiaque, de la fatigue et un essoufflement. Il s’agit également d’un risque majeur d'AVC et elle ne présente souvent aucun symptôme.</t>
  </si>
  <si>
    <t>Détection fibrillation atriale repos-effort</t>
  </si>
  <si>
    <t>Détection des valvulopathies</t>
  </si>
  <si>
    <t>Détection fibrillation atriale repos ou effort</t>
  </si>
  <si>
    <t>Détection valvulopathie repos ou effort</t>
  </si>
  <si>
    <t>Non</t>
  </si>
  <si>
    <t>Oui</t>
  </si>
  <si>
    <t>Les valvulopathies pouvent entraîner une insuffisance cardiaque</t>
  </si>
  <si>
    <t>Faible</t>
  </si>
  <si>
    <t>Intermédiare</t>
  </si>
  <si>
    <t>Elevé</t>
  </si>
  <si>
    <t>Le risque est classé en faible, intermédiare ou élevé  en l'ajustant sur l'age. Pour les personnes en bonne santé apparente,  diabète, insuffisance rénale chronique ou dyslipidémie , le traitement des facteurs de risque cardiovasculaire doit être envisagé  si le risque cardiovasculaire élevé: SCORE2 : 2,5 à 7,5 % si &lt; 50 an; 5 à 10 % si  50 à 69 ans; 7,5 à 15 % pour les personnes  &gt;70 ans</t>
  </si>
  <si>
    <t>Effort Pression artérielle diastolique (mmHg)</t>
  </si>
  <si>
    <t>Récupération Pression artérielle systolique (mmHg)</t>
  </si>
  <si>
    <t>Récupération Pression artérielle diastolique (mmHg)</t>
  </si>
  <si>
    <t>Récupération Fréquence cardiaque (P3)</t>
  </si>
  <si>
    <r>
      <t>Q2 - Vous</t>
    </r>
    <r>
      <rPr>
        <b/>
        <sz val="14"/>
        <color rgb="FFFF0000"/>
        <rFont val="Arial"/>
        <family val="2"/>
      </rPr>
      <t xml:space="preserve"> ê</t>
    </r>
    <r>
      <rPr>
        <b/>
        <sz val="14"/>
        <color theme="1"/>
        <rFont val="Arial"/>
        <family val="2"/>
      </rPr>
      <t>tes (genre)</t>
    </r>
  </si>
  <si>
    <r>
      <rPr>
        <b/>
        <sz val="14"/>
        <color rgb="FFFF0000"/>
        <rFont val="Arial"/>
        <family val="2"/>
      </rPr>
      <t>H</t>
    </r>
    <r>
      <rPr>
        <b/>
        <sz val="14"/>
        <color theme="1"/>
        <rFont val="Arial"/>
        <family val="2"/>
      </rPr>
      <t>omme "H"</t>
    </r>
  </si>
  <si>
    <r>
      <rPr>
        <b/>
        <sz val="14"/>
        <color rgb="FFFF0000"/>
        <rFont val="Arial"/>
        <family val="2"/>
      </rPr>
      <t>F</t>
    </r>
    <r>
      <rPr>
        <b/>
        <sz val="14"/>
        <color theme="1"/>
        <rFont val="Arial"/>
        <family val="2"/>
      </rPr>
      <t>emme "F"</t>
    </r>
  </si>
  <si>
    <r>
      <rPr>
        <b/>
        <sz val="14"/>
        <color rgb="FFFF0000"/>
        <rFont val="Arial"/>
        <family val="2"/>
      </rPr>
      <t>O</t>
    </r>
    <r>
      <rPr>
        <b/>
        <sz val="14"/>
        <color theme="1"/>
        <rFont val="Arial"/>
        <family val="2"/>
      </rPr>
      <t>ui"Y"</t>
    </r>
  </si>
  <si>
    <r>
      <rPr>
        <b/>
        <sz val="14"/>
        <color rgb="FFFF0000"/>
        <rFont val="Arial"/>
        <family val="2"/>
      </rPr>
      <t>N</t>
    </r>
    <r>
      <rPr>
        <b/>
        <sz val="14"/>
        <color theme="1"/>
        <rFont val="Arial"/>
        <family val="2"/>
      </rPr>
      <t>on"N"</t>
    </r>
  </si>
  <si>
    <t xml:space="preserve">Conditionnel? </t>
  </si>
  <si>
    <t>Inverser: F et H</t>
  </si>
  <si>
    <r>
      <t>Européen</t>
    </r>
    <r>
      <rPr>
        <b/>
        <sz val="14"/>
        <color rgb="FFFF0000"/>
        <rFont val="Arial"/>
        <family val="2"/>
      </rPr>
      <t>(ne)</t>
    </r>
    <r>
      <rPr>
        <b/>
        <sz val="14"/>
        <color theme="1"/>
        <rFont val="Arial"/>
        <family val="2"/>
      </rPr>
      <t xml:space="preserve"> ou Hispanique "E"</t>
    </r>
  </si>
  <si>
    <r>
      <t xml:space="preserve">Asiatique ou </t>
    </r>
    <r>
      <rPr>
        <b/>
        <sz val="14"/>
        <color rgb="FFFF0000"/>
        <rFont val="Arial"/>
        <family val="2"/>
      </rPr>
      <t>Indien(ne</t>
    </r>
    <r>
      <rPr>
        <b/>
        <sz val="14"/>
        <color theme="1"/>
        <rFont val="Arial"/>
        <family val="2"/>
      </rPr>
      <t>) "AS"</t>
    </r>
  </si>
  <si>
    <r>
      <t>Africain(e) ou AfroCarribéen</t>
    </r>
    <r>
      <rPr>
        <b/>
        <sz val="14"/>
        <color rgb="FFFF0000"/>
        <rFont val="Arial"/>
        <family val="2"/>
      </rPr>
      <t xml:space="preserve">(ne) </t>
    </r>
    <r>
      <rPr>
        <b/>
        <sz val="14"/>
        <color theme="1"/>
        <rFont val="Arial"/>
        <family val="2"/>
      </rPr>
      <t>"AF"</t>
    </r>
  </si>
  <si>
    <t>double question?</t>
  </si>
  <si>
    <r>
      <rPr>
        <b/>
        <sz val="14"/>
        <color rgb="FFFF0000"/>
        <rFont val="Arial"/>
        <family val="2"/>
      </rPr>
      <t>Ancien (arrêt depuis plus de 5 ans) ou non-fumeur</t>
    </r>
    <r>
      <rPr>
        <b/>
        <sz val="14"/>
        <color theme="1"/>
        <rFont val="Arial"/>
        <family val="2"/>
      </rPr>
      <t xml:space="preserve"> "N"</t>
    </r>
  </si>
  <si>
    <r>
      <rPr>
        <b/>
        <sz val="14"/>
        <color rgb="FFFF0000"/>
        <rFont val="Arial"/>
        <family val="2"/>
      </rPr>
      <t>Actif ou arrêt depuis moins de 5 ans</t>
    </r>
    <r>
      <rPr>
        <b/>
        <sz val="14"/>
        <color theme="1"/>
        <rFont val="Arial"/>
        <family val="2"/>
      </rPr>
      <t xml:space="preserve"> "Y'</t>
    </r>
  </si>
  <si>
    <r>
      <t xml:space="preserve">Q3 - Quel est votre </t>
    </r>
    <r>
      <rPr>
        <b/>
        <sz val="14"/>
        <color rgb="FFFF0000"/>
        <rFont val="Arial"/>
        <family val="2"/>
      </rPr>
      <t>â</t>
    </r>
    <r>
      <rPr>
        <b/>
        <sz val="14"/>
        <color theme="1"/>
        <rFont val="Arial"/>
        <family val="2"/>
      </rPr>
      <t>ge</t>
    </r>
    <r>
      <rPr>
        <b/>
        <sz val="14"/>
        <color rgb="FFFF0000"/>
        <rFont val="Arial"/>
        <family val="2"/>
      </rPr>
      <t xml:space="preserve"> ?</t>
    </r>
  </si>
  <si>
    <r>
      <t xml:space="preserve">Q10 - </t>
    </r>
    <r>
      <rPr>
        <b/>
        <sz val="14"/>
        <color rgb="FFFF0000"/>
        <rFont val="Arial"/>
        <family val="2"/>
      </rPr>
      <t xml:space="preserve">Avez-vous </t>
    </r>
    <r>
      <rPr>
        <b/>
        <sz val="14"/>
        <rFont val="Arial"/>
        <family val="2"/>
      </rPr>
      <t xml:space="preserve">eu </t>
    </r>
    <r>
      <rPr>
        <b/>
        <sz val="14"/>
        <color theme="1"/>
        <rFont val="Arial"/>
        <family val="2"/>
      </rPr>
      <t>un cancer</t>
    </r>
    <r>
      <rPr>
        <b/>
        <sz val="14"/>
        <color rgb="FFFF0000"/>
        <rFont val="Arial"/>
        <family val="2"/>
      </rPr>
      <t xml:space="preserve"> ?</t>
    </r>
  </si>
  <si>
    <r>
      <t xml:space="preserve">Q11 - </t>
    </r>
    <r>
      <rPr>
        <b/>
        <sz val="14"/>
        <color rgb="FFFF0000"/>
        <rFont val="Arial"/>
        <family val="2"/>
      </rPr>
      <t xml:space="preserve">Avez-vous </t>
    </r>
    <r>
      <rPr>
        <b/>
        <sz val="14"/>
        <rFont val="Arial"/>
        <family val="2"/>
      </rPr>
      <t>eu</t>
    </r>
    <r>
      <rPr>
        <b/>
        <sz val="14"/>
        <color theme="1"/>
        <rFont val="Arial"/>
        <family val="2"/>
      </rPr>
      <t xml:space="preserve"> un cancer de la prostate</t>
    </r>
    <r>
      <rPr>
        <b/>
        <sz val="14"/>
        <color rgb="FFFF0000"/>
        <rFont val="Arial"/>
        <family val="2"/>
      </rPr>
      <t xml:space="preserve"> ?</t>
    </r>
  </si>
  <si>
    <r>
      <t xml:space="preserve">Q12 - </t>
    </r>
    <r>
      <rPr>
        <b/>
        <sz val="14"/>
        <color rgb="FFFF0000"/>
        <rFont val="Arial"/>
        <family val="2"/>
      </rPr>
      <t>Avez-vous</t>
    </r>
    <r>
      <rPr>
        <b/>
        <sz val="14"/>
        <color theme="1"/>
        <rFont val="Arial"/>
        <family val="2"/>
      </rPr>
      <t xml:space="preserve"> eu un cancer du colon </t>
    </r>
    <r>
      <rPr>
        <b/>
        <sz val="14"/>
        <color rgb="FFFF0000"/>
        <rFont val="Arial"/>
        <family val="2"/>
      </rPr>
      <t>?</t>
    </r>
  </si>
  <si>
    <r>
      <t>Q14 - Avez-vous eu un mélanome</t>
    </r>
    <r>
      <rPr>
        <b/>
        <sz val="14"/>
        <color rgb="FFFF0000"/>
        <rFont val="Arial"/>
        <family val="2"/>
      </rPr>
      <t xml:space="preserve"> ?</t>
    </r>
  </si>
  <si>
    <r>
      <t xml:space="preserve">Q16 - </t>
    </r>
    <r>
      <rPr>
        <b/>
        <sz val="14"/>
        <color rgb="FFFF0000"/>
        <rFont val="Arial"/>
        <family val="2"/>
      </rPr>
      <t>Avez-vous</t>
    </r>
    <r>
      <rPr>
        <b/>
        <sz val="14"/>
        <color theme="1"/>
        <rFont val="Arial"/>
        <family val="2"/>
      </rPr>
      <t xml:space="preserve"> eu un cancer du poumon </t>
    </r>
    <r>
      <rPr>
        <b/>
        <sz val="14"/>
        <color rgb="FFFF0000"/>
        <rFont val="Arial"/>
        <family val="2"/>
      </rPr>
      <t>?</t>
    </r>
  </si>
  <si>
    <r>
      <t xml:space="preserve">Q19 - </t>
    </r>
    <r>
      <rPr>
        <b/>
        <sz val="14"/>
        <color rgb="FFFF0000"/>
        <rFont val="Arial"/>
        <family val="2"/>
      </rPr>
      <t>Avez-vous</t>
    </r>
    <r>
      <rPr>
        <b/>
        <sz val="14"/>
        <color theme="1"/>
        <rFont val="Arial"/>
        <family val="2"/>
      </rPr>
      <t xml:space="preserve"> eu un cancer du sein ou utérus ou ovaire </t>
    </r>
    <r>
      <rPr>
        <b/>
        <sz val="14"/>
        <color rgb="FFFF0000"/>
        <rFont val="Arial"/>
        <family val="2"/>
      </rPr>
      <t>?</t>
    </r>
  </si>
  <si>
    <r>
      <t xml:space="preserve">Q16 - </t>
    </r>
    <r>
      <rPr>
        <b/>
        <sz val="14"/>
        <color rgb="FFFF0000"/>
        <rFont val="Arial"/>
        <family val="2"/>
      </rPr>
      <t>Avez-vous</t>
    </r>
    <r>
      <rPr>
        <b/>
        <sz val="14"/>
        <color theme="1"/>
        <rFont val="Arial"/>
        <family val="2"/>
      </rPr>
      <t xml:space="preserve"> eu un cancer ORL</t>
    </r>
    <r>
      <rPr>
        <b/>
        <sz val="14"/>
        <color rgb="FFFF0000"/>
        <rFont val="Arial"/>
        <family val="2"/>
      </rPr>
      <t xml:space="preserve"> ?</t>
    </r>
  </si>
  <si>
    <r>
      <t xml:space="preserve">Q21 - </t>
    </r>
    <r>
      <rPr>
        <b/>
        <sz val="14"/>
        <color rgb="FFFF0000"/>
        <rFont val="Arial"/>
        <family val="2"/>
      </rPr>
      <t>Avez-vous</t>
    </r>
    <r>
      <rPr>
        <b/>
        <sz val="14"/>
        <color theme="1"/>
        <rFont val="Arial"/>
        <family val="2"/>
      </rPr>
      <t xml:space="preserve"> eu des calculs urinaires ou biliaires, </t>
    </r>
    <r>
      <rPr>
        <b/>
        <sz val="14"/>
        <color rgb="FFFF0000"/>
        <rFont val="Arial"/>
        <family val="2"/>
      </rPr>
      <t>ou</t>
    </r>
    <r>
      <rPr>
        <b/>
        <sz val="14"/>
        <color theme="1"/>
        <rFont val="Arial"/>
        <family val="2"/>
      </rPr>
      <t xml:space="preserve"> une maladie cardiaque</t>
    </r>
    <r>
      <rPr>
        <b/>
        <sz val="14"/>
        <color rgb="FFFF0000"/>
        <rFont val="Arial"/>
        <family val="2"/>
      </rPr>
      <t>, v</t>
    </r>
    <r>
      <rPr>
        <b/>
        <sz val="14"/>
        <color theme="1"/>
        <rFont val="Arial"/>
        <family val="2"/>
      </rPr>
      <t>asculaire, pulmonaire ou neurologique</t>
    </r>
    <r>
      <rPr>
        <b/>
        <sz val="14"/>
        <color rgb="FFFF0000"/>
        <rFont val="Arial"/>
        <family val="2"/>
      </rPr>
      <t xml:space="preserve"> ?</t>
    </r>
  </si>
  <si>
    <r>
      <t xml:space="preserve">Q22 - </t>
    </r>
    <r>
      <rPr>
        <b/>
        <sz val="14"/>
        <color rgb="FFFF0000"/>
        <rFont val="Arial"/>
        <family val="2"/>
      </rPr>
      <t>Avez-vous</t>
    </r>
    <r>
      <rPr>
        <b/>
        <sz val="14"/>
        <color theme="1"/>
        <rFont val="Arial"/>
        <family val="2"/>
      </rPr>
      <t xml:space="preserve"> eu un anévrysme ou une pathologie artérielle des membres inférieurs</t>
    </r>
    <r>
      <rPr>
        <b/>
        <sz val="14"/>
        <color rgb="FFFF0000"/>
        <rFont val="Arial"/>
        <family val="2"/>
      </rPr>
      <t xml:space="preserve"> ?</t>
    </r>
  </si>
  <si>
    <r>
      <t xml:space="preserve">Q23 - </t>
    </r>
    <r>
      <rPr>
        <b/>
        <sz val="14"/>
        <color rgb="FFFF0000"/>
        <rFont val="Arial"/>
        <family val="2"/>
      </rPr>
      <t>Avez-vous</t>
    </r>
    <r>
      <rPr>
        <b/>
        <sz val="14"/>
        <color theme="1"/>
        <rFont val="Arial"/>
        <family val="2"/>
      </rPr>
      <t xml:space="preserve"> eu un des calculs de la vésicule biliaire</t>
    </r>
    <r>
      <rPr>
        <b/>
        <sz val="14"/>
        <color rgb="FFFF0000"/>
        <rFont val="Arial"/>
        <family val="2"/>
      </rPr>
      <t xml:space="preserve"> ou subi une cholécystectomie ?</t>
    </r>
  </si>
  <si>
    <r>
      <t xml:space="preserve">Q24 - </t>
    </r>
    <r>
      <rPr>
        <b/>
        <sz val="14"/>
        <color rgb="FFFF0000"/>
        <rFont val="Arial"/>
        <family val="2"/>
      </rPr>
      <t>Avez-vous</t>
    </r>
    <r>
      <rPr>
        <b/>
        <sz val="14"/>
        <color theme="1"/>
        <rFont val="Arial"/>
        <family val="2"/>
      </rPr>
      <t xml:space="preserve"> eu un infarctus cardiaque ou </t>
    </r>
    <r>
      <rPr>
        <b/>
        <sz val="14"/>
        <color rgb="FFFF0000"/>
        <rFont val="Arial"/>
        <family val="2"/>
      </rPr>
      <t xml:space="preserve">un </t>
    </r>
    <r>
      <rPr>
        <b/>
        <sz val="14"/>
        <color theme="1"/>
        <rFont val="Arial"/>
        <family val="2"/>
      </rPr>
      <t xml:space="preserve">accident vasculaire cérébral </t>
    </r>
    <r>
      <rPr>
        <b/>
        <sz val="14"/>
        <color rgb="FFFF0000"/>
        <rFont val="Arial"/>
        <family val="2"/>
      </rPr>
      <t>?</t>
    </r>
  </si>
  <si>
    <r>
      <t xml:space="preserve">Q25 - </t>
    </r>
    <r>
      <rPr>
        <b/>
        <sz val="14"/>
        <color rgb="FFFF0000"/>
        <rFont val="Arial"/>
        <family val="2"/>
      </rPr>
      <t>Avez-vous</t>
    </r>
    <r>
      <rPr>
        <b/>
        <sz val="14"/>
        <color theme="1"/>
        <rFont val="Arial"/>
        <family val="2"/>
      </rPr>
      <t xml:space="preserve"> eu des calculs urinaires ou </t>
    </r>
    <r>
      <rPr>
        <b/>
        <sz val="14"/>
        <color rgb="FFFF0000"/>
        <rFont val="Arial"/>
        <family val="2"/>
      </rPr>
      <t>une</t>
    </r>
    <r>
      <rPr>
        <b/>
        <sz val="14"/>
        <color theme="1"/>
        <rFont val="Arial"/>
        <family val="2"/>
      </rPr>
      <t xml:space="preserve"> colique néphrétique </t>
    </r>
    <r>
      <rPr>
        <b/>
        <sz val="14"/>
        <color rgb="FFFF0000"/>
        <rFont val="Arial"/>
        <family val="2"/>
      </rPr>
      <t>?</t>
    </r>
  </si>
  <si>
    <r>
      <t xml:space="preserve">Q26 - </t>
    </r>
    <r>
      <rPr>
        <b/>
        <sz val="14"/>
        <color rgb="FFFF0000"/>
        <rFont val="Arial"/>
        <family val="2"/>
      </rPr>
      <t>Avez-vous</t>
    </r>
    <r>
      <rPr>
        <b/>
        <sz val="14"/>
        <color theme="1"/>
        <rFont val="Arial"/>
        <family val="2"/>
      </rPr>
      <t xml:space="preserve"> eu des phlébites ou </t>
    </r>
    <r>
      <rPr>
        <b/>
        <sz val="14"/>
        <color rgb="FFFF0000"/>
        <rFont val="Arial"/>
        <family val="2"/>
      </rPr>
      <t>une</t>
    </r>
    <r>
      <rPr>
        <b/>
        <sz val="14"/>
        <color theme="1"/>
        <rFont val="Arial"/>
        <family val="2"/>
      </rPr>
      <t xml:space="preserve"> embolie pulmonaire </t>
    </r>
    <r>
      <rPr>
        <b/>
        <sz val="14"/>
        <color rgb="FFFF0000"/>
        <rFont val="Arial"/>
        <family val="2"/>
      </rPr>
      <t>?</t>
    </r>
  </si>
  <si>
    <r>
      <t xml:space="preserve">Q27 - </t>
    </r>
    <r>
      <rPr>
        <b/>
        <sz val="14"/>
        <color rgb="FFFF0000"/>
        <rFont val="Arial"/>
        <family val="2"/>
      </rPr>
      <t>Avez-vous</t>
    </r>
    <r>
      <rPr>
        <b/>
        <sz val="14"/>
        <color theme="1"/>
        <rFont val="Arial"/>
        <family val="2"/>
      </rPr>
      <t xml:space="preserve"> eu de l'asthme ou des allergies respiratoires </t>
    </r>
    <r>
      <rPr>
        <b/>
        <sz val="14"/>
        <color rgb="FFFF0000"/>
        <rFont val="Arial"/>
        <family val="2"/>
      </rPr>
      <t>?</t>
    </r>
  </si>
  <si>
    <r>
      <t xml:space="preserve">Q30 - </t>
    </r>
    <r>
      <rPr>
        <b/>
        <sz val="14"/>
        <color rgb="FFFF0000"/>
        <rFont val="Arial"/>
        <family val="2"/>
      </rPr>
      <t>Avez-vous</t>
    </r>
    <r>
      <rPr>
        <b/>
        <sz val="14"/>
        <color theme="1"/>
        <rFont val="Arial"/>
        <family val="2"/>
      </rPr>
      <t xml:space="preserve"> des varices des membres inférieurs</t>
    </r>
    <r>
      <rPr>
        <b/>
        <sz val="14"/>
        <color rgb="FFFF0000"/>
        <rFont val="Arial"/>
        <family val="2"/>
      </rPr>
      <t xml:space="preserve"> ?</t>
    </r>
  </si>
  <si>
    <r>
      <t xml:space="preserve">Q36 - </t>
    </r>
    <r>
      <rPr>
        <b/>
        <sz val="14"/>
        <color rgb="FFFF0000"/>
        <rFont val="Arial"/>
        <family val="2"/>
      </rPr>
      <t>Au cours des</t>
    </r>
    <r>
      <rPr>
        <b/>
        <sz val="14"/>
        <color theme="1"/>
        <rFont val="Arial"/>
        <family val="2"/>
      </rPr>
      <t xml:space="preserve"> 2 derniéres années</t>
    </r>
    <r>
      <rPr>
        <b/>
        <sz val="14"/>
        <color rgb="FFFF0000"/>
        <rFont val="Arial"/>
        <family val="2"/>
      </rPr>
      <t>, avez-vous</t>
    </r>
    <r>
      <rPr>
        <b/>
        <sz val="14"/>
        <color theme="1"/>
        <rFont val="Arial"/>
        <family val="2"/>
      </rPr>
      <t xml:space="preserve"> réalisé un ou plusieurs des examens </t>
    </r>
    <r>
      <rPr>
        <b/>
        <sz val="14"/>
        <color rgb="FFFF0000"/>
        <rFont val="Arial"/>
        <family val="2"/>
      </rPr>
      <t>suivants :</t>
    </r>
    <r>
      <rPr>
        <b/>
        <sz val="14"/>
        <color theme="1"/>
        <rFont val="Arial"/>
        <family val="2"/>
      </rPr>
      <t xml:space="preserve"> </t>
    </r>
    <r>
      <rPr>
        <b/>
        <sz val="14"/>
        <color rgb="FFFF0000"/>
        <rFont val="Arial"/>
        <family val="2"/>
      </rPr>
      <t>scanner</t>
    </r>
    <r>
      <rPr>
        <b/>
        <sz val="14"/>
        <color theme="1"/>
        <rFont val="Arial"/>
        <family val="2"/>
      </rPr>
      <t xml:space="preserve"> ou radiographie du thorax; </t>
    </r>
    <r>
      <rPr>
        <b/>
        <sz val="14"/>
        <color rgb="FFFF0000"/>
        <rFont val="Arial"/>
        <family val="2"/>
      </rPr>
      <t>scanner,</t>
    </r>
    <r>
      <rPr>
        <b/>
        <sz val="14"/>
        <color theme="1"/>
        <rFont val="Arial"/>
        <family val="2"/>
      </rPr>
      <t xml:space="preserve"> IRM ou échographie de l'abdomen; IRM de la prostate ou de l'utéru</t>
    </r>
    <r>
      <rPr>
        <b/>
        <sz val="14"/>
        <color rgb="FFFF0000"/>
        <rFont val="Arial"/>
        <family val="2"/>
      </rPr>
      <t xml:space="preserve">s ; </t>
    </r>
    <r>
      <rPr>
        <b/>
        <sz val="14"/>
        <color theme="1"/>
        <rFont val="Arial"/>
        <family val="2"/>
      </rPr>
      <t xml:space="preserve"> échographie thyro</t>
    </r>
    <r>
      <rPr>
        <b/>
        <sz val="14"/>
        <color rgb="FFFF0000"/>
        <rFont val="Arial"/>
        <family val="2"/>
      </rPr>
      <t>ï</t>
    </r>
    <r>
      <rPr>
        <b/>
        <sz val="14"/>
        <color theme="1"/>
        <rFont val="Arial"/>
        <family val="2"/>
      </rPr>
      <t>dien</t>
    </r>
    <r>
      <rPr>
        <b/>
        <sz val="14"/>
        <color rgb="FFFF0000"/>
        <rFont val="Arial"/>
        <family val="2"/>
      </rPr>
      <t xml:space="preserve">ne ; </t>
    </r>
    <r>
      <rPr>
        <b/>
        <sz val="14"/>
        <color theme="1"/>
        <rFont val="Arial"/>
        <family val="2"/>
      </rPr>
      <t>échographie pelvienn</t>
    </r>
    <r>
      <rPr>
        <b/>
        <sz val="14"/>
        <color rgb="FFFF0000"/>
        <rFont val="Arial"/>
        <family val="2"/>
      </rPr>
      <t>e ?</t>
    </r>
  </si>
  <si>
    <r>
      <t xml:space="preserve">Q37 - </t>
    </r>
    <r>
      <rPr>
        <b/>
        <sz val="14"/>
        <color rgb="FFFF0000"/>
        <rFont val="Arial"/>
        <family val="2"/>
      </rPr>
      <t>Au cours des 2 derniéres années, avez-vous réalisé un scanner du thorax ou une radiographie pulmonaire ?</t>
    </r>
  </si>
  <si>
    <r>
      <t xml:space="preserve">Q38 - Au cours des 2 derniéres années, </t>
    </r>
    <r>
      <rPr>
        <b/>
        <sz val="14"/>
        <color rgb="FFFF0000"/>
        <rFont val="Arial"/>
        <family val="2"/>
      </rPr>
      <t>avez-vous réalisé une IRM de la prostate ?</t>
    </r>
  </si>
  <si>
    <r>
      <t xml:space="preserve">Q42 - Au cours des 2 derniéres années, </t>
    </r>
    <r>
      <rPr>
        <b/>
        <sz val="14"/>
        <color rgb="FFFF0000"/>
        <rFont val="Arial"/>
        <family val="2"/>
      </rPr>
      <t>avez-vous réalisé un dépistage du cancer du sein par mammographie</t>
    </r>
    <r>
      <rPr>
        <b/>
        <sz val="14"/>
        <color theme="1"/>
        <rFont val="Arial"/>
        <family val="2"/>
      </rPr>
      <t xml:space="preserve"> </t>
    </r>
    <r>
      <rPr>
        <b/>
        <sz val="14"/>
        <color rgb="FFFF0000"/>
        <rFont val="Arial"/>
        <family val="2"/>
      </rPr>
      <t>?</t>
    </r>
  </si>
  <si>
    <t>Q42bis - Au cours des 2 derniéres années, avez-vous réalisé un dépistage du cancer du col utérin ou êtes-vous vaccinée contre le HPV ?</t>
  </si>
  <si>
    <t xml:space="preserve">Q43 - Au cours des 2 derniéres années, avez-vous réalisé une épreuve d'effort ou un scanner coronaire ? </t>
  </si>
  <si>
    <r>
      <t xml:space="preserve">Q44 - </t>
    </r>
    <r>
      <rPr>
        <b/>
        <sz val="14"/>
        <color rgb="FFFF0000"/>
        <rFont val="Arial"/>
        <family val="2"/>
      </rPr>
      <t>Au cours des 2 derniéres années, avez-vous</t>
    </r>
    <r>
      <rPr>
        <b/>
        <sz val="14"/>
        <color theme="1"/>
        <rFont val="Arial"/>
        <family val="2"/>
      </rPr>
      <t xml:space="preserve"> un dépistage du cancer du colon par coloscopie ou recherche de sang dans les selles</t>
    </r>
    <r>
      <rPr>
        <b/>
        <sz val="14"/>
        <color rgb="FFFF0000"/>
        <rFont val="Arial"/>
        <family val="2"/>
      </rPr>
      <t xml:space="preserve"> ?</t>
    </r>
  </si>
  <si>
    <r>
      <t>Q45 - Quelle est votre taille (cm)</t>
    </r>
    <r>
      <rPr>
        <b/>
        <sz val="14"/>
        <color rgb="FFFF0000"/>
        <rFont val="Arial"/>
        <family val="2"/>
      </rPr>
      <t xml:space="preserve"> ?</t>
    </r>
  </si>
  <si>
    <r>
      <t xml:space="preserve">Q46 - Quel est votre poids (kg) </t>
    </r>
    <r>
      <rPr>
        <b/>
        <sz val="14"/>
        <color rgb="FFFF0000"/>
        <rFont val="Arial"/>
        <family val="2"/>
      </rPr>
      <t>?</t>
    </r>
  </si>
  <si>
    <r>
      <t>Q48 - Quel est votre tour de taille (cm)</t>
    </r>
    <r>
      <rPr>
        <b/>
        <sz val="14"/>
        <color rgb="FFFF0000"/>
        <rFont val="Arial"/>
        <family val="2"/>
      </rPr>
      <t xml:space="preserve"> ?</t>
    </r>
  </si>
  <si>
    <r>
      <t xml:space="preserve">Q49 - Quelle est votre pression artérielle systolique (mmHg) </t>
    </r>
    <r>
      <rPr>
        <b/>
        <sz val="14"/>
        <color rgb="FFFF0000"/>
        <rFont val="Arial"/>
        <family val="2"/>
      </rPr>
      <t>au repos en position couché</t>
    </r>
    <r>
      <rPr>
        <b/>
        <sz val="14"/>
        <color theme="1"/>
        <rFont val="Arial"/>
        <family val="2"/>
      </rPr>
      <t xml:space="preserve"> </t>
    </r>
    <r>
      <rPr>
        <b/>
        <sz val="14"/>
        <color rgb="FFFF0000"/>
        <rFont val="Arial"/>
        <family val="2"/>
      </rPr>
      <t>?</t>
    </r>
  </si>
  <si>
    <r>
      <t xml:space="preserve">Q50 - Quelle est votre pression artérielle diastolique (mmHg) </t>
    </r>
    <r>
      <rPr>
        <b/>
        <sz val="14"/>
        <color rgb="FFFF0000"/>
        <rFont val="Arial"/>
        <family val="2"/>
      </rPr>
      <t>au repos en position couché</t>
    </r>
    <r>
      <rPr>
        <b/>
        <sz val="14"/>
        <color theme="1"/>
        <rFont val="Arial"/>
        <family val="2"/>
      </rPr>
      <t xml:space="preserve"> </t>
    </r>
    <r>
      <rPr>
        <b/>
        <sz val="14"/>
        <color rgb="FFFF0000"/>
        <rFont val="Arial"/>
        <family val="2"/>
      </rPr>
      <t>?</t>
    </r>
  </si>
  <si>
    <r>
      <t xml:space="preserve">Q51 - </t>
    </r>
    <r>
      <rPr>
        <b/>
        <sz val="14"/>
        <color rgb="FFFF0000"/>
        <rFont val="Arial"/>
        <family val="2"/>
      </rPr>
      <t>Etes-vous</t>
    </r>
    <r>
      <rPr>
        <b/>
        <sz val="14"/>
        <color theme="1"/>
        <rFont val="Arial"/>
        <family val="2"/>
      </rPr>
      <t xml:space="preserve"> fumeur de cigarettes, cigares</t>
    </r>
    <r>
      <rPr>
        <b/>
        <sz val="14"/>
        <color rgb="FFFF0000"/>
        <rFont val="Arial"/>
        <family val="2"/>
      </rPr>
      <t xml:space="preserve"> ou de pipe</t>
    </r>
    <r>
      <rPr>
        <b/>
        <sz val="14"/>
        <color theme="1"/>
        <rFont val="Arial"/>
        <family val="2"/>
      </rPr>
      <t xml:space="preserve"> </t>
    </r>
    <r>
      <rPr>
        <b/>
        <sz val="14"/>
        <color rgb="FFFF0000"/>
        <rFont val="Arial"/>
        <family val="2"/>
      </rPr>
      <t>?</t>
    </r>
  </si>
  <si>
    <r>
      <t>Q52 - Consomme</t>
    </r>
    <r>
      <rPr>
        <b/>
        <sz val="14"/>
        <color rgb="FFFF0000"/>
        <rFont val="Arial"/>
        <family val="2"/>
      </rPr>
      <t>z-v</t>
    </r>
    <r>
      <rPr>
        <b/>
        <sz val="14"/>
        <color theme="1"/>
        <rFont val="Arial"/>
        <family val="2"/>
      </rPr>
      <t xml:space="preserve">ous régulièrement plus </t>
    </r>
    <r>
      <rPr>
        <b/>
        <sz val="14"/>
        <color rgb="FFFF0000"/>
        <rFont val="Arial"/>
        <family val="2"/>
      </rPr>
      <t>d'un demi verre</t>
    </r>
    <r>
      <rPr>
        <b/>
        <sz val="14"/>
        <color theme="1"/>
        <rFont val="Arial"/>
        <family val="2"/>
      </rPr>
      <t xml:space="preserve"> de vin ou plus de deux bières par </t>
    </r>
    <r>
      <rPr>
        <b/>
        <sz val="14"/>
        <color rgb="FFFF0000"/>
        <rFont val="Arial"/>
        <family val="2"/>
      </rPr>
      <t>jour ?</t>
    </r>
  </si>
  <si>
    <r>
      <t>Q54 - Pratique</t>
    </r>
    <r>
      <rPr>
        <b/>
        <sz val="14"/>
        <color rgb="FFFF0000"/>
        <rFont val="Arial"/>
        <family val="2"/>
      </rPr>
      <t>z-v</t>
    </r>
    <r>
      <rPr>
        <b/>
        <sz val="14"/>
        <color theme="1"/>
        <rFont val="Arial"/>
        <family val="2"/>
      </rPr>
      <t>ous une activité sportive supérieur à 30 minutes plus de 2 fois par semaine ou marchez vous en moyenne plus de 8000 pas par jou</t>
    </r>
    <r>
      <rPr>
        <b/>
        <sz val="14"/>
        <rFont val="Arial"/>
        <family val="2"/>
      </rPr>
      <t xml:space="preserve">r </t>
    </r>
    <r>
      <rPr>
        <b/>
        <sz val="14"/>
        <color theme="1"/>
        <rFont val="Arial"/>
        <family val="2"/>
      </rPr>
      <t>?</t>
    </r>
  </si>
  <si>
    <r>
      <t>Q55 - Consomme</t>
    </r>
    <r>
      <rPr>
        <b/>
        <sz val="14"/>
        <color rgb="FFFF0000"/>
        <rFont val="Arial"/>
        <family val="2"/>
      </rPr>
      <t>z-v</t>
    </r>
    <r>
      <rPr>
        <b/>
        <sz val="14"/>
        <color theme="1"/>
        <rFont val="Arial"/>
        <family val="2"/>
      </rPr>
      <t>ous régulièrement au moins 5 portions de fruits ou de légumes par jou</t>
    </r>
    <r>
      <rPr>
        <b/>
        <sz val="14"/>
        <color rgb="FFFF0000"/>
        <rFont val="Arial"/>
        <family val="2"/>
      </rPr>
      <t>r ?</t>
    </r>
    <r>
      <rPr>
        <b/>
        <sz val="14"/>
        <color theme="1"/>
        <rFont val="Arial"/>
        <family val="2"/>
      </rPr>
      <t xml:space="preserve"> </t>
    </r>
    <r>
      <rPr>
        <b/>
        <sz val="14"/>
        <color rgb="FFFF0000"/>
        <rFont val="Arial"/>
        <family val="2"/>
      </rPr>
      <t>(ex :</t>
    </r>
    <r>
      <rPr>
        <b/>
        <sz val="14"/>
        <color theme="1"/>
        <rFont val="Arial"/>
        <family val="2"/>
      </rPr>
      <t xml:space="preserve"> 5 portions = 1 tomate, 1 poignée de haricots verts, 1 tasse de soupe, 2 abricots, 5 fraise</t>
    </r>
    <r>
      <rPr>
        <b/>
        <sz val="14"/>
        <color rgb="FFFF0000"/>
        <rFont val="Arial"/>
        <family val="2"/>
      </rPr>
      <t xml:space="preserve">s) </t>
    </r>
  </si>
  <si>
    <r>
      <t>Q57 - Avez-vous un traitement (médicament) contre le diabè</t>
    </r>
    <r>
      <rPr>
        <b/>
        <sz val="14"/>
        <rFont val="Arial"/>
        <family val="2"/>
      </rPr>
      <t>te</t>
    </r>
    <r>
      <rPr>
        <b/>
        <sz val="14"/>
        <color theme="1"/>
        <rFont val="Arial"/>
        <family val="2"/>
      </rPr>
      <t xml:space="preserve"> ?</t>
    </r>
  </si>
  <si>
    <r>
      <t>Q58 - Avez-vous un traitement (médicament) pour réduire votre taux de cholestér</t>
    </r>
    <r>
      <rPr>
        <b/>
        <sz val="14"/>
        <rFont val="Arial"/>
        <family val="2"/>
      </rPr>
      <t>ol</t>
    </r>
    <r>
      <rPr>
        <b/>
        <sz val="14"/>
        <color theme="1"/>
        <rFont val="Arial"/>
        <family val="2"/>
      </rPr>
      <t xml:space="preserve"> ?</t>
    </r>
  </si>
  <si>
    <t>Q60 - Avez-vous un traitement pour réduire votre tension artérielle ?</t>
  </si>
  <si>
    <r>
      <t xml:space="preserve">Q61 - Avez-vous un traitement pour améliorer les érections (IPDE5) </t>
    </r>
    <r>
      <rPr>
        <b/>
        <sz val="14"/>
        <color rgb="FFFF0000"/>
        <rFont val="Arial"/>
        <family val="2"/>
      </rPr>
      <t>?</t>
    </r>
  </si>
  <si>
    <r>
      <t>Q59 - Avez-vous un traitement pour prévenir les caillots sanguins (aspirine, anticoagulants..</t>
    </r>
    <r>
      <rPr>
        <b/>
        <sz val="14"/>
        <rFont val="Arial"/>
        <family val="2"/>
      </rPr>
      <t>.)</t>
    </r>
    <r>
      <rPr>
        <b/>
        <sz val="14"/>
        <color theme="1"/>
        <rFont val="Arial"/>
        <family val="2"/>
      </rPr>
      <t xml:space="preserve"> </t>
    </r>
    <r>
      <rPr>
        <b/>
        <sz val="14"/>
        <color rgb="FFFF0000"/>
        <rFont val="Arial"/>
        <family val="2"/>
      </rPr>
      <t>?</t>
    </r>
  </si>
  <si>
    <r>
      <t xml:space="preserve">Q102-Combien de fréres et sœurs de plus de 35 ans avez-vous </t>
    </r>
    <r>
      <rPr>
        <b/>
        <sz val="14"/>
        <color rgb="FFFF0000"/>
        <rFont val="Arial"/>
        <family val="2"/>
      </rPr>
      <t>?</t>
    </r>
  </si>
  <si>
    <r>
      <t xml:space="preserve">Quel est votre volume de prostate mesuré en échographie ou IRM (cc ou ml) </t>
    </r>
    <r>
      <rPr>
        <b/>
        <sz val="14"/>
        <color rgb="FFFF0000"/>
        <rFont val="Arial"/>
        <family val="2"/>
      </rPr>
      <t>?</t>
    </r>
  </si>
  <si>
    <r>
      <t xml:space="preserve"> Q131-Si vous deviez passer le reste de votre vie avec votre état émotionnel ou nerveux tel qu'il est actuellement, que ressentiriez-vous à ce sujet </t>
    </r>
    <r>
      <rPr>
        <b/>
        <sz val="14"/>
        <color rgb="FFFF0000"/>
        <rFont val="Arial"/>
        <family val="2"/>
      </rPr>
      <t>?</t>
    </r>
  </si>
  <si>
    <r>
      <t xml:space="preserve"> Q130-Si vous deviez passer le reste de votre vie avec votre état ostéo-articulaire tel qu'il est actuellement, que ressentiriez-vous à ce sujet </t>
    </r>
    <r>
      <rPr>
        <b/>
        <sz val="14"/>
        <color rgb="FFFF0000"/>
        <rFont val="Arial"/>
        <family val="2"/>
      </rPr>
      <t>?</t>
    </r>
  </si>
  <si>
    <r>
      <t xml:space="preserve"> Q129-Si vous deviez passer le reste de votre vie avec votre état digestif tel qu'il est actuellement, que ressentiriez-vous à ce sujet</t>
    </r>
    <r>
      <rPr>
        <b/>
        <sz val="14"/>
        <color rgb="FFFF0000"/>
        <rFont val="Arial"/>
        <family val="2"/>
      </rPr>
      <t xml:space="preserve"> ?</t>
    </r>
  </si>
  <si>
    <r>
      <t>Q-128 Si vous deviez passer le reste de votre vie avec votre état sexuel tel qu'il est actuellement, que ressentiriez-vous à ce suje</t>
    </r>
    <r>
      <rPr>
        <b/>
        <sz val="14"/>
        <color rgb="FFFF0000"/>
        <rFont val="Arial"/>
        <family val="2"/>
      </rPr>
      <t>t ?</t>
    </r>
  </si>
  <si>
    <r>
      <t>Q62 - Prene</t>
    </r>
    <r>
      <rPr>
        <b/>
        <sz val="14"/>
        <color rgb="FFFF0000"/>
        <rFont val="Arial"/>
        <family val="2"/>
      </rPr>
      <t>z-v</t>
    </r>
    <r>
      <rPr>
        <b/>
        <sz val="14"/>
        <color theme="1"/>
        <rFont val="Arial"/>
        <family val="2"/>
      </rPr>
      <t>ous un des médicaments suivant</t>
    </r>
    <r>
      <rPr>
        <b/>
        <sz val="14"/>
        <color rgb="FFFF0000"/>
        <rFont val="Arial"/>
        <family val="2"/>
      </rPr>
      <t>s :</t>
    </r>
    <r>
      <rPr>
        <b/>
        <sz val="14"/>
        <color theme="1"/>
        <rFont val="Arial"/>
        <family val="2"/>
      </rPr>
      <t xml:space="preserve"> Dutasteride ou Finasteride (5ARI) </t>
    </r>
    <r>
      <rPr>
        <b/>
        <sz val="14"/>
        <color rgb="FFFF0000"/>
        <rFont val="Arial"/>
        <family val="2"/>
      </rPr>
      <t>?</t>
    </r>
  </si>
  <si>
    <r>
      <t xml:space="preserve">Q63 - Avez-vous </t>
    </r>
    <r>
      <rPr>
        <b/>
        <sz val="14"/>
        <color rgb="FFFF0000"/>
        <rFont val="Arial"/>
        <family val="2"/>
      </rPr>
      <t>suivi</t>
    </r>
    <r>
      <rPr>
        <b/>
        <sz val="14"/>
        <color theme="1"/>
        <rFont val="Arial"/>
        <family val="2"/>
      </rPr>
      <t xml:space="preserve"> un traitement par corti</t>
    </r>
    <r>
      <rPr>
        <b/>
        <sz val="14"/>
        <color rgb="FFFF0000"/>
        <rFont val="Arial"/>
        <family val="2"/>
      </rPr>
      <t>coï</t>
    </r>
    <r>
      <rPr>
        <b/>
        <sz val="14"/>
        <color theme="1"/>
        <rFont val="Arial"/>
        <family val="2"/>
      </rPr>
      <t xml:space="preserve">des </t>
    </r>
    <r>
      <rPr>
        <b/>
        <sz val="14"/>
        <color rgb="FFFF0000"/>
        <rFont val="Arial"/>
        <family val="2"/>
      </rPr>
      <t>pendant</t>
    </r>
    <r>
      <rPr>
        <b/>
        <sz val="14"/>
        <color theme="1"/>
        <rFont val="Arial"/>
        <family val="2"/>
      </rPr>
      <t xml:space="preserve"> plus de 3 mois </t>
    </r>
    <r>
      <rPr>
        <b/>
        <sz val="14"/>
        <color rgb="FFFF0000"/>
        <rFont val="Arial"/>
        <family val="2"/>
      </rPr>
      <t>?</t>
    </r>
  </si>
  <si>
    <r>
      <t>Q66 - Concernant votre sensibilité</t>
    </r>
    <r>
      <rPr>
        <b/>
        <sz val="14"/>
        <color rgb="FFFF0000"/>
        <rFont val="Arial"/>
        <family val="2"/>
      </rPr>
      <t xml:space="preserve"> cutanée : </t>
    </r>
  </si>
  <si>
    <r>
      <rPr>
        <b/>
        <sz val="14"/>
        <color rgb="FFFF0000"/>
        <rFont val="Arial"/>
        <family val="2"/>
      </rPr>
      <t>Avez-vous vécu plus d’un an dans un pays très ensoleillé</t>
    </r>
    <r>
      <rPr>
        <b/>
        <sz val="14"/>
        <color theme="1"/>
        <rFont val="Arial"/>
        <family val="2"/>
      </rPr>
      <t xml:space="preserve"> (Afrique, Moyen-Orient, Territoires français d’outre-mer, Sud des États-Unis, Australie, </t>
    </r>
    <r>
      <rPr>
        <b/>
        <sz val="14"/>
        <color rgb="FFFF0000"/>
        <rFont val="Arial"/>
        <family val="2"/>
      </rPr>
      <t>etc.</t>
    </r>
    <r>
      <rPr>
        <b/>
        <sz val="14"/>
        <color theme="1"/>
        <rFont val="Arial"/>
        <family val="2"/>
      </rPr>
      <t xml:space="preserve">) </t>
    </r>
    <r>
      <rPr>
        <b/>
        <sz val="14"/>
        <color rgb="FFFF0000"/>
        <rFont val="Arial"/>
        <family val="2"/>
      </rPr>
      <t>?</t>
    </r>
  </si>
  <si>
    <r>
      <rPr>
        <b/>
        <sz val="14"/>
        <color rgb="FFFF0000"/>
        <rFont val="Arial"/>
        <family val="2"/>
      </rPr>
      <t>Avez-vous</t>
    </r>
    <r>
      <rPr>
        <b/>
        <sz val="14"/>
        <color theme="1"/>
        <rFont val="Arial"/>
        <family val="2"/>
      </rPr>
      <t xml:space="preserve"> plus de 20 grains de beauté, au total, sur vos 2 membres supérieurs</t>
    </r>
    <r>
      <rPr>
        <b/>
        <sz val="14"/>
        <color rgb="FFFF0000"/>
        <rFont val="Arial"/>
        <family val="2"/>
      </rPr>
      <t xml:space="preserve"> ?</t>
    </r>
  </si>
  <si>
    <r>
      <rPr>
        <b/>
        <sz val="14"/>
        <color rgb="FFFF0000"/>
        <rFont val="Arial"/>
        <family val="2"/>
      </rPr>
      <t>Avez-vous déjà eu des</t>
    </r>
    <r>
      <rPr>
        <b/>
        <sz val="14"/>
        <color theme="1"/>
        <rFont val="Arial"/>
        <family val="2"/>
      </rPr>
      <t xml:space="preserve"> coups de soleil graves très douloureux avec cloques</t>
    </r>
    <r>
      <rPr>
        <b/>
        <sz val="14"/>
        <color rgb="FFFF0000"/>
        <rFont val="Arial"/>
        <family val="2"/>
      </rPr>
      <t xml:space="preserve"> ?</t>
    </r>
  </si>
  <si>
    <r>
      <rPr>
        <b/>
        <sz val="14"/>
        <color rgb="FFFF0000"/>
        <rFont val="Arial"/>
        <family val="2"/>
      </rPr>
      <t xml:space="preserve">Avez-vous </t>
    </r>
    <r>
      <rPr>
        <b/>
        <sz val="14"/>
        <color theme="1"/>
        <rFont val="Arial"/>
        <family val="2"/>
      </rPr>
      <t xml:space="preserve">la peau très </t>
    </r>
    <r>
      <rPr>
        <b/>
        <sz val="14"/>
        <color rgb="FFFF0000"/>
        <rFont val="Arial"/>
        <family val="2"/>
      </rPr>
      <t>claire qui bronze</t>
    </r>
    <r>
      <rPr>
        <b/>
        <sz val="14"/>
        <color theme="1"/>
        <rFont val="Arial"/>
        <family val="2"/>
      </rPr>
      <t xml:space="preserve"> difficilement ou avec des taches de rousseur</t>
    </r>
    <r>
      <rPr>
        <b/>
        <sz val="14"/>
        <color rgb="FFFF0000"/>
        <rFont val="Arial"/>
        <family val="2"/>
      </rPr>
      <t xml:space="preserve"> ?</t>
    </r>
  </si>
  <si>
    <r>
      <t>Q70 - Devez-vous vous arrêter parce que vous êtes essouffl</t>
    </r>
    <r>
      <rPr>
        <b/>
        <sz val="14"/>
        <color rgb="FFFF0000"/>
        <rFont val="Arial"/>
        <family val="2"/>
      </rPr>
      <t>é(e)</t>
    </r>
    <r>
      <rPr>
        <b/>
        <sz val="14"/>
        <color theme="1"/>
        <rFont val="Arial"/>
        <family val="2"/>
      </rPr>
      <t xml:space="preserve"> lorsque vous montez 3 étages ou moin</t>
    </r>
    <r>
      <rPr>
        <b/>
        <sz val="14"/>
        <color rgb="FFFF0000"/>
        <rFont val="Arial"/>
        <family val="2"/>
      </rPr>
      <t>s ?</t>
    </r>
  </si>
  <si>
    <r>
      <t>Q79 - Durant les 4 dernières semaine</t>
    </r>
    <r>
      <rPr>
        <b/>
        <sz val="14"/>
        <color rgb="FFFF0000"/>
        <rFont val="Arial"/>
        <family val="2"/>
      </rPr>
      <t>s, avez-vous</t>
    </r>
    <r>
      <rPr>
        <b/>
        <sz val="14"/>
        <color theme="1"/>
        <rFont val="Arial"/>
        <family val="2"/>
      </rPr>
      <t xml:space="preserve"> eu des fuites urinaires au cours d’efforts physiques </t>
    </r>
    <r>
      <rPr>
        <b/>
        <sz val="14"/>
        <color rgb="FFFF0000"/>
        <rFont val="Arial"/>
        <family val="2"/>
      </rPr>
      <t>?</t>
    </r>
  </si>
  <si>
    <r>
      <t xml:space="preserve">Q81 - </t>
    </r>
    <r>
      <rPr>
        <b/>
        <sz val="14"/>
        <color rgb="FFFF0000"/>
        <rFont val="Arial"/>
        <family val="2"/>
      </rPr>
      <t>Lorsque vous avez un besoin urgent d'uriner, combien de temps en moyenne pouvez-vous vous retenir ?</t>
    </r>
  </si>
  <si>
    <r>
      <t xml:space="preserve">Q88 - </t>
    </r>
    <r>
      <rPr>
        <b/>
        <sz val="14"/>
        <color rgb="FFFF0000"/>
        <rFont val="Arial"/>
        <family val="2"/>
      </rPr>
      <t>Concernant les apnées du sommeil, veuillez indiquer si vous rencontrez les situations suivantes :</t>
    </r>
  </si>
  <si>
    <r>
      <t>Vous vous endormez fréquemment après le dîner</t>
    </r>
    <r>
      <rPr>
        <b/>
        <sz val="14"/>
        <color rgb="FFFF0000"/>
        <rFont val="Arial"/>
        <family val="2"/>
      </rPr>
      <t>.</t>
    </r>
  </si>
  <si>
    <r>
      <t>Vous avez des réveils répétés, ou un sommeil agité</t>
    </r>
    <r>
      <rPr>
        <b/>
        <sz val="14"/>
        <color rgb="FFFF0000"/>
        <rFont val="Arial"/>
        <family val="2"/>
      </rPr>
      <t>.</t>
    </r>
  </si>
  <si>
    <r>
      <t>Vous êtes sujet aux ronflements</t>
    </r>
    <r>
      <rPr>
        <b/>
        <sz val="14"/>
        <color rgb="FFFF0000"/>
        <rFont val="Arial"/>
        <family val="2"/>
      </rPr>
      <t>.</t>
    </r>
  </si>
  <si>
    <r>
      <t>Vous vous sentez fatigué</t>
    </r>
    <r>
      <rPr>
        <b/>
        <sz val="14"/>
        <color rgb="FFFF0000"/>
        <rFont val="Arial"/>
        <family val="2"/>
      </rPr>
      <t>(e)</t>
    </r>
    <r>
      <rPr>
        <b/>
        <sz val="14"/>
        <color theme="1"/>
        <rFont val="Arial"/>
        <family val="2"/>
      </rPr>
      <t xml:space="preserve"> ou sans entrain au réveil</t>
    </r>
    <r>
      <rPr>
        <b/>
        <sz val="14"/>
        <color rgb="FFFF0000"/>
        <rFont val="Arial"/>
        <family val="2"/>
      </rPr>
      <t>.</t>
    </r>
  </si>
  <si>
    <r>
      <t>Vous avez tendance à somnoler la journée dans vos activités quotidiennes</t>
    </r>
    <r>
      <rPr>
        <b/>
        <sz val="14"/>
        <color rgb="FFFF0000"/>
        <rFont val="Arial"/>
        <family val="2"/>
      </rPr>
      <t>.</t>
    </r>
  </si>
  <si>
    <r>
      <t>Vous vous endormez facilement devant la télévision ou lors d'un spectacle</t>
    </r>
    <r>
      <rPr>
        <b/>
        <sz val="14"/>
        <color rgb="FFFF0000"/>
        <rFont val="Arial"/>
        <family val="2"/>
      </rPr>
      <t>.</t>
    </r>
  </si>
  <si>
    <t xml:space="preserve">Question? </t>
  </si>
  <si>
    <r>
      <t>Q89 - Votre père</t>
    </r>
    <r>
      <rPr>
        <b/>
        <sz val="14"/>
        <color rgb="FFFF0000"/>
        <rFont val="Arial"/>
        <family val="2"/>
      </rPr>
      <t xml:space="preserve"> a-t-il</t>
    </r>
    <r>
      <rPr>
        <b/>
        <sz val="14"/>
        <color theme="1"/>
        <rFont val="Arial"/>
        <family val="2"/>
      </rPr>
      <t xml:space="preserve"> eu un cancer </t>
    </r>
    <r>
      <rPr>
        <b/>
        <sz val="14"/>
        <color rgb="FFFF0000"/>
        <rFont val="Arial"/>
        <family val="2"/>
      </rPr>
      <t>?</t>
    </r>
  </si>
  <si>
    <r>
      <t xml:space="preserve">Q97 - Votre mére </t>
    </r>
    <r>
      <rPr>
        <b/>
        <sz val="14"/>
        <color rgb="FFFF0000"/>
        <rFont val="Arial"/>
        <family val="2"/>
      </rPr>
      <t>a-t-elle</t>
    </r>
    <r>
      <rPr>
        <b/>
        <sz val="14"/>
        <color theme="1"/>
        <rFont val="Arial"/>
        <family val="2"/>
      </rPr>
      <t xml:space="preserve"> eu un cancer </t>
    </r>
    <r>
      <rPr>
        <b/>
        <sz val="14"/>
        <color rgb="FFFF0000"/>
        <rFont val="Arial"/>
        <family val="2"/>
      </rPr>
      <t>?</t>
    </r>
  </si>
  <si>
    <r>
      <t xml:space="preserve">Q93 - Votre père </t>
    </r>
    <r>
      <rPr>
        <b/>
        <sz val="14"/>
        <color rgb="FFFF0000"/>
        <rFont val="Arial"/>
        <family val="2"/>
      </rPr>
      <t>a-t-il</t>
    </r>
    <r>
      <rPr>
        <b/>
        <sz val="14"/>
        <color theme="1"/>
        <rFont val="Arial"/>
        <family val="2"/>
      </rPr>
      <t xml:space="preserve"> eu un mélanome </t>
    </r>
    <r>
      <rPr>
        <b/>
        <sz val="14"/>
        <color rgb="FFFF0000"/>
        <rFont val="Arial"/>
        <family val="2"/>
      </rPr>
      <t>?</t>
    </r>
  </si>
  <si>
    <r>
      <t xml:space="preserve">Q90 - Votre père </t>
    </r>
    <r>
      <rPr>
        <b/>
        <sz val="14"/>
        <color rgb="FFFF0000"/>
        <rFont val="Arial"/>
        <family val="2"/>
      </rPr>
      <t>a-t-il</t>
    </r>
    <r>
      <rPr>
        <b/>
        <sz val="14"/>
        <color theme="1"/>
        <rFont val="Arial"/>
        <family val="2"/>
      </rPr>
      <t xml:space="preserve"> eu un cancer de la prostate </t>
    </r>
    <r>
      <rPr>
        <b/>
        <sz val="14"/>
        <color rgb="FFFF0000"/>
        <rFont val="Arial"/>
        <family val="2"/>
      </rPr>
      <t>avant l'âge de</t>
    </r>
    <r>
      <rPr>
        <b/>
        <sz val="14"/>
        <color theme="1"/>
        <rFont val="Arial"/>
        <family val="2"/>
      </rPr>
      <t xml:space="preserve"> 70 ans </t>
    </r>
    <r>
      <rPr>
        <b/>
        <sz val="14"/>
        <color rgb="FFFF0000"/>
        <rFont val="Arial"/>
        <family val="2"/>
      </rPr>
      <t>?</t>
    </r>
  </si>
  <si>
    <r>
      <t xml:space="preserve">Q99 - Votre mére </t>
    </r>
    <r>
      <rPr>
        <b/>
        <sz val="14"/>
        <color rgb="FFFF0000"/>
        <rFont val="Arial"/>
        <family val="2"/>
      </rPr>
      <t>a-t-elle</t>
    </r>
    <r>
      <rPr>
        <b/>
        <sz val="14"/>
        <color theme="1"/>
        <rFont val="Arial"/>
        <family val="2"/>
      </rPr>
      <t xml:space="preserve"> eu un cancer du colon </t>
    </r>
    <r>
      <rPr>
        <b/>
        <sz val="14"/>
        <color rgb="FFFF0000"/>
        <rFont val="Arial"/>
        <family val="2"/>
      </rPr>
      <t>?</t>
    </r>
  </si>
  <si>
    <r>
      <t xml:space="preserve">Q101 - Votre mére </t>
    </r>
    <r>
      <rPr>
        <b/>
        <sz val="14"/>
        <color rgb="FFFF0000"/>
        <rFont val="Arial"/>
        <family val="2"/>
      </rPr>
      <t>a-t-elle</t>
    </r>
    <r>
      <rPr>
        <b/>
        <sz val="14"/>
        <color theme="1"/>
        <rFont val="Arial"/>
        <family val="2"/>
      </rPr>
      <t xml:space="preserve"> </t>
    </r>
    <r>
      <rPr>
        <b/>
        <sz val="14"/>
        <color rgb="FFFF0000"/>
        <rFont val="Arial"/>
        <family val="2"/>
      </rPr>
      <t>eu u</t>
    </r>
    <r>
      <rPr>
        <b/>
        <sz val="14"/>
        <color theme="1"/>
        <rFont val="Arial"/>
        <family val="2"/>
      </rPr>
      <t>n mélanome</t>
    </r>
    <r>
      <rPr>
        <b/>
        <sz val="14"/>
        <color rgb="FFFF0000"/>
        <rFont val="Arial"/>
        <family val="2"/>
      </rPr>
      <t xml:space="preserve"> ?</t>
    </r>
  </si>
  <si>
    <r>
      <t>Q111 - Combien de frére</t>
    </r>
    <r>
      <rPr>
        <b/>
        <sz val="14"/>
        <color rgb="FFFF0000"/>
        <rFont val="Arial"/>
        <family val="2"/>
      </rPr>
      <t>(s)</t>
    </r>
    <r>
      <rPr>
        <b/>
        <sz val="14"/>
        <color theme="1"/>
        <rFont val="Arial"/>
        <family val="2"/>
      </rPr>
      <t xml:space="preserve"> ont eu un cancer de la prostate</t>
    </r>
    <r>
      <rPr>
        <b/>
        <sz val="14"/>
        <color rgb="FFFF0000"/>
        <rFont val="Arial"/>
        <family val="2"/>
      </rPr>
      <t xml:space="preserve"> ?</t>
    </r>
  </si>
  <si>
    <r>
      <t>Q114 - Combien de soeur</t>
    </r>
    <r>
      <rPr>
        <b/>
        <sz val="14"/>
        <color rgb="FFFF0000"/>
        <rFont val="Arial"/>
        <family val="2"/>
      </rPr>
      <t>(s)</t>
    </r>
    <r>
      <rPr>
        <b/>
        <sz val="14"/>
        <color theme="1"/>
        <rFont val="Arial"/>
        <family val="2"/>
      </rPr>
      <t xml:space="preserve"> ou frére</t>
    </r>
    <r>
      <rPr>
        <b/>
        <sz val="14"/>
        <color rgb="FFFF0000"/>
        <rFont val="Arial"/>
        <family val="2"/>
      </rPr>
      <t xml:space="preserve">(s) </t>
    </r>
    <r>
      <rPr>
        <b/>
        <sz val="14"/>
        <color theme="1"/>
        <rFont val="Arial"/>
        <family val="2"/>
      </rPr>
      <t xml:space="preserve">ont eu un cancer du sein </t>
    </r>
    <r>
      <rPr>
        <b/>
        <sz val="14"/>
        <color rgb="FFFF0000"/>
        <rFont val="Arial"/>
        <family val="2"/>
      </rPr>
      <t>?</t>
    </r>
  </si>
  <si>
    <r>
      <t>Q115 - Combien de soeur</t>
    </r>
    <r>
      <rPr>
        <b/>
        <sz val="14"/>
        <color rgb="FFFF0000"/>
        <rFont val="Arial"/>
        <family val="2"/>
      </rPr>
      <t>(s)</t>
    </r>
    <r>
      <rPr>
        <b/>
        <sz val="14"/>
        <color theme="1"/>
        <rFont val="Arial"/>
        <family val="2"/>
      </rPr>
      <t xml:space="preserve"> ou frére</t>
    </r>
    <r>
      <rPr>
        <b/>
        <sz val="14"/>
        <color rgb="FFFF0000"/>
        <rFont val="Arial"/>
        <family val="2"/>
      </rPr>
      <t>(s)</t>
    </r>
    <r>
      <rPr>
        <b/>
        <sz val="14"/>
        <color theme="1"/>
        <rFont val="Arial"/>
        <family val="2"/>
      </rPr>
      <t xml:space="preserve"> ont eu un mélanome</t>
    </r>
    <r>
      <rPr>
        <b/>
        <sz val="14"/>
        <color rgb="FFFF0000"/>
        <rFont val="Arial"/>
        <family val="2"/>
      </rPr>
      <t xml:space="preserve"> ?</t>
    </r>
  </si>
  <si>
    <r>
      <t>Q115bis - Combien de soeur</t>
    </r>
    <r>
      <rPr>
        <b/>
        <sz val="14"/>
        <color rgb="FFFF0000"/>
        <rFont val="Arial"/>
        <family val="2"/>
      </rPr>
      <t>(s)</t>
    </r>
    <r>
      <rPr>
        <b/>
        <sz val="14"/>
        <color theme="1"/>
        <rFont val="Arial"/>
        <family val="2"/>
      </rPr>
      <t xml:space="preserve"> ou frére</t>
    </r>
    <r>
      <rPr>
        <b/>
        <sz val="14"/>
        <color rgb="FFFF0000"/>
        <rFont val="Arial"/>
        <family val="2"/>
      </rPr>
      <t>(s)</t>
    </r>
    <r>
      <rPr>
        <b/>
        <sz val="14"/>
        <color theme="1"/>
        <rFont val="Arial"/>
        <family val="2"/>
      </rPr>
      <t xml:space="preserve"> ont eu un cancer du colon </t>
    </r>
    <r>
      <rPr>
        <b/>
        <sz val="14"/>
        <color rgb="FFFF0000"/>
        <rFont val="Arial"/>
        <family val="2"/>
      </rPr>
      <t>?</t>
    </r>
  </si>
  <si>
    <r>
      <t xml:space="preserve">Q120 - </t>
    </r>
    <r>
      <rPr>
        <b/>
        <sz val="14"/>
        <color rgb="FFFF0000"/>
        <rFont val="Arial"/>
        <family val="2"/>
      </rPr>
      <t>Avez-vous</t>
    </r>
    <r>
      <rPr>
        <b/>
        <sz val="14"/>
        <color theme="1"/>
        <rFont val="Arial"/>
        <family val="2"/>
      </rPr>
      <t xml:space="preserve"> un parent </t>
    </r>
    <r>
      <rPr>
        <b/>
        <sz val="14"/>
        <color rgb="FFFF0000"/>
        <rFont val="Arial"/>
        <family val="2"/>
      </rPr>
      <t xml:space="preserve">(mère, père, sœur, frère) </t>
    </r>
    <r>
      <rPr>
        <b/>
        <sz val="14"/>
        <color theme="1"/>
        <rFont val="Arial"/>
        <family val="2"/>
      </rPr>
      <t>qui a eu un ou des calcul</t>
    </r>
    <r>
      <rPr>
        <b/>
        <sz val="14"/>
        <color rgb="FFFF0000"/>
        <rFont val="Arial"/>
        <family val="2"/>
      </rPr>
      <t>(s)</t>
    </r>
    <r>
      <rPr>
        <b/>
        <sz val="14"/>
        <color theme="1"/>
        <rFont val="Arial"/>
        <family val="2"/>
      </rPr>
      <t xml:space="preserve"> de la vésicule biliaire</t>
    </r>
    <r>
      <rPr>
        <b/>
        <sz val="14"/>
        <color rgb="FFFF0000"/>
        <rFont val="Arial"/>
        <family val="2"/>
      </rPr>
      <t xml:space="preserve"> ou </t>
    </r>
    <r>
      <rPr>
        <b/>
        <sz val="14"/>
        <color theme="1"/>
        <rFont val="Arial"/>
        <family val="2"/>
      </rPr>
      <t>une ablation de la vésicule bil</t>
    </r>
    <r>
      <rPr>
        <b/>
        <sz val="14"/>
        <color rgb="FFFF0000"/>
        <rFont val="Arial"/>
        <family val="2"/>
      </rPr>
      <t>iaire</t>
    </r>
    <r>
      <rPr>
        <b/>
        <sz val="14"/>
        <color theme="1"/>
        <rFont val="Arial"/>
        <family val="2"/>
      </rPr>
      <t xml:space="preserve"> </t>
    </r>
    <r>
      <rPr>
        <b/>
        <sz val="14"/>
        <color rgb="FFFF0000"/>
        <rFont val="Arial"/>
        <family val="2"/>
      </rPr>
      <t>?</t>
    </r>
  </si>
  <si>
    <r>
      <t xml:space="preserve">Q121 - </t>
    </r>
    <r>
      <rPr>
        <b/>
        <sz val="14"/>
        <color rgb="FFFF0000"/>
        <rFont val="Arial"/>
        <family val="2"/>
      </rPr>
      <t>Avez-vous</t>
    </r>
    <r>
      <rPr>
        <b/>
        <sz val="14"/>
        <color theme="1"/>
        <rFont val="Arial"/>
        <family val="2"/>
      </rPr>
      <t xml:space="preserve"> un parent </t>
    </r>
    <r>
      <rPr>
        <b/>
        <sz val="14"/>
        <color rgb="FFFF0000"/>
        <rFont val="Arial"/>
        <family val="2"/>
      </rPr>
      <t>(mère, père, sœur, frère)</t>
    </r>
    <r>
      <rPr>
        <b/>
        <sz val="14"/>
        <color theme="1"/>
        <rFont val="Arial"/>
        <family val="2"/>
      </rPr>
      <t xml:space="preserve"> qui a eu un infarctus ou un accident vasculaire avant 75 ans</t>
    </r>
    <r>
      <rPr>
        <b/>
        <sz val="14"/>
        <color rgb="FFFF0000"/>
        <rFont val="Arial"/>
        <family val="2"/>
      </rPr>
      <t xml:space="preserve"> ?</t>
    </r>
  </si>
  <si>
    <r>
      <t xml:space="preserve">Q123 - </t>
    </r>
    <r>
      <rPr>
        <b/>
        <sz val="14"/>
        <color rgb="FFFF0000"/>
        <rFont val="Arial"/>
        <family val="2"/>
      </rPr>
      <t>Avez-vous</t>
    </r>
    <r>
      <rPr>
        <b/>
        <sz val="14"/>
        <color theme="1"/>
        <rFont val="Arial"/>
        <family val="2"/>
      </rPr>
      <t xml:space="preserve"> un parent</t>
    </r>
    <r>
      <rPr>
        <b/>
        <sz val="14"/>
        <color rgb="FFFF0000"/>
        <rFont val="Arial"/>
        <family val="2"/>
      </rPr>
      <t xml:space="preserve"> (mère, père, sœur, frère)</t>
    </r>
    <r>
      <rPr>
        <b/>
        <sz val="14"/>
        <color theme="1"/>
        <rFont val="Arial"/>
        <family val="2"/>
      </rPr>
      <t xml:space="preserve"> qui a eu un ou des calcul</t>
    </r>
    <r>
      <rPr>
        <b/>
        <sz val="14"/>
        <color rgb="FFFF0000"/>
        <rFont val="Arial"/>
        <family val="2"/>
      </rPr>
      <t>(s)</t>
    </r>
    <r>
      <rPr>
        <b/>
        <sz val="14"/>
        <color theme="1"/>
        <rFont val="Arial"/>
        <family val="2"/>
      </rPr>
      <t xml:space="preserve"> urinaires </t>
    </r>
    <r>
      <rPr>
        <b/>
        <sz val="14"/>
        <color rgb="FFFF0000"/>
        <rFont val="Arial"/>
        <family val="2"/>
      </rPr>
      <t>?</t>
    </r>
  </si>
  <si>
    <r>
      <t xml:space="preserve">Q124 - </t>
    </r>
    <r>
      <rPr>
        <b/>
        <sz val="14"/>
        <color rgb="FFFF0000"/>
        <rFont val="Arial"/>
        <family val="2"/>
      </rPr>
      <t>Avez-vous</t>
    </r>
    <r>
      <rPr>
        <b/>
        <sz val="14"/>
        <color theme="1"/>
        <rFont val="Arial"/>
        <family val="2"/>
      </rPr>
      <t xml:space="preserve"> un parent </t>
    </r>
    <r>
      <rPr>
        <b/>
        <sz val="14"/>
        <color rgb="FFFF0000"/>
        <rFont val="Arial"/>
        <family val="2"/>
      </rPr>
      <t>(mère, père, sœur, frère)</t>
    </r>
    <r>
      <rPr>
        <b/>
        <sz val="14"/>
        <color theme="1"/>
        <rFont val="Arial"/>
        <family val="2"/>
      </rPr>
      <t xml:space="preserve"> qui a eu une phlébite ou </t>
    </r>
    <r>
      <rPr>
        <b/>
        <sz val="14"/>
        <color rgb="FFFF0000"/>
        <rFont val="Arial"/>
        <family val="2"/>
      </rPr>
      <t>une</t>
    </r>
    <r>
      <rPr>
        <b/>
        <sz val="14"/>
        <color theme="1"/>
        <rFont val="Arial"/>
        <family val="2"/>
      </rPr>
      <t xml:space="preserve"> embolie pulmonaire </t>
    </r>
    <r>
      <rPr>
        <b/>
        <sz val="14"/>
        <color rgb="FFFF0000"/>
        <rFont val="Arial"/>
        <family val="2"/>
      </rPr>
      <t>?</t>
    </r>
  </si>
  <si>
    <r>
      <t xml:space="preserve">Q125 - </t>
    </r>
    <r>
      <rPr>
        <b/>
        <sz val="14"/>
        <color rgb="FFFF0000"/>
        <rFont val="Arial"/>
        <family val="2"/>
      </rPr>
      <t>Avez-vous</t>
    </r>
    <r>
      <rPr>
        <b/>
        <sz val="14"/>
        <color theme="1"/>
        <rFont val="Arial"/>
        <family val="2"/>
      </rPr>
      <t xml:space="preserve"> un parent </t>
    </r>
    <r>
      <rPr>
        <b/>
        <sz val="14"/>
        <color rgb="FFFF0000"/>
        <rFont val="Arial"/>
        <family val="2"/>
      </rPr>
      <t xml:space="preserve">(mère, père, sœur, frère) </t>
    </r>
    <r>
      <rPr>
        <b/>
        <sz val="14"/>
        <color theme="1"/>
        <rFont val="Arial"/>
        <family val="2"/>
      </rPr>
      <t xml:space="preserve">qui a eu un diabète avant 70 ans </t>
    </r>
    <r>
      <rPr>
        <b/>
        <sz val="14"/>
        <color rgb="FFFF0000"/>
        <rFont val="Arial"/>
        <family val="2"/>
      </rPr>
      <t>?</t>
    </r>
  </si>
  <si>
    <r>
      <t>Q126 -</t>
    </r>
    <r>
      <rPr>
        <b/>
        <sz val="14"/>
        <color rgb="FFFF0000"/>
        <rFont val="Arial"/>
        <family val="2"/>
      </rPr>
      <t xml:space="preserve"> Avez-vous</t>
    </r>
    <r>
      <rPr>
        <b/>
        <sz val="14"/>
        <color theme="1"/>
        <rFont val="Arial"/>
        <family val="2"/>
      </rPr>
      <t xml:space="preserve"> un parent </t>
    </r>
    <r>
      <rPr>
        <b/>
        <sz val="14"/>
        <color rgb="FFFF0000"/>
        <rFont val="Arial"/>
        <family val="2"/>
      </rPr>
      <t xml:space="preserve">(mère, père, sœur, frère) </t>
    </r>
    <r>
      <rPr>
        <b/>
        <sz val="14"/>
        <color theme="1"/>
        <rFont val="Arial"/>
        <family val="2"/>
      </rPr>
      <t xml:space="preserve">qui a eu une une dyslipidémie (cholestérol ou triglycérides) </t>
    </r>
    <r>
      <rPr>
        <b/>
        <sz val="14"/>
        <color rgb="FFFF0000"/>
        <rFont val="Arial"/>
        <family val="2"/>
      </rPr>
      <t>?</t>
    </r>
  </si>
  <si>
    <r>
      <t xml:space="preserve">Q127 - </t>
    </r>
    <r>
      <rPr>
        <b/>
        <sz val="14"/>
        <color rgb="FFFF0000"/>
        <rFont val="Arial"/>
        <family val="2"/>
      </rPr>
      <t>Avez-vous</t>
    </r>
    <r>
      <rPr>
        <b/>
        <sz val="14"/>
        <color theme="1"/>
        <rFont val="Arial"/>
        <family val="2"/>
      </rPr>
      <t xml:space="preserve"> un parent </t>
    </r>
    <r>
      <rPr>
        <b/>
        <sz val="14"/>
        <color rgb="FFFF0000"/>
        <rFont val="Arial"/>
        <family val="2"/>
      </rPr>
      <t>(mère, père, sœur, frère)</t>
    </r>
    <r>
      <rPr>
        <b/>
        <sz val="14"/>
        <color theme="1"/>
        <rFont val="Arial"/>
        <family val="2"/>
      </rPr>
      <t xml:space="preserve"> qui a eu de l'asthme ou une allergie respiratoir</t>
    </r>
    <r>
      <rPr>
        <b/>
        <sz val="14"/>
        <color rgb="FFFF0000"/>
        <rFont val="Arial"/>
        <family val="2"/>
      </rPr>
      <t>e ?</t>
    </r>
  </si>
  <si>
    <r>
      <t xml:space="preserve">Q71 - Si vous deviez passer le reste de votre vie avec votre état urinaire </t>
    </r>
    <r>
      <rPr>
        <b/>
        <sz val="14"/>
        <color rgb="FFFF0000"/>
        <rFont val="Arial"/>
        <family val="2"/>
      </rPr>
      <t xml:space="preserve"> </t>
    </r>
    <r>
      <rPr>
        <b/>
        <sz val="14"/>
        <rFont val="Arial"/>
        <family val="2"/>
      </rPr>
      <t>tel qu'il est actuellement, que r</t>
    </r>
    <r>
      <rPr>
        <b/>
        <sz val="14"/>
        <color theme="1"/>
        <rFont val="Arial"/>
        <family val="2"/>
      </rPr>
      <t>essentiriez-vous à ce suje</t>
    </r>
    <r>
      <rPr>
        <b/>
        <sz val="14"/>
        <color rgb="FFFF0000"/>
        <rFont val="Arial"/>
        <family val="2"/>
      </rPr>
      <t>t ?</t>
    </r>
  </si>
  <si>
    <r>
      <t xml:space="preserve">Q17 - </t>
    </r>
    <r>
      <rPr>
        <b/>
        <sz val="14"/>
        <color rgb="FFFF0000"/>
        <rFont val="Arial"/>
        <family val="2"/>
      </rPr>
      <t>Avez-vous</t>
    </r>
    <r>
      <rPr>
        <b/>
        <sz val="14"/>
        <color theme="1"/>
        <rFont val="Arial"/>
        <family val="2"/>
      </rPr>
      <t xml:space="preserve"> une tumeur de vessie ou de l'uretere</t>
    </r>
    <r>
      <rPr>
        <b/>
        <sz val="14"/>
        <color rgb="FFFF0000"/>
        <rFont val="Arial"/>
        <family val="2"/>
      </rPr>
      <t xml:space="preserve"> ?</t>
    </r>
  </si>
  <si>
    <r>
      <t>Q4 - Quelle est votre type</t>
    </r>
    <r>
      <rPr>
        <b/>
        <sz val="14"/>
        <color rgb="FFFF0000"/>
        <rFont val="Arial"/>
        <family val="2"/>
      </rPr>
      <t xml:space="preserve"> </t>
    </r>
    <r>
      <rPr>
        <b/>
        <sz val="14"/>
        <color rgb="FF00B0F0"/>
        <rFont val="Arial"/>
        <family val="2"/>
      </rPr>
      <t>/ origine ethnique</t>
    </r>
    <r>
      <rPr>
        <b/>
        <sz val="14"/>
        <color rgb="FFFF0000"/>
        <rFont val="Arial"/>
        <family val="2"/>
      </rPr>
      <t xml:space="preserve"> ?</t>
    </r>
  </si>
  <si>
    <t xml:space="preserve">Autre option que type? </t>
  </si>
  <si>
    <t>Vision</t>
  </si>
  <si>
    <t>Audition</t>
  </si>
  <si>
    <t>Spirométrie (rapport VEMS1/CVF)</t>
  </si>
  <si>
    <t>&gt;80%</t>
  </si>
  <si>
    <t>&lt;80%</t>
  </si>
  <si>
    <t>Spirométrie (rapport VEMS1/CVF) en %</t>
  </si>
  <si>
    <t>La valeur normale est supérieure à 80 %. La spirométrie  mesure des volumes pulmonaires et des débits ventilatoires. Son rôle est central dans le diagnostic de l’asthme et la bronchopneumopathie obstructive chronique (BPCO)</t>
  </si>
  <si>
    <t>Acuité visuelle (somme des 2) 0 à 20</t>
  </si>
  <si>
    <t>Tension oculaire (non fait, normale ou anormale)</t>
  </si>
  <si>
    <t>Examen de la rétine  (non fait, normale ou anormale)</t>
  </si>
  <si>
    <t>Surdité légère perte auditive en décibel entre 21 et 40 dB</t>
  </si>
  <si>
    <t>Normale perte auditive en décibel &lt;20 dB</t>
  </si>
  <si>
    <t>Surdité perte auditive en décibel &gt; 40 dB</t>
  </si>
  <si>
    <t>Acuité auditive</t>
  </si>
  <si>
    <t xml:space="preserve"> </t>
  </si>
  <si>
    <t>Si la qualité de vie urinaire évaluée par intégratome est réduite une consultation spécialisée d'urologie est proposée</t>
  </si>
  <si>
    <t>Si la qualité de vie sexuelle évaluée par intégratome est réduite une consultation spécialisée d'urologie ou de gynécologie est proposée</t>
  </si>
  <si>
    <t>Si la qualité de vie digestive évaluée par intégratome est réduite une consultation spécialisée de gastro-entérologie est proposée</t>
  </si>
  <si>
    <t>Si la qualité de vie de l'appareil locomoteur évaluée par intégratome est réduite une consultation spécialisée de rhumatologie est proposée</t>
  </si>
  <si>
    <t>Si la qualité de vie nerveuse évaluée par intégratome est réduite une consultation spécialisée de neurologie ou psychologique est proposée</t>
  </si>
  <si>
    <t>Si la qualité du sommeil évaluée par intégratome est réduite un enregistrement du sommeil (polysomnographie) peut être demandé</t>
  </si>
  <si>
    <r>
      <t xml:space="preserve">Q91 - Votre père </t>
    </r>
    <r>
      <rPr>
        <b/>
        <sz val="14"/>
        <color rgb="FFFF0000"/>
        <rFont val="Arial"/>
        <family val="2"/>
      </rPr>
      <t xml:space="preserve">a-t-il </t>
    </r>
    <r>
      <rPr>
        <b/>
        <sz val="14"/>
        <color theme="1"/>
        <rFont val="Arial"/>
        <family val="2"/>
      </rPr>
      <t>eu un cancer du colon</t>
    </r>
    <r>
      <rPr>
        <b/>
        <sz val="14"/>
        <color rgb="FFFF0000"/>
        <rFont val="Arial"/>
        <family val="2"/>
      </rPr>
      <t xml:space="preserve"> avant l'âge de 70 ans?</t>
    </r>
  </si>
  <si>
    <r>
      <t xml:space="preserve">Q98 - Votre mére </t>
    </r>
    <r>
      <rPr>
        <b/>
        <sz val="14"/>
        <color rgb="FFFF0000"/>
        <rFont val="Arial"/>
        <family val="2"/>
      </rPr>
      <t xml:space="preserve">a-t-elle </t>
    </r>
    <r>
      <rPr>
        <b/>
        <sz val="14"/>
        <color theme="1"/>
        <rFont val="Arial"/>
        <family val="2"/>
      </rPr>
      <t>eu un cancer du sein avant l'âge de 50 ans</t>
    </r>
    <r>
      <rPr>
        <b/>
        <sz val="14"/>
        <color rgb="FFFF0000"/>
        <rFont val="Arial"/>
        <family val="2"/>
      </rPr>
      <t>?</t>
    </r>
  </si>
  <si>
    <t>RatioRisque</t>
  </si>
  <si>
    <t>&lt;1,2</t>
  </si>
  <si>
    <t>&gt;2,2</t>
  </si>
  <si>
    <t>1,2-2,2</t>
  </si>
  <si>
    <r>
      <rPr>
        <b/>
        <sz val="14"/>
        <color rgb="FFFF0000"/>
        <rFont val="Aptos"/>
        <family val="2"/>
      </rPr>
      <t>O</t>
    </r>
    <r>
      <rPr>
        <b/>
        <sz val="14"/>
        <color theme="1"/>
        <rFont val="Aptos"/>
        <family val="2"/>
      </rPr>
      <t>ui"Y"</t>
    </r>
  </si>
  <si>
    <r>
      <rPr>
        <b/>
        <sz val="14"/>
        <color rgb="FFFF0000"/>
        <rFont val="Aptos"/>
        <family val="2"/>
      </rPr>
      <t>N</t>
    </r>
    <r>
      <rPr>
        <b/>
        <sz val="14"/>
        <color theme="1"/>
        <rFont val="Aptos"/>
        <family val="2"/>
      </rPr>
      <t>on"N"</t>
    </r>
  </si>
  <si>
    <t>appareil respiratoire</t>
  </si>
  <si>
    <t>Appareil respiratoire</t>
  </si>
  <si>
    <t>Sexualité</t>
  </si>
  <si>
    <t>Appareil cardio-vasculaire</t>
  </si>
  <si>
    <t>Q150 - Toussez-vous souvent (tous les jours) ?</t>
  </si>
  <si>
    <t>Q151 - Avez-vous l’impression de voir moins bien (difficultés pour lire, pour voir de loin…) ?</t>
  </si>
  <si>
    <t>Q152 - Avez-vous l’impression d’entendre moins bien et/ou votre entourage a-t-i l’impression que votre audition a baissé ?</t>
  </si>
  <si>
    <t>Q154 - Avez-vous la sensation d’oublier des choses ?</t>
  </si>
  <si>
    <t>Q155 - Avez-vous observé des gonflements importants et/ou inhabituels de vos chevilles ou de vos jambes ?</t>
  </si>
  <si>
    <t>Qualité du Sommeil</t>
  </si>
  <si>
    <t>Si la qualité auditive évaluée par intégratome est réduite un bilan ORL est conseillé: mesure l'acuité auditive (Audiométrie). Une anomalie justifie un examen ORL plus approfondi.</t>
  </si>
  <si>
    <t>Si la qualité visuelle évaluée par intégratome est réduite un bilan ophtalmologique est conseillé: mesure de l’acuité visuelle, Une mesure de la pression intraoculaire (dépistage du glaucome), un examen de la rétine (fond d'œil ou rétinographie). Une anomalie d'un de ces examens justifie un examen ophtamolgique plus approfondi.</t>
  </si>
  <si>
    <t>Le bilan auditif est mesure l'acuité auditive (Audiométrie). Une anomalie justifie un examen ORL plus approfondi.</t>
  </si>
  <si>
    <t>Le bilan ophtalmologique mesure l’acuité visuelle, mesure la pression intraoculaire (dépistage du glaucome), et fait un examen de la rétine (fond d'œil ou rétinographie). Une anomalie d'un de ces examens justifie un examen ophtamolgique plus approfondi.</t>
  </si>
  <si>
    <t>Capacités visuelles (%)</t>
  </si>
  <si>
    <t>Capacités auditives</t>
  </si>
  <si>
    <t>&lt;60%</t>
  </si>
  <si>
    <t>&gt;90%</t>
  </si>
  <si>
    <t>60-90</t>
  </si>
  <si>
    <t>Q153 Avez-vous des bouffées de chaleur ou sueurs nocturnes</t>
  </si>
  <si>
    <t>Avec actionRatio</t>
  </si>
  <si>
    <t>HF</t>
  </si>
  <si>
    <t>HF car sein existe chez homme</t>
  </si>
  <si>
    <t>Avec action colonne a utiliser</t>
  </si>
  <si>
    <t>Non fait</t>
  </si>
  <si>
    <t>ReferenceCurrentcalcul inteemediare</t>
  </si>
  <si>
    <t>RisquesRefa5ansIntermediare</t>
  </si>
  <si>
    <t>Cancer de l'ovaire</t>
  </si>
  <si>
    <t>Cancer de l'endométre</t>
  </si>
  <si>
    <t>Cancer du col de l'utérus</t>
  </si>
  <si>
    <t>Endométriose</t>
  </si>
  <si>
    <t>Synd Ovaires polykystiques</t>
  </si>
  <si>
    <t>Incontinence urinaire</t>
  </si>
  <si>
    <t>Dysfonction erectile</t>
  </si>
  <si>
    <t>Depression</t>
  </si>
  <si>
    <t>Burn out</t>
  </si>
  <si>
    <t>Attention</t>
  </si>
  <si>
    <t>Graphe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</si>
</sst>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64" formatCode="0.0%"/>
    <numFmt numFmtId="165" formatCode="0.00\x"/>
    <numFmt numFmtId="166" formatCode="m/d/yyyy\ h:mm:ss"/>
    <numFmt numFmtId="167" formatCode="0.000"/>
    <numFmt numFmtId="168" formatCode="0.000%"/>
  </numFmts>
  <fonts count="89">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1"/>
      <name val="Calibri"/>
      <family val="2"/>
      <scheme val="minor"/>
    </font>
    <font>
      <sz val="11"/>
      <name val="Calibri"/>
      <family val="2"/>
      <scheme val="minor"/>
    </font>
    <font>
      <b/>
      <sz val="14"/>
      <color theme="1"/>
      <name val="Calibri"/>
      <family val="2"/>
      <scheme val="minor"/>
    </font>
    <font>
      <b/>
      <sz val="11"/>
      <name val="Helvetica"/>
      <family val="2"/>
    </font>
    <font>
      <sz val="11"/>
      <name val="Helvetica"/>
      <family val="2"/>
    </font>
    <font>
      <sz val="11"/>
      <color theme="1"/>
      <name val="Helvetica"/>
      <family val="2"/>
    </font>
    <font>
      <b/>
      <sz val="11"/>
      <name val="Calibri"/>
      <family val="2"/>
      <scheme val="minor"/>
    </font>
    <font>
      <sz val="14"/>
      <color theme="1"/>
      <name val="Calibri"/>
      <family val="2"/>
      <scheme val="minor"/>
    </font>
    <font>
      <b/>
      <sz val="18"/>
      <color theme="1"/>
      <name val="Calibri"/>
      <family val="2"/>
      <scheme val="minor"/>
    </font>
    <font>
      <b/>
      <sz val="10"/>
      <color theme="1"/>
      <name val="Calibri"/>
      <family val="2"/>
      <scheme val="minor"/>
    </font>
    <font>
      <sz val="9"/>
      <color theme="1"/>
      <name val="Calibri"/>
      <family val="2"/>
      <scheme val="minor"/>
    </font>
    <font>
      <sz val="9"/>
      <name val="Calibri"/>
      <family val="2"/>
      <scheme val="minor"/>
    </font>
    <font>
      <b/>
      <sz val="16"/>
      <color theme="1"/>
      <name val="Calibri"/>
      <family val="2"/>
      <scheme val="minor"/>
    </font>
    <font>
      <b/>
      <sz val="18"/>
      <color theme="1"/>
      <name val="Calibri"/>
      <family val="2"/>
    </font>
    <font>
      <sz val="18"/>
      <color theme="1"/>
      <name val="Calibri"/>
      <family val="2"/>
      <scheme val="minor"/>
    </font>
    <font>
      <sz val="18"/>
      <color theme="1"/>
      <name val="Calibri"/>
      <family val="2"/>
    </font>
    <font>
      <b/>
      <sz val="20"/>
      <name val="Calibri"/>
      <family val="2"/>
      <scheme val="minor"/>
    </font>
    <font>
      <sz val="20"/>
      <name val="Calibri"/>
      <family val="2"/>
      <scheme val="minor"/>
    </font>
    <font>
      <u/>
      <sz val="11"/>
      <color theme="10"/>
      <name val="Calibri"/>
      <family val="2"/>
      <scheme val="minor"/>
    </font>
    <font>
      <sz val="18"/>
      <name val="Calibri"/>
      <family val="2"/>
      <scheme val="minor"/>
    </font>
    <font>
      <b/>
      <sz val="18"/>
      <name val="Calibri"/>
      <family val="2"/>
      <scheme val="minor"/>
    </font>
    <font>
      <b/>
      <sz val="18"/>
      <color rgb="FF000000"/>
      <name val="Calibri"/>
      <family val="2"/>
      <scheme val="minor"/>
    </font>
    <font>
      <b/>
      <sz val="16"/>
      <name val="Calibri"/>
      <family val="2"/>
      <scheme val="minor"/>
    </font>
    <font>
      <sz val="16"/>
      <color theme="1"/>
      <name val="Calibri"/>
      <family val="2"/>
      <scheme val="minor"/>
    </font>
    <font>
      <b/>
      <sz val="9"/>
      <name val="Calibri"/>
      <family val="2"/>
      <scheme val="minor"/>
    </font>
    <font>
      <b/>
      <sz val="9"/>
      <color theme="1"/>
      <name val="Calibri"/>
      <family val="2"/>
      <scheme val="minor"/>
    </font>
    <font>
      <b/>
      <sz val="12"/>
      <color rgb="FF202124"/>
      <name val="Calibri"/>
      <family val="2"/>
      <scheme val="minor"/>
    </font>
    <font>
      <b/>
      <sz val="12"/>
      <color rgb="FF4D5156"/>
      <name val="Calibri"/>
      <family val="2"/>
      <scheme val="minor"/>
    </font>
    <font>
      <b/>
      <sz val="12"/>
      <name val="Calibri"/>
      <family val="2"/>
      <scheme val="minor"/>
    </font>
    <font>
      <sz val="12"/>
      <color theme="1"/>
      <name val="Calibri"/>
      <family val="2"/>
      <scheme val="minor"/>
    </font>
    <font>
      <sz val="12"/>
      <name val="Calibri"/>
      <family val="2"/>
      <scheme val="minor"/>
    </font>
    <font>
      <b/>
      <sz val="12"/>
      <color rgb="FF7030A0"/>
      <name val="Calibri"/>
      <family val="2"/>
      <scheme val="minor"/>
    </font>
    <font>
      <sz val="12"/>
      <color rgb="FF000000"/>
      <name val="Calibri"/>
      <family val="2"/>
      <scheme val="minor"/>
    </font>
    <font>
      <sz val="12"/>
      <color theme="9"/>
      <name val="Calibri"/>
      <family val="2"/>
      <scheme val="minor"/>
    </font>
    <font>
      <sz val="12"/>
      <color rgb="FF202124"/>
      <name val="Calibri"/>
      <family val="2"/>
      <scheme val="minor"/>
    </font>
    <font>
      <sz val="10.5"/>
      <color rgb="FF333333"/>
      <name val="Arial"/>
      <family val="2"/>
    </font>
    <font>
      <sz val="12"/>
      <color rgb="FF374151"/>
      <name val="Segoe UI"/>
      <family val="2"/>
    </font>
    <font>
      <sz val="11"/>
      <color rgb="FF343541"/>
      <name val="Segoe UI"/>
      <family val="2"/>
    </font>
    <font>
      <b/>
      <sz val="14"/>
      <color theme="1"/>
      <name val="Arial"/>
      <family val="2"/>
    </font>
    <font>
      <b/>
      <sz val="14"/>
      <name val="Arial"/>
      <family val="2"/>
    </font>
    <font>
      <b/>
      <sz val="14"/>
      <color rgb="FFFF0000"/>
      <name val="Arial"/>
      <family val="2"/>
    </font>
    <font>
      <b/>
      <sz val="14"/>
      <color rgb="FF000000"/>
      <name val="Arial"/>
      <family val="2"/>
    </font>
    <font>
      <sz val="14"/>
      <color theme="1"/>
      <name val="Arial"/>
      <family val="2"/>
    </font>
    <font>
      <i/>
      <sz val="14"/>
      <color rgb="FF006600"/>
      <name val="Arial"/>
      <family val="2"/>
    </font>
    <font>
      <b/>
      <sz val="8"/>
      <color rgb="FF4D4D4D"/>
      <name val="Var(--fontFamilySemiBold)"/>
    </font>
    <font>
      <b/>
      <sz val="12"/>
      <color rgb="FFFF0000"/>
      <name val="Calibri"/>
      <family val="2"/>
      <scheme val="minor"/>
    </font>
    <font>
      <sz val="12"/>
      <color rgb="FFFF0000"/>
      <name val="Calibri"/>
      <family val="2"/>
      <scheme val="minor"/>
    </font>
    <font>
      <sz val="11"/>
      <color rgb="FFFF0000"/>
      <name val="Helvetica"/>
      <family val="2"/>
    </font>
    <font>
      <sz val="8"/>
      <color rgb="FF303030"/>
      <name val="Arial"/>
      <family val="2"/>
    </font>
    <font>
      <sz val="8"/>
      <color rgb="FFFF0000"/>
      <name val="Arial"/>
      <family val="2"/>
    </font>
    <font>
      <b/>
      <sz val="18"/>
      <color rgb="FFFF0000"/>
      <name val="Calibri"/>
      <family val="2"/>
      <scheme val="minor"/>
    </font>
    <font>
      <b/>
      <sz val="18"/>
      <color rgb="FF003366"/>
      <name val="Calibri"/>
      <family val="2"/>
      <scheme val="minor"/>
    </font>
    <font>
      <b/>
      <sz val="14"/>
      <color rgb="FFFF0000"/>
      <name val="Calibri"/>
      <family val="2"/>
      <scheme val="minor"/>
    </font>
    <font>
      <b/>
      <vertAlign val="superscript"/>
      <sz val="18"/>
      <color rgb="FF000000"/>
      <name val="Calibri"/>
      <family val="2"/>
      <scheme val="minor"/>
    </font>
    <font>
      <b/>
      <sz val="18"/>
      <color theme="0"/>
      <name val="Calibri"/>
      <family val="2"/>
      <scheme val="minor"/>
    </font>
    <font>
      <sz val="18"/>
      <color theme="0"/>
      <name val="Calibri"/>
      <family val="2"/>
      <scheme val="minor"/>
    </font>
    <font>
      <b/>
      <sz val="18"/>
      <color rgb="FF202124"/>
      <name val="Calibri"/>
      <family val="2"/>
      <scheme val="minor"/>
    </font>
    <font>
      <b/>
      <u/>
      <sz val="18"/>
      <name val="Calibri"/>
      <family val="2"/>
      <scheme val="minor"/>
    </font>
    <font>
      <b/>
      <sz val="18"/>
      <color rgb="FF212121"/>
      <name val="Calibri"/>
      <family val="2"/>
      <scheme val="minor"/>
    </font>
    <font>
      <b/>
      <sz val="18"/>
      <color rgb="FF1F1F1F"/>
      <name val="Calibri"/>
      <family val="2"/>
      <scheme val="minor"/>
    </font>
    <font>
      <b/>
      <sz val="18"/>
      <color rgb="FF333333"/>
      <name val="Calibri"/>
      <family val="2"/>
      <scheme val="minor"/>
    </font>
    <font>
      <b/>
      <sz val="11"/>
      <color rgb="FF000000"/>
      <name val="Aptos Narrow"/>
      <family val="2"/>
    </font>
    <font>
      <b/>
      <sz val="14"/>
      <color rgb="FF00B0F0"/>
      <name val="Arial"/>
      <family val="2"/>
    </font>
    <font>
      <b/>
      <sz val="20"/>
      <color rgb="FF000000"/>
      <name val="Calibri"/>
      <family val="2"/>
    </font>
    <font>
      <b/>
      <sz val="16"/>
      <color rgb="FF202122"/>
      <name val="Arial"/>
      <family val="2"/>
    </font>
    <font>
      <b/>
      <sz val="16"/>
      <color rgb="FF303030"/>
      <name val="Calibri"/>
      <family val="2"/>
      <scheme val="minor"/>
    </font>
    <font>
      <b/>
      <sz val="14"/>
      <color rgb="FF000000"/>
      <name val="Aptos"/>
      <family val="2"/>
    </font>
    <font>
      <b/>
      <sz val="14"/>
      <color theme="1"/>
      <name val="Aptos"/>
      <family val="2"/>
    </font>
    <font>
      <b/>
      <sz val="14"/>
      <color rgb="FFFF0000"/>
      <name val="Aptos"/>
      <family val="2"/>
    </font>
    <font>
      <b/>
      <sz val="20"/>
      <color rgb="FFFF0000"/>
      <name val="Calibri"/>
      <family val="2"/>
      <scheme val="minor"/>
    </font>
    <font>
      <sz val="18"/>
      <color rgb="FFFF0000"/>
      <name val="Calibri"/>
      <family val="2"/>
      <scheme val="minor"/>
    </font>
  </fonts>
  <fills count="7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rgb="FF00B050"/>
        <bgColor indexed="64"/>
      </patternFill>
    </fill>
    <fill>
      <patternFill patternType="solid">
        <fgColor rgb="FFFF0000"/>
        <bgColor indexed="64"/>
      </patternFill>
    </fill>
    <fill>
      <patternFill patternType="solid">
        <fgColor rgb="FF92D050"/>
        <bgColor indexed="64"/>
      </patternFill>
    </fill>
    <fill>
      <patternFill patternType="solid">
        <fgColor theme="5" tint="0.59999389629810485"/>
        <bgColor indexed="64"/>
      </patternFill>
    </fill>
    <fill>
      <patternFill patternType="solid">
        <fgColor theme="5"/>
        <bgColor indexed="64"/>
      </patternFill>
    </fill>
    <fill>
      <patternFill patternType="solid">
        <fgColor theme="5" tint="0.39997558519241921"/>
        <bgColor indexed="64"/>
      </patternFill>
    </fill>
    <fill>
      <patternFill patternType="solid">
        <fgColor rgb="FFFFFF00"/>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rgb="FFFFC000"/>
        <bgColor indexed="64"/>
      </patternFill>
    </fill>
    <fill>
      <patternFill patternType="solid">
        <fgColor theme="7" tint="0.39997558519241921"/>
        <bgColor indexed="64"/>
      </patternFill>
    </fill>
    <fill>
      <patternFill patternType="solid">
        <fgColor theme="7"/>
        <bgColor indexed="64"/>
      </patternFill>
    </fill>
    <fill>
      <patternFill patternType="solid">
        <fgColor theme="4"/>
        <bgColor indexed="64"/>
      </patternFill>
    </fill>
    <fill>
      <patternFill patternType="solid">
        <fgColor theme="9" tint="0.59999389629810485"/>
        <bgColor indexed="64"/>
      </patternFill>
    </fill>
    <fill>
      <patternFill patternType="solid">
        <fgColor theme="8" tint="-0.249977111117893"/>
        <bgColor indexed="64"/>
      </patternFill>
    </fill>
    <fill>
      <patternFill patternType="solid">
        <fgColor rgb="FFC147A5"/>
        <bgColor indexed="64"/>
      </patternFill>
    </fill>
    <fill>
      <patternFill patternType="solid">
        <fgColor theme="8" tint="0.79998168889431442"/>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rgb="FFFFF2CC"/>
        <bgColor indexed="64"/>
      </patternFill>
    </fill>
    <fill>
      <patternFill patternType="solid">
        <fgColor rgb="FFE2EFDA"/>
        <bgColor indexed="64"/>
      </patternFill>
    </fill>
    <fill>
      <patternFill patternType="solid">
        <fgColor rgb="FFD9D9D9"/>
        <bgColor indexed="64"/>
      </patternFill>
    </fill>
    <fill>
      <patternFill patternType="solid">
        <fgColor rgb="FFD9E1F2"/>
        <bgColor indexed="64"/>
      </patternFill>
    </fill>
    <fill>
      <patternFill patternType="solid">
        <fgColor rgb="FFB4C6E7"/>
        <bgColor indexed="64"/>
      </patternFill>
    </fill>
    <fill>
      <patternFill patternType="solid">
        <fgColor theme="4" tint="0.39997558519241921"/>
        <bgColor indexed="64"/>
      </patternFill>
    </fill>
    <fill>
      <patternFill patternType="solid">
        <fgColor rgb="FF00B0F0"/>
        <bgColor indexed="64"/>
      </patternFill>
    </fill>
    <fill>
      <patternFill patternType="solid">
        <fgColor theme="1"/>
        <bgColor indexed="64"/>
      </patternFill>
    </fill>
    <fill>
      <patternFill patternType="solid">
        <fgColor theme="1" tint="0.34998626667073579"/>
        <bgColor indexed="64"/>
      </patternFill>
    </fill>
    <fill>
      <patternFill patternType="solid">
        <fgColor theme="2" tint="-0.249977111117893"/>
        <bgColor indexed="64"/>
      </patternFill>
    </fill>
    <fill>
      <patternFill patternType="solid">
        <fgColor theme="0"/>
        <bgColor indexed="64"/>
      </patternFill>
    </fill>
    <fill>
      <patternFill patternType="solid">
        <fgColor rgb="FFFFFFFF"/>
        <bgColor indexed="64"/>
      </patternFill>
    </fill>
    <fill>
      <patternFill patternType="solid">
        <fgColor theme="2"/>
        <bgColor indexed="64"/>
      </patternFill>
    </fill>
    <fill>
      <patternFill patternType="solid">
        <fgColor theme="8" tint="0.59999389629810485"/>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36" fillId="0" borderId="0" applyNumberFormat="0" applyFill="0" applyBorder="0" applyAlignment="0" applyProtection="0"/>
  </cellStyleXfs>
  <cellXfs count="369">
    <xf numFmtId="0" fontId="0" fillId="0" borderId="0" xfId="0"/>
    <xf numFmtId="2" fontId="21" fillId="0" borderId="10" xfId="0" applyNumberFormat="1" applyFont="1" applyBorder="1" applyAlignment="1">
      <alignment horizontal="center" vertical="center" wrapText="1"/>
    </xf>
    <xf numFmtId="2" fontId="21" fillId="34" borderId="10" xfId="0" applyNumberFormat="1" applyFont="1" applyFill="1" applyBorder="1" applyAlignment="1">
      <alignment horizontal="center"/>
    </xf>
    <xf numFmtId="2" fontId="21" fillId="35" borderId="10" xfId="0" applyNumberFormat="1" applyFont="1" applyFill="1" applyBorder="1" applyAlignment="1">
      <alignment horizontal="center"/>
    </xf>
    <xf numFmtId="2" fontId="22" fillId="0" borderId="10" xfId="0" applyNumberFormat="1" applyFont="1" applyBorder="1" applyAlignment="1">
      <alignment horizontal="center"/>
    </xf>
    <xf numFmtId="2" fontId="23" fillId="40" borderId="10" xfId="0" applyNumberFormat="1" applyFont="1" applyFill="1" applyBorder="1" applyAlignment="1">
      <alignment horizontal="center"/>
    </xf>
    <xf numFmtId="2" fontId="23" fillId="41" borderId="10" xfId="0" applyNumberFormat="1" applyFont="1" applyFill="1" applyBorder="1" applyAlignment="1">
      <alignment horizontal="center"/>
    </xf>
    <xf numFmtId="2" fontId="23" fillId="0" borderId="10" xfId="0" applyNumberFormat="1" applyFont="1" applyBorder="1" applyAlignment="1">
      <alignment horizontal="center"/>
    </xf>
    <xf numFmtId="0" fontId="19" fillId="0" borderId="10" xfId="0" applyFont="1" applyBorder="1" applyAlignment="1">
      <alignment horizontal="center"/>
    </xf>
    <xf numFmtId="2" fontId="21" fillId="42" borderId="10" xfId="0" applyNumberFormat="1" applyFont="1" applyFill="1" applyBorder="1" applyAlignment="1">
      <alignment horizontal="center"/>
    </xf>
    <xf numFmtId="2" fontId="22" fillId="43" borderId="10" xfId="0" applyNumberFormat="1" applyFont="1" applyFill="1" applyBorder="1" applyAlignment="1">
      <alignment horizontal="center"/>
    </xf>
    <xf numFmtId="9" fontId="19" fillId="0" borderId="10" xfId="0" applyNumberFormat="1" applyFont="1" applyBorder="1" applyAlignment="1">
      <alignment horizontal="center"/>
    </xf>
    <xf numFmtId="2" fontId="22" fillId="38" borderId="10" xfId="0" applyNumberFormat="1" applyFont="1" applyFill="1" applyBorder="1" applyAlignment="1">
      <alignment horizontal="center"/>
    </xf>
    <xf numFmtId="165" fontId="23" fillId="0" borderId="10" xfId="0" applyNumberFormat="1" applyFont="1" applyBorder="1" applyAlignment="1">
      <alignment horizontal="center"/>
    </xf>
    <xf numFmtId="9" fontId="0" fillId="0" borderId="0" xfId="0" applyNumberFormat="1" applyAlignment="1">
      <alignment horizontal="center"/>
    </xf>
    <xf numFmtId="0" fontId="0" fillId="0" borderId="0" xfId="0" applyAlignment="1">
      <alignment horizontal="center"/>
    </xf>
    <xf numFmtId="0" fontId="24" fillId="0" borderId="10" xfId="0" applyFont="1" applyBorder="1" applyAlignment="1">
      <alignment horizontal="center"/>
    </xf>
    <xf numFmtId="0" fontId="24" fillId="0" borderId="0" xfId="0" applyFont="1" applyAlignment="1">
      <alignment horizontal="right" vertical="center" wrapText="1"/>
    </xf>
    <xf numFmtId="0" fontId="16" fillId="0" borderId="0" xfId="0" applyFont="1" applyAlignment="1">
      <alignment horizontal="right" vertical="center"/>
    </xf>
    <xf numFmtId="0" fontId="24" fillId="0" borderId="0" xfId="0" applyFont="1" applyAlignment="1">
      <alignment horizontal="right"/>
    </xf>
    <xf numFmtId="9" fontId="16" fillId="0" borderId="0" xfId="0" applyNumberFormat="1" applyFont="1" applyAlignment="1">
      <alignment horizontal="center"/>
    </xf>
    <xf numFmtId="0" fontId="16" fillId="0" borderId="0" xfId="0" applyFont="1" applyAlignment="1">
      <alignment horizontal="center"/>
    </xf>
    <xf numFmtId="0" fontId="0" fillId="46" borderId="0" xfId="0" applyFill="1"/>
    <xf numFmtId="0" fontId="0" fillId="38" borderId="0" xfId="0" applyFill="1"/>
    <xf numFmtId="0" fontId="16" fillId="0" borderId="0" xfId="0" applyFont="1" applyAlignment="1">
      <alignment horizontal="right"/>
    </xf>
    <xf numFmtId="0" fontId="20" fillId="45" borderId="10" xfId="0" applyFont="1" applyFill="1" applyBorder="1" applyAlignment="1">
      <alignment horizontal="center"/>
    </xf>
    <xf numFmtId="0" fontId="16" fillId="0" borderId="10" xfId="0" applyFont="1" applyBorder="1" applyAlignment="1">
      <alignment horizontal="center"/>
    </xf>
    <xf numFmtId="0" fontId="18" fillId="0" borderId="10" xfId="0" applyFont="1" applyBorder="1" applyAlignment="1">
      <alignment horizontal="center"/>
    </xf>
    <xf numFmtId="0" fontId="26" fillId="0" borderId="0" xfId="0" applyFont="1" applyAlignment="1">
      <alignment horizontal="center"/>
    </xf>
    <xf numFmtId="2" fontId="0" fillId="0" borderId="0" xfId="0" applyNumberFormat="1" applyAlignment="1">
      <alignment horizontal="center"/>
    </xf>
    <xf numFmtId="0" fontId="27" fillId="45" borderId="10" xfId="0" applyFont="1" applyFill="1" applyBorder="1" applyAlignment="1">
      <alignment horizontal="right"/>
    </xf>
    <xf numFmtId="0" fontId="16" fillId="41" borderId="10" xfId="0" applyFont="1" applyFill="1" applyBorder="1" applyAlignment="1">
      <alignment horizontal="center"/>
    </xf>
    <xf numFmtId="164" fontId="19" fillId="0" borderId="10" xfId="0" applyNumberFormat="1" applyFont="1" applyBorder="1" applyAlignment="1">
      <alignment horizontal="center"/>
    </xf>
    <xf numFmtId="0" fontId="25" fillId="45" borderId="10" xfId="0" applyFont="1" applyFill="1" applyBorder="1" applyAlignment="1">
      <alignment horizontal="center"/>
    </xf>
    <xf numFmtId="0" fontId="28" fillId="0" borderId="10" xfId="0" applyFont="1" applyBorder="1" applyAlignment="1">
      <alignment horizontal="center"/>
    </xf>
    <xf numFmtId="0" fontId="28" fillId="40" borderId="10" xfId="0" applyFont="1" applyFill="1" applyBorder="1" applyAlignment="1">
      <alignment horizontal="center" vertical="center"/>
    </xf>
    <xf numFmtId="0" fontId="29" fillId="40" borderId="10" xfId="0" applyFont="1" applyFill="1" applyBorder="1" applyAlignment="1">
      <alignment horizontal="center"/>
    </xf>
    <xf numFmtId="0" fontId="24" fillId="48" borderId="10" xfId="0" applyFont="1" applyFill="1" applyBorder="1" applyAlignment="1">
      <alignment horizontal="center"/>
    </xf>
    <xf numFmtId="2" fontId="31" fillId="33" borderId="10" xfId="0" applyNumberFormat="1" applyFont="1" applyFill="1" applyBorder="1" applyAlignment="1">
      <alignment horizontal="center" vertical="center" wrapText="1"/>
    </xf>
    <xf numFmtId="2" fontId="26" fillId="0" borderId="10" xfId="0" applyNumberFormat="1" applyFont="1" applyBorder="1" applyAlignment="1">
      <alignment horizontal="center" vertical="center"/>
    </xf>
    <xf numFmtId="10" fontId="31" fillId="0" borderId="10" xfId="0" applyNumberFormat="1" applyFont="1" applyBorder="1" applyAlignment="1">
      <alignment horizontal="center" vertical="center"/>
    </xf>
    <xf numFmtId="0" fontId="33" fillId="33" borderId="10" xfId="0" applyFont="1" applyFill="1" applyBorder="1" applyAlignment="1">
      <alignment horizontal="center" vertical="center" wrapText="1"/>
    </xf>
    <xf numFmtId="0" fontId="33" fillId="0" borderId="10" xfId="0" applyFont="1" applyBorder="1" applyAlignment="1">
      <alignment horizontal="center" vertical="center" wrapText="1"/>
    </xf>
    <xf numFmtId="0" fontId="32" fillId="0" borderId="10" xfId="0" applyFont="1" applyBorder="1" applyAlignment="1">
      <alignment horizontal="center" vertical="center" wrapText="1"/>
    </xf>
    <xf numFmtId="0" fontId="34" fillId="33" borderId="10" xfId="0" applyFont="1" applyFill="1" applyBorder="1" applyAlignment="1">
      <alignment horizontal="right" vertical="center" wrapText="1"/>
    </xf>
    <xf numFmtId="0" fontId="34" fillId="0" borderId="10" xfId="0" applyFont="1" applyBorder="1" applyAlignment="1">
      <alignment horizontal="right" vertical="center"/>
    </xf>
    <xf numFmtId="2" fontId="26" fillId="45" borderId="10" xfId="0" applyNumberFormat="1" applyFont="1" applyFill="1" applyBorder="1" applyAlignment="1">
      <alignment horizontal="center" vertical="center"/>
    </xf>
    <xf numFmtId="0" fontId="42" fillId="40" borderId="10" xfId="0" applyFont="1" applyFill="1" applyBorder="1" applyAlignment="1">
      <alignment horizontal="center"/>
    </xf>
    <xf numFmtId="0" fontId="43" fillId="40" borderId="10" xfId="0" applyFont="1" applyFill="1" applyBorder="1" applyAlignment="1">
      <alignment horizontal="center"/>
    </xf>
    <xf numFmtId="2" fontId="18" fillId="34" borderId="10" xfId="0" applyNumberFormat="1" applyFont="1" applyFill="1" applyBorder="1" applyAlignment="1">
      <alignment horizontal="center"/>
    </xf>
    <xf numFmtId="2" fontId="49" fillId="0" borderId="10" xfId="0" applyNumberFormat="1" applyFont="1" applyBorder="1" applyAlignment="1" applyProtection="1">
      <alignment horizontal="center" vertical="center"/>
      <protection locked="0"/>
    </xf>
    <xf numFmtId="2" fontId="49" fillId="43" borderId="10" xfId="0" applyNumberFormat="1" applyFont="1" applyFill="1" applyBorder="1" applyAlignment="1" applyProtection="1">
      <alignment horizontal="center" vertical="center"/>
      <protection locked="0"/>
    </xf>
    <xf numFmtId="2" fontId="18" fillId="0" borderId="10" xfId="0" applyNumberFormat="1" applyFont="1" applyBorder="1" applyAlignment="1">
      <alignment horizontal="center"/>
    </xf>
    <xf numFmtId="2" fontId="18" fillId="41" borderId="10" xfId="0" applyNumberFormat="1" applyFont="1" applyFill="1" applyBorder="1" applyAlignment="1" applyProtection="1">
      <alignment horizontal="center"/>
      <protection locked="0"/>
    </xf>
    <xf numFmtId="0" fontId="18" fillId="46" borderId="10" xfId="0" applyFont="1" applyFill="1" applyBorder="1" applyAlignment="1" applyProtection="1">
      <alignment horizontal="center"/>
      <protection locked="0"/>
    </xf>
    <xf numFmtId="0" fontId="18" fillId="50" borderId="10" xfId="0" applyFont="1" applyFill="1" applyBorder="1" applyAlignment="1" applyProtection="1">
      <alignment horizontal="center"/>
      <protection locked="0"/>
    </xf>
    <xf numFmtId="0" fontId="18" fillId="0" borderId="10" xfId="0" applyFont="1" applyBorder="1" applyAlignment="1" applyProtection="1">
      <alignment horizontal="center"/>
      <protection locked="0"/>
    </xf>
    <xf numFmtId="2" fontId="18" fillId="50" borderId="10" xfId="0" applyNumberFormat="1" applyFont="1" applyFill="1" applyBorder="1" applyAlignment="1" applyProtection="1">
      <alignment horizontal="center"/>
      <protection locked="0"/>
    </xf>
    <xf numFmtId="0" fontId="46" fillId="0" borderId="10" xfId="0" applyFont="1" applyBorder="1" applyAlignment="1">
      <alignment horizontal="left" vertical="center"/>
    </xf>
    <xf numFmtId="0" fontId="18" fillId="41" borderId="10" xfId="0" applyFont="1" applyFill="1" applyBorder="1" applyAlignment="1" applyProtection="1">
      <alignment horizontal="center"/>
      <protection locked="0"/>
    </xf>
    <xf numFmtId="9" fontId="18" fillId="42" borderId="10" xfId="0" applyNumberFormat="1" applyFont="1" applyFill="1" applyBorder="1" applyAlignment="1" applyProtection="1">
      <alignment horizontal="center"/>
      <protection locked="0"/>
    </xf>
    <xf numFmtId="0" fontId="18" fillId="42" borderId="10" xfId="0" applyFont="1" applyFill="1" applyBorder="1" applyAlignment="1" applyProtection="1">
      <alignment horizontal="center"/>
      <protection locked="0"/>
    </xf>
    <xf numFmtId="0" fontId="18" fillId="48" borderId="10" xfId="0" applyFont="1" applyFill="1" applyBorder="1" applyAlignment="1">
      <alignment horizontal="center"/>
    </xf>
    <xf numFmtId="2" fontId="18" fillId="48" borderId="10" xfId="0" applyNumberFormat="1" applyFont="1" applyFill="1" applyBorder="1" applyAlignment="1">
      <alignment horizontal="center"/>
    </xf>
    <xf numFmtId="0" fontId="46" fillId="48" borderId="10" xfId="0" applyFont="1" applyFill="1" applyBorder="1" applyAlignment="1">
      <alignment horizontal="center"/>
    </xf>
    <xf numFmtId="10" fontId="18" fillId="48" borderId="10" xfId="0" applyNumberFormat="1" applyFont="1" applyFill="1" applyBorder="1" applyAlignment="1">
      <alignment horizontal="center"/>
    </xf>
    <xf numFmtId="1" fontId="46" fillId="48" borderId="10" xfId="0" applyNumberFormat="1" applyFont="1" applyFill="1" applyBorder="1" applyAlignment="1">
      <alignment horizontal="center"/>
    </xf>
    <xf numFmtId="0" fontId="46" fillId="34" borderId="10" xfId="0" applyFont="1" applyFill="1" applyBorder="1" applyAlignment="1">
      <alignment horizontal="left" vertical="center"/>
    </xf>
    <xf numFmtId="0" fontId="46" fillId="34" borderId="10" xfId="0" applyFont="1" applyFill="1" applyBorder="1" applyAlignment="1">
      <alignment horizontal="left"/>
    </xf>
    <xf numFmtId="0" fontId="18" fillId="0" borderId="10" xfId="0" applyFont="1" applyBorder="1" applyAlignment="1">
      <alignment horizontal="left" vertical="center"/>
    </xf>
    <xf numFmtId="0" fontId="18" fillId="0" borderId="10" xfId="0" applyFont="1" applyBorder="1" applyAlignment="1">
      <alignment horizontal="center" vertical="center"/>
    </xf>
    <xf numFmtId="0" fontId="56" fillId="51" borderId="10" xfId="0" applyFont="1" applyFill="1" applyBorder="1" applyAlignment="1">
      <alignment horizontal="center"/>
    </xf>
    <xf numFmtId="0" fontId="56" fillId="35" borderId="10" xfId="0" applyFont="1" applyFill="1" applyBorder="1" applyAlignment="1">
      <alignment horizontal="center"/>
    </xf>
    <xf numFmtId="0" fontId="56" fillId="0" borderId="10" xfId="0" applyFont="1" applyBorder="1" applyAlignment="1">
      <alignment horizontal="center"/>
    </xf>
    <xf numFmtId="166" fontId="56" fillId="50" borderId="10" xfId="0" applyNumberFormat="1" applyFont="1" applyFill="1" applyBorder="1" applyAlignment="1" applyProtection="1">
      <alignment horizontal="center"/>
      <protection locked="0"/>
    </xf>
    <xf numFmtId="0" fontId="56" fillId="46" borderId="10" xfId="0" applyFont="1" applyFill="1" applyBorder="1" applyAlignment="1" applyProtection="1">
      <alignment horizontal="center"/>
      <protection locked="0"/>
    </xf>
    <xf numFmtId="0" fontId="56" fillId="42" borderId="10" xfId="0" applyFont="1" applyFill="1" applyBorder="1" applyAlignment="1">
      <alignment horizontal="center"/>
    </xf>
    <xf numFmtId="0" fontId="56" fillId="0" borderId="10" xfId="0" applyFont="1" applyBorder="1" applyAlignment="1" applyProtection="1">
      <alignment horizontal="center"/>
      <protection locked="0"/>
    </xf>
    <xf numFmtId="0" fontId="56" fillId="0" borderId="10" xfId="0" applyFont="1" applyBorder="1" applyAlignment="1">
      <alignment horizontal="center" vertical="center"/>
    </xf>
    <xf numFmtId="0" fontId="57" fillId="0" borderId="10" xfId="0" applyFont="1" applyBorder="1" applyAlignment="1">
      <alignment horizontal="center"/>
    </xf>
    <xf numFmtId="0" fontId="56" fillId="34" borderId="10" xfId="0" applyFont="1" applyFill="1" applyBorder="1" applyAlignment="1">
      <alignment horizontal="center"/>
    </xf>
    <xf numFmtId="0" fontId="56" fillId="48" borderId="10" xfId="0" applyFont="1" applyFill="1" applyBorder="1" applyAlignment="1">
      <alignment horizontal="center"/>
    </xf>
    <xf numFmtId="0" fontId="56" fillId="40" borderId="10" xfId="0" applyFont="1" applyFill="1" applyBorder="1" applyAlignment="1">
      <alignment horizontal="center" vertical="center"/>
    </xf>
    <xf numFmtId="0" fontId="57" fillId="40" borderId="10" xfId="0" applyFont="1" applyFill="1" applyBorder="1" applyAlignment="1">
      <alignment horizontal="center"/>
    </xf>
    <xf numFmtId="0" fontId="56" fillId="40" borderId="10" xfId="0" applyFont="1" applyFill="1" applyBorder="1" applyAlignment="1">
      <alignment horizontal="center"/>
    </xf>
    <xf numFmtId="0" fontId="56" fillId="45" borderId="10" xfId="0" applyFont="1" applyFill="1" applyBorder="1" applyAlignment="1">
      <alignment horizontal="center"/>
    </xf>
    <xf numFmtId="0" fontId="56" fillId="43" borderId="10" xfId="0" applyFont="1" applyFill="1" applyBorder="1" applyAlignment="1">
      <alignment horizontal="center"/>
    </xf>
    <xf numFmtId="0" fontId="56" fillId="33" borderId="10" xfId="0" applyFont="1" applyFill="1" applyBorder="1" applyAlignment="1">
      <alignment horizontal="center"/>
    </xf>
    <xf numFmtId="49" fontId="56" fillId="34" borderId="10" xfId="0" applyNumberFormat="1" applyFont="1" applyFill="1" applyBorder="1" applyAlignment="1" applyProtection="1">
      <alignment horizontal="center"/>
      <protection locked="0"/>
    </xf>
    <xf numFmtId="0" fontId="56" fillId="38" borderId="10" xfId="0" applyFont="1" applyFill="1" applyBorder="1" applyAlignment="1">
      <alignment horizontal="center"/>
    </xf>
    <xf numFmtId="0" fontId="56" fillId="35" borderId="10" xfId="0" applyFont="1" applyFill="1" applyBorder="1" applyAlignment="1" applyProtection="1">
      <alignment horizontal="center"/>
      <protection locked="0"/>
    </xf>
    <xf numFmtId="0" fontId="58" fillId="0" borderId="10" xfId="0" applyFont="1" applyBorder="1" applyAlignment="1">
      <alignment horizontal="center"/>
    </xf>
    <xf numFmtId="2" fontId="56" fillId="0" borderId="10" xfId="0" applyNumberFormat="1" applyFont="1" applyBorder="1" applyAlignment="1">
      <alignment horizontal="center"/>
    </xf>
    <xf numFmtId="0" fontId="56" fillId="41" borderId="10" xfId="0" applyFont="1" applyFill="1" applyBorder="1" applyAlignment="1" applyProtection="1">
      <alignment horizontal="center"/>
      <protection locked="0"/>
    </xf>
    <xf numFmtId="0" fontId="56" fillId="44" borderId="10" xfId="0" applyFont="1" applyFill="1" applyBorder="1" applyAlignment="1">
      <alignment horizontal="center"/>
    </xf>
    <xf numFmtId="49" fontId="56" fillId="38" borderId="10" xfId="0" applyNumberFormat="1" applyFont="1" applyFill="1" applyBorder="1" applyAlignment="1" applyProtection="1">
      <alignment horizontal="center"/>
      <protection locked="0"/>
    </xf>
    <xf numFmtId="0" fontId="56" fillId="34" borderId="10" xfId="0" applyFont="1" applyFill="1" applyBorder="1" applyAlignment="1" applyProtection="1">
      <alignment horizontal="center"/>
      <protection locked="0"/>
    </xf>
    <xf numFmtId="0" fontId="56" fillId="41" borderId="10" xfId="0" applyFont="1" applyFill="1" applyBorder="1" applyAlignment="1">
      <alignment horizontal="center"/>
    </xf>
    <xf numFmtId="0" fontId="56" fillId="34" borderId="10" xfId="0" applyFont="1" applyFill="1" applyBorder="1" applyAlignment="1">
      <alignment horizontal="center" vertical="center"/>
    </xf>
    <xf numFmtId="0" fontId="57" fillId="34" borderId="10" xfId="0" applyFont="1" applyFill="1" applyBorder="1" applyAlignment="1">
      <alignment horizontal="center"/>
    </xf>
    <xf numFmtId="22" fontId="59" fillId="0" borderId="10" xfId="0" applyNumberFormat="1" applyFont="1" applyBorder="1" applyAlignment="1">
      <alignment horizontal="center" wrapText="1"/>
    </xf>
    <xf numFmtId="0" fontId="56" fillId="48" borderId="10" xfId="0" applyFont="1" applyFill="1" applyBorder="1" applyAlignment="1" applyProtection="1">
      <alignment horizontal="center"/>
      <protection locked="0"/>
    </xf>
    <xf numFmtId="14" fontId="56" fillId="50" borderId="10" xfId="0" applyNumberFormat="1" applyFont="1" applyFill="1" applyBorder="1" applyAlignment="1">
      <alignment horizontal="center"/>
    </xf>
    <xf numFmtId="14" fontId="59" fillId="0" borderId="10" xfId="0" applyNumberFormat="1" applyFont="1" applyBorder="1" applyAlignment="1">
      <alignment horizontal="center" wrapText="1"/>
    </xf>
    <xf numFmtId="0" fontId="60" fillId="0" borderId="10" xfId="0" applyFont="1" applyBorder="1" applyAlignment="1">
      <alignment horizontal="center"/>
    </xf>
    <xf numFmtId="0" fontId="59" fillId="53" borderId="10" xfId="0" applyFont="1" applyFill="1" applyBorder="1" applyAlignment="1">
      <alignment horizontal="center" wrapText="1"/>
    </xf>
    <xf numFmtId="0" fontId="59" fillId="0" borderId="10" xfId="0" applyFont="1" applyBorder="1" applyAlignment="1">
      <alignment horizontal="center" wrapText="1"/>
    </xf>
    <xf numFmtId="0" fontId="46" fillId="43" borderId="10" xfId="0" applyFont="1" applyFill="1" applyBorder="1" applyAlignment="1">
      <alignment horizontal="left" vertical="center"/>
    </xf>
    <xf numFmtId="2" fontId="18" fillId="43" borderId="10" xfId="0" applyNumberFormat="1" applyFont="1" applyFill="1" applyBorder="1" applyAlignment="1">
      <alignment horizontal="left"/>
    </xf>
    <xf numFmtId="2" fontId="18" fillId="0" borderId="10" xfId="0" applyNumberFormat="1" applyFont="1" applyBorder="1" applyAlignment="1" applyProtection="1">
      <alignment horizontal="center"/>
      <protection locked="0"/>
    </xf>
    <xf numFmtId="2" fontId="18" fillId="46" borderId="10" xfId="0" applyNumberFormat="1" applyFont="1" applyFill="1" applyBorder="1" applyAlignment="1" applyProtection="1">
      <alignment horizontal="center"/>
      <protection locked="0"/>
    </xf>
    <xf numFmtId="0" fontId="63" fillId="48" borderId="10" xfId="0" applyFont="1" applyFill="1" applyBorder="1" applyAlignment="1">
      <alignment horizontal="center"/>
    </xf>
    <xf numFmtId="2" fontId="65" fillId="0" borderId="10" xfId="0" applyNumberFormat="1" applyFont="1" applyBorder="1" applyAlignment="1">
      <alignment horizontal="center"/>
    </xf>
    <xf numFmtId="164" fontId="14" fillId="0" borderId="10" xfId="0" applyNumberFormat="1" applyFont="1" applyBorder="1" applyAlignment="1">
      <alignment horizontal="center"/>
    </xf>
    <xf numFmtId="2" fontId="58" fillId="50" borderId="10" xfId="0" applyNumberFormat="1" applyFont="1" applyFill="1" applyBorder="1" applyAlignment="1" applyProtection="1">
      <alignment horizontal="center"/>
      <protection locked="0"/>
    </xf>
    <xf numFmtId="0" fontId="58" fillId="44" borderId="10" xfId="0" applyFont="1" applyFill="1" applyBorder="1" applyAlignment="1">
      <alignment horizontal="center"/>
    </xf>
    <xf numFmtId="2" fontId="63" fillId="0" borderId="10" xfId="0" applyNumberFormat="1" applyFont="1" applyBorder="1" applyAlignment="1" applyProtection="1">
      <alignment horizontal="center" vertical="center"/>
      <protection locked="0"/>
    </xf>
    <xf numFmtId="0" fontId="56" fillId="33" borderId="10" xfId="0" applyFont="1" applyFill="1" applyBorder="1" applyAlignment="1">
      <alignment horizontal="center" wrapText="1"/>
    </xf>
    <xf numFmtId="0" fontId="56" fillId="35" borderId="10" xfId="0" applyFont="1" applyFill="1" applyBorder="1" applyAlignment="1">
      <alignment horizontal="center" wrapText="1"/>
    </xf>
    <xf numFmtId="0" fontId="56" fillId="0" borderId="10" xfId="0" applyFont="1" applyBorder="1" applyAlignment="1">
      <alignment horizontal="center" wrapText="1"/>
    </xf>
    <xf numFmtId="0" fontId="56" fillId="47" borderId="10" xfId="0" applyFont="1" applyFill="1" applyBorder="1" applyAlignment="1">
      <alignment horizontal="center" wrapText="1"/>
    </xf>
    <xf numFmtId="0" fontId="56" fillId="34" borderId="10" xfId="0" applyFont="1" applyFill="1" applyBorder="1" applyAlignment="1">
      <alignment horizontal="center" wrapText="1"/>
    </xf>
    <xf numFmtId="0" fontId="56" fillId="46" borderId="10" xfId="0" applyFont="1" applyFill="1" applyBorder="1" applyAlignment="1">
      <alignment horizontal="center" wrapText="1"/>
    </xf>
    <xf numFmtId="0" fontId="56" fillId="0" borderId="10" xfId="0" applyFont="1" applyBorder="1"/>
    <xf numFmtId="0" fontId="56" fillId="35" borderId="10" xfId="0" applyFont="1" applyFill="1" applyBorder="1"/>
    <xf numFmtId="0" fontId="56" fillId="34" borderId="10" xfId="0" applyFont="1" applyFill="1" applyBorder="1"/>
    <xf numFmtId="0" fontId="56" fillId="36" borderId="10" xfId="0" applyFont="1" applyFill="1" applyBorder="1"/>
    <xf numFmtId="0" fontId="58" fillId="43" borderId="10" xfId="0" applyFont="1" applyFill="1" applyBorder="1" applyAlignment="1">
      <alignment horizontal="center"/>
    </xf>
    <xf numFmtId="0" fontId="56" fillId="54" borderId="10" xfId="0" applyFont="1" applyFill="1" applyBorder="1" applyAlignment="1">
      <alignment horizontal="center"/>
    </xf>
    <xf numFmtId="0" fontId="56" fillId="56" borderId="10" xfId="0" applyFont="1" applyFill="1" applyBorder="1"/>
    <xf numFmtId="0" fontId="56" fillId="46" borderId="10" xfId="0" applyFont="1" applyFill="1" applyBorder="1"/>
    <xf numFmtId="0" fontId="56" fillId="53" borderId="10" xfId="0" applyFont="1" applyFill="1" applyBorder="1"/>
    <xf numFmtId="0" fontId="56" fillId="44" borderId="10" xfId="0" applyFont="1" applyFill="1" applyBorder="1"/>
    <xf numFmtId="0" fontId="61" fillId="0" borderId="10" xfId="0" applyFont="1" applyBorder="1"/>
    <xf numFmtId="0" fontId="56" fillId="0" borderId="10" xfId="0" applyFont="1" applyBorder="1" applyAlignment="1">
      <alignment horizontal="right"/>
    </xf>
    <xf numFmtId="0" fontId="56" fillId="0" borderId="10" xfId="0" applyFont="1" applyBorder="1" applyAlignment="1">
      <alignment wrapText="1"/>
    </xf>
    <xf numFmtId="0" fontId="46" fillId="47" borderId="10" xfId="0" applyFont="1" applyFill="1" applyBorder="1" applyAlignment="1">
      <alignment horizontal="left" vertical="center"/>
    </xf>
    <xf numFmtId="0" fontId="58" fillId="0" borderId="10" xfId="0" applyFont="1" applyBorder="1" applyAlignment="1" applyProtection="1">
      <alignment horizontal="center"/>
      <protection locked="0"/>
    </xf>
    <xf numFmtId="0" fontId="63" fillId="43" borderId="10" xfId="0" applyFont="1" applyFill="1" applyBorder="1" applyAlignment="1">
      <alignment horizontal="left" vertical="center"/>
    </xf>
    <xf numFmtId="2" fontId="63" fillId="0" borderId="10" xfId="0" applyNumberFormat="1" applyFont="1" applyBorder="1" applyAlignment="1">
      <alignment horizontal="center"/>
    </xf>
    <xf numFmtId="2" fontId="63" fillId="0" borderId="10" xfId="0" applyNumberFormat="1" applyFont="1" applyBorder="1" applyAlignment="1" applyProtection="1">
      <alignment horizontal="center"/>
      <protection locked="0"/>
    </xf>
    <xf numFmtId="2" fontId="63" fillId="43" borderId="10" xfId="0" applyNumberFormat="1" applyFont="1" applyFill="1" applyBorder="1" applyAlignment="1" applyProtection="1">
      <alignment horizontal="center" vertical="center"/>
      <protection locked="0"/>
    </xf>
    <xf numFmtId="0" fontId="63" fillId="62" borderId="10" xfId="0" applyFont="1" applyFill="1" applyBorder="1"/>
    <xf numFmtId="0" fontId="63" fillId="62" borderId="10" xfId="0" applyFont="1" applyFill="1" applyBorder="1" applyAlignment="1">
      <alignment horizontal="left" vertical="center"/>
    </xf>
    <xf numFmtId="0" fontId="63" fillId="62" borderId="10" xfId="0" applyFont="1" applyFill="1" applyBorder="1" applyAlignment="1">
      <alignment horizontal="left"/>
    </xf>
    <xf numFmtId="0" fontId="63" fillId="34" borderId="10" xfId="0" applyFont="1" applyFill="1" applyBorder="1" applyAlignment="1">
      <alignment horizontal="left" vertical="center"/>
    </xf>
    <xf numFmtId="2" fontId="18" fillId="65" borderId="10" xfId="0" applyNumberFormat="1" applyFont="1" applyFill="1" applyBorder="1" applyAlignment="1">
      <alignment horizontal="center"/>
    </xf>
    <xf numFmtId="2" fontId="63" fillId="46" borderId="10" xfId="0" applyNumberFormat="1" applyFont="1" applyFill="1" applyBorder="1" applyAlignment="1" applyProtection="1">
      <alignment horizontal="center"/>
      <protection locked="0"/>
    </xf>
    <xf numFmtId="0" fontId="56" fillId="66" borderId="10" xfId="0" applyFont="1" applyFill="1" applyBorder="1" applyAlignment="1">
      <alignment horizontal="center" wrapText="1"/>
    </xf>
    <xf numFmtId="49" fontId="56" fillId="66" borderId="10" xfId="0" applyNumberFormat="1" applyFont="1" applyFill="1" applyBorder="1" applyAlignment="1" applyProtection="1">
      <alignment horizontal="center"/>
      <protection locked="0"/>
    </xf>
    <xf numFmtId="0" fontId="58" fillId="48" borderId="10" xfId="0" applyFont="1" applyFill="1" applyBorder="1" applyAlignment="1">
      <alignment horizontal="center"/>
    </xf>
    <xf numFmtId="49" fontId="58" fillId="48" borderId="10" xfId="0" applyNumberFormat="1" applyFont="1" applyFill="1" applyBorder="1" applyAlignment="1">
      <alignment horizontal="center"/>
    </xf>
    <xf numFmtId="0" fontId="38" fillId="0" borderId="10" xfId="0" applyFont="1" applyBorder="1" applyAlignment="1">
      <alignment horizontal="center" vertical="center" wrapText="1"/>
    </xf>
    <xf numFmtId="2" fontId="38" fillId="0" borderId="10" xfId="0" applyNumberFormat="1" applyFont="1" applyBorder="1" applyAlignment="1">
      <alignment horizontal="center" vertical="center" wrapText="1"/>
    </xf>
    <xf numFmtId="0" fontId="37" fillId="65" borderId="10" xfId="0" applyFont="1" applyFill="1" applyBorder="1" applyAlignment="1">
      <alignment horizontal="center" vertical="center" wrapText="1"/>
    </xf>
    <xf numFmtId="0" fontId="37" fillId="0" borderId="10" xfId="0" applyFont="1" applyBorder="1" applyAlignment="1">
      <alignment horizontal="center" vertical="center" wrapText="1"/>
    </xf>
    <xf numFmtId="2" fontId="38" fillId="34" borderId="10" xfId="0" applyNumberFormat="1" applyFont="1" applyFill="1" applyBorder="1" applyAlignment="1">
      <alignment horizontal="center" vertical="top" wrapText="1"/>
    </xf>
    <xf numFmtId="0" fontId="38" fillId="37" borderId="10" xfId="0" applyFont="1" applyFill="1" applyBorder="1" applyAlignment="1">
      <alignment horizontal="center" vertical="center" wrapText="1"/>
    </xf>
    <xf numFmtId="0" fontId="38" fillId="46" borderId="10" xfId="0" applyFont="1" applyFill="1" applyBorder="1" applyAlignment="1">
      <alignment horizontal="center" vertical="center" wrapText="1"/>
    </xf>
    <xf numFmtId="0" fontId="38" fillId="38" borderId="10" xfId="0" applyFont="1" applyFill="1" applyBorder="1" applyAlignment="1">
      <alignment horizontal="center" vertical="center" wrapText="1"/>
    </xf>
    <xf numFmtId="0" fontId="72" fillId="64" borderId="10" xfId="0" applyFont="1" applyFill="1" applyBorder="1" applyAlignment="1">
      <alignment horizontal="center" vertical="center" wrapText="1"/>
    </xf>
    <xf numFmtId="2" fontId="38" fillId="0" borderId="10" xfId="0" applyNumberFormat="1" applyFont="1" applyBorder="1" applyAlignment="1">
      <alignment horizontal="center" vertical="top" wrapText="1"/>
    </xf>
    <xf numFmtId="2" fontId="38" fillId="37" borderId="10" xfId="0" applyNumberFormat="1" applyFont="1" applyFill="1" applyBorder="1" applyAlignment="1">
      <alignment horizontal="center" vertical="top" wrapText="1"/>
    </xf>
    <xf numFmtId="2" fontId="38" fillId="50" borderId="10" xfId="0" applyNumberFormat="1" applyFont="1" applyFill="1" applyBorder="1" applyAlignment="1">
      <alignment horizontal="center" vertical="top" wrapText="1"/>
    </xf>
    <xf numFmtId="0" fontId="72" fillId="0" borderId="10" xfId="0" applyFont="1" applyBorder="1" applyAlignment="1">
      <alignment horizontal="center" vertical="center" wrapText="1"/>
    </xf>
    <xf numFmtId="2" fontId="38" fillId="38" borderId="10" xfId="0" applyNumberFormat="1" applyFont="1" applyFill="1" applyBorder="1" applyAlignment="1">
      <alignment horizontal="center" vertical="top" wrapText="1"/>
    </xf>
    <xf numFmtId="2" fontId="38" fillId="55" borderId="10" xfId="0" applyNumberFormat="1" applyFont="1" applyFill="1" applyBorder="1" applyAlignment="1">
      <alignment horizontal="center" vertical="top" wrapText="1"/>
    </xf>
    <xf numFmtId="0" fontId="39" fillId="59" borderId="10" xfId="0" applyFont="1" applyFill="1" applyBorder="1" applyAlignment="1">
      <alignment horizontal="center" vertical="center" wrapText="1"/>
    </xf>
    <xf numFmtId="2" fontId="38" fillId="33" borderId="10" xfId="0" applyNumberFormat="1" applyFont="1" applyFill="1" applyBorder="1" applyAlignment="1">
      <alignment horizontal="center" vertical="top" wrapText="1"/>
    </xf>
    <xf numFmtId="2" fontId="38" fillId="46" borderId="10" xfId="0" applyNumberFormat="1" applyFont="1" applyFill="1" applyBorder="1" applyAlignment="1">
      <alignment horizontal="center" vertical="top" wrapText="1"/>
    </xf>
    <xf numFmtId="16" fontId="38" fillId="46" borderId="10" xfId="0" applyNumberFormat="1" applyFont="1" applyFill="1" applyBorder="1" applyAlignment="1">
      <alignment horizontal="center" vertical="center" wrapText="1"/>
    </xf>
    <xf numFmtId="2" fontId="38" fillId="37" borderId="10" xfId="0" applyNumberFormat="1" applyFont="1" applyFill="1" applyBorder="1" applyAlignment="1">
      <alignment horizontal="center" vertical="center" wrapText="1"/>
    </xf>
    <xf numFmtId="2" fontId="38" fillId="65" borderId="10" xfId="0" applyNumberFormat="1" applyFont="1" applyFill="1" applyBorder="1" applyAlignment="1">
      <alignment horizontal="center" vertical="top" wrapText="1"/>
    </xf>
    <xf numFmtId="17" fontId="38" fillId="37" borderId="10" xfId="0" applyNumberFormat="1" applyFont="1" applyFill="1" applyBorder="1" applyAlignment="1">
      <alignment horizontal="center" vertical="center" wrapText="1"/>
    </xf>
    <xf numFmtId="17" fontId="38" fillId="46" borderId="10" xfId="0" applyNumberFormat="1" applyFont="1" applyFill="1" applyBorder="1" applyAlignment="1">
      <alignment horizontal="center" vertical="center" wrapText="1"/>
    </xf>
    <xf numFmtId="0" fontId="38" fillId="33" borderId="10" xfId="0" applyFont="1" applyFill="1" applyBorder="1" applyAlignment="1">
      <alignment horizontal="center" vertical="top" wrapText="1"/>
    </xf>
    <xf numFmtId="2" fontId="38" fillId="39" borderId="10" xfId="0" applyNumberFormat="1" applyFont="1" applyFill="1" applyBorder="1" applyAlignment="1">
      <alignment horizontal="center" vertical="top" wrapText="1"/>
    </xf>
    <xf numFmtId="2" fontId="38" fillId="67" borderId="10" xfId="0" applyNumberFormat="1" applyFont="1" applyFill="1" applyBorder="1" applyAlignment="1">
      <alignment horizontal="center" vertical="top" wrapText="1"/>
    </xf>
    <xf numFmtId="0" fontId="38" fillId="67" borderId="10" xfId="0" applyFont="1" applyFill="1" applyBorder="1" applyAlignment="1">
      <alignment horizontal="center" vertical="center" wrapText="1"/>
    </xf>
    <xf numFmtId="0" fontId="72" fillId="67" borderId="10" xfId="0" applyFont="1" applyFill="1" applyBorder="1" applyAlignment="1">
      <alignment horizontal="center" vertical="center" wrapText="1"/>
    </xf>
    <xf numFmtId="0" fontId="38" fillId="67" borderId="10" xfId="0" applyFont="1" applyFill="1" applyBorder="1" applyAlignment="1">
      <alignment horizontal="center" vertical="top" wrapText="1"/>
    </xf>
    <xf numFmtId="0" fontId="38" fillId="0" borderId="10" xfId="0" applyFont="1" applyBorder="1" applyAlignment="1">
      <alignment horizontal="center" vertical="top" wrapText="1"/>
    </xf>
    <xf numFmtId="0" fontId="68" fillId="57" borderId="10" xfId="0" applyFont="1" applyFill="1" applyBorder="1" applyAlignment="1">
      <alignment horizontal="center" vertical="center" wrapText="1"/>
    </xf>
    <xf numFmtId="0" fontId="69" fillId="57" borderId="10" xfId="0" applyFont="1" applyFill="1" applyBorder="1" applyAlignment="1">
      <alignment horizontal="center" vertical="center" wrapText="1"/>
    </xf>
    <xf numFmtId="0" fontId="39" fillId="57" borderId="10" xfId="0" applyFont="1" applyFill="1" applyBorder="1" applyAlignment="1">
      <alignment horizontal="center" vertical="center" wrapText="1"/>
    </xf>
    <xf numFmtId="0" fontId="68" fillId="58" borderId="10" xfId="0" applyFont="1" applyFill="1" applyBorder="1" applyAlignment="1">
      <alignment horizontal="center" vertical="center" wrapText="1"/>
    </xf>
    <xf numFmtId="0" fontId="39" fillId="58" borderId="10" xfId="0" applyFont="1" applyFill="1" applyBorder="1" applyAlignment="1">
      <alignment horizontal="center" vertical="center" wrapText="1"/>
    </xf>
    <xf numFmtId="0" fontId="39" fillId="65" borderId="10" xfId="0" applyFont="1" applyFill="1" applyBorder="1" applyAlignment="1">
      <alignment horizontal="center" vertical="center" wrapText="1"/>
    </xf>
    <xf numFmtId="0" fontId="68" fillId="59" borderId="10" xfId="0" applyFont="1" applyFill="1" applyBorder="1" applyAlignment="1">
      <alignment horizontal="center" vertical="center" wrapText="1"/>
    </xf>
    <xf numFmtId="0" fontId="68" fillId="60" borderId="10" xfId="0" applyFont="1" applyFill="1" applyBorder="1" applyAlignment="1">
      <alignment horizontal="center" vertical="center" wrapText="1"/>
    </xf>
    <xf numFmtId="0" fontId="39" fillId="61" borderId="10" xfId="0" applyFont="1" applyFill="1" applyBorder="1" applyAlignment="1">
      <alignment horizontal="center" vertical="center" wrapText="1"/>
    </xf>
    <xf numFmtId="0" fontId="39" fillId="49" borderId="10" xfId="0" applyFont="1" applyFill="1" applyBorder="1" applyAlignment="1">
      <alignment horizontal="center" vertical="center" wrapText="1"/>
    </xf>
    <xf numFmtId="0" fontId="39" fillId="62" borderId="10" xfId="0" applyFont="1" applyFill="1" applyBorder="1" applyAlignment="1">
      <alignment horizontal="center" vertical="center" wrapText="1"/>
    </xf>
    <xf numFmtId="0" fontId="39" fillId="60" borderId="10" xfId="0" applyFont="1" applyFill="1" applyBorder="1" applyAlignment="1">
      <alignment horizontal="center" vertical="center" wrapText="1"/>
    </xf>
    <xf numFmtId="0" fontId="39" fillId="67" borderId="10" xfId="0" applyFont="1" applyFill="1" applyBorder="1" applyAlignment="1">
      <alignment horizontal="center" vertical="center" wrapText="1"/>
    </xf>
    <xf numFmtId="10" fontId="38" fillId="67" borderId="10" xfId="0" applyNumberFormat="1" applyFont="1" applyFill="1" applyBorder="1" applyAlignment="1">
      <alignment horizontal="center" vertical="top" wrapText="1"/>
    </xf>
    <xf numFmtId="2" fontId="19" fillId="36" borderId="10" xfId="0" applyNumberFormat="1" applyFont="1" applyFill="1" applyBorder="1" applyAlignment="1">
      <alignment horizontal="center"/>
    </xf>
    <xf numFmtId="0" fontId="24" fillId="0" borderId="10" xfId="0" applyFont="1" applyBorder="1" applyAlignment="1">
      <alignment horizontal="center" vertical="center" wrapText="1"/>
    </xf>
    <xf numFmtId="0" fontId="21" fillId="34" borderId="10" xfId="0" applyFont="1" applyFill="1" applyBorder="1" applyAlignment="1">
      <alignment horizontal="center"/>
    </xf>
    <xf numFmtId="0" fontId="16" fillId="50" borderId="10" xfId="0" applyFont="1" applyFill="1" applyBorder="1" applyAlignment="1">
      <alignment horizontal="center" vertical="center"/>
    </xf>
    <xf numFmtId="0" fontId="29" fillId="0" borderId="10" xfId="0" applyFont="1" applyBorder="1" applyAlignment="1">
      <alignment horizontal="center"/>
    </xf>
    <xf numFmtId="0" fontId="24" fillId="50" borderId="10" xfId="0" applyFont="1" applyFill="1" applyBorder="1" applyAlignment="1">
      <alignment horizontal="center"/>
    </xf>
    <xf numFmtId="0" fontId="24" fillId="34" borderId="10" xfId="0" applyFont="1" applyFill="1" applyBorder="1" applyAlignment="1">
      <alignment horizontal="center"/>
    </xf>
    <xf numFmtId="0" fontId="19" fillId="34" borderId="10" xfId="0" applyFont="1" applyFill="1" applyBorder="1" applyAlignment="1">
      <alignment horizontal="center"/>
    </xf>
    <xf numFmtId="0" fontId="19" fillId="35" borderId="10" xfId="0" applyFont="1" applyFill="1" applyBorder="1" applyAlignment="1">
      <alignment horizontal="center"/>
    </xf>
    <xf numFmtId="0" fontId="19" fillId="36" borderId="10" xfId="0" applyFont="1" applyFill="1" applyBorder="1" applyAlignment="1">
      <alignment horizontal="center"/>
    </xf>
    <xf numFmtId="2" fontId="19" fillId="0" borderId="10" xfId="0" applyNumberFormat="1" applyFont="1" applyBorder="1" applyAlignment="1">
      <alignment horizontal="center"/>
    </xf>
    <xf numFmtId="0" fontId="56" fillId="36" borderId="10" xfId="0" applyFont="1" applyFill="1" applyBorder="1" applyAlignment="1">
      <alignment horizontal="center"/>
    </xf>
    <xf numFmtId="0" fontId="33" fillId="0" borderId="10" xfId="0" applyFont="1" applyBorder="1" applyAlignment="1">
      <alignment horizontal="left" wrapText="1"/>
    </xf>
    <xf numFmtId="0" fontId="0" fillId="0" borderId="10" xfId="0" applyBorder="1" applyAlignment="1">
      <alignment horizontal="center"/>
    </xf>
    <xf numFmtId="0" fontId="16" fillId="44" borderId="10" xfId="0" applyFont="1" applyFill="1" applyBorder="1" applyAlignment="1">
      <alignment horizontal="center"/>
    </xf>
    <xf numFmtId="1" fontId="18" fillId="44" borderId="10" xfId="0" applyNumberFormat="1" applyFont="1" applyFill="1" applyBorder="1" applyAlignment="1">
      <alignment horizontal="center"/>
    </xf>
    <xf numFmtId="0" fontId="18" fillId="44" borderId="10" xfId="0" applyFont="1" applyFill="1" applyBorder="1" applyAlignment="1">
      <alignment horizontal="center"/>
    </xf>
    <xf numFmtId="0" fontId="18" fillId="44" borderId="10" xfId="0" applyFont="1" applyFill="1" applyBorder="1"/>
    <xf numFmtId="0" fontId="38" fillId="37" borderId="10" xfId="0" applyFont="1" applyFill="1" applyBorder="1" applyAlignment="1">
      <alignment horizontal="center" wrapText="1"/>
    </xf>
    <xf numFmtId="0" fontId="38" fillId="34" borderId="10" xfId="0" applyFont="1" applyFill="1" applyBorder="1" applyAlignment="1">
      <alignment horizontal="center" vertical="top" wrapText="1"/>
    </xf>
    <xf numFmtId="0" fontId="37" fillId="65" borderId="10" xfId="0" applyFont="1" applyFill="1" applyBorder="1" applyAlignment="1">
      <alignment horizontal="center" vertical="top" wrapText="1"/>
    </xf>
    <xf numFmtId="0" fontId="37" fillId="34" borderId="10" xfId="0" applyFont="1" applyFill="1" applyBorder="1" applyAlignment="1">
      <alignment horizontal="center" vertical="top" wrapText="1"/>
    </xf>
    <xf numFmtId="0" fontId="39" fillId="0" borderId="10" xfId="0" applyFont="1" applyBorder="1" applyAlignment="1">
      <alignment horizontal="center" wrapText="1"/>
    </xf>
    <xf numFmtId="0" fontId="73" fillId="64" borderId="10" xfId="0" applyFont="1" applyFill="1" applyBorder="1" applyAlignment="1">
      <alignment horizontal="center" vertical="top" wrapText="1"/>
    </xf>
    <xf numFmtId="0" fontId="37" fillId="0" borderId="10" xfId="0" applyFont="1" applyBorder="1" applyAlignment="1">
      <alignment horizontal="center" vertical="top" wrapText="1"/>
    </xf>
    <xf numFmtId="0" fontId="26" fillId="0" borderId="10" xfId="0" applyFont="1" applyBorder="1" applyAlignment="1">
      <alignment horizontal="center" vertical="center" wrapText="1"/>
    </xf>
    <xf numFmtId="0" fontId="37" fillId="35" borderId="10" xfId="0" applyFont="1" applyFill="1" applyBorder="1" applyAlignment="1">
      <alignment horizontal="center" vertical="top" wrapText="1"/>
    </xf>
    <xf numFmtId="0" fontId="39" fillId="0" borderId="10" xfId="0" applyFont="1" applyBorder="1" applyAlignment="1">
      <alignment horizontal="center" vertical="center" wrapText="1"/>
    </xf>
    <xf numFmtId="0" fontId="38" fillId="55" borderId="10" xfId="0" applyFont="1" applyFill="1" applyBorder="1" applyAlignment="1">
      <alignment horizontal="center" vertical="top" wrapText="1"/>
    </xf>
    <xf numFmtId="0" fontId="37" fillId="55" borderId="10" xfId="0" applyFont="1" applyFill="1" applyBorder="1" applyAlignment="1">
      <alignment horizontal="center" vertical="top" wrapText="1"/>
    </xf>
    <xf numFmtId="0" fontId="68" fillId="0" borderId="10" xfId="0" applyFont="1" applyBorder="1" applyAlignment="1">
      <alignment horizontal="center" vertical="top" wrapText="1"/>
    </xf>
    <xf numFmtId="0" fontId="68" fillId="0" borderId="10" xfId="0" applyFont="1" applyBorder="1" applyAlignment="1">
      <alignment horizontal="center" wrapText="1"/>
    </xf>
    <xf numFmtId="0" fontId="37" fillId="33" borderId="10" xfId="0" applyFont="1" applyFill="1" applyBorder="1" applyAlignment="1">
      <alignment horizontal="center" vertical="top" wrapText="1"/>
    </xf>
    <xf numFmtId="0" fontId="68" fillId="0" borderId="10" xfId="0" applyFont="1" applyBorder="1" applyAlignment="1">
      <alignment horizontal="center" vertical="center" wrapText="1"/>
    </xf>
    <xf numFmtId="0" fontId="38" fillId="0" borderId="10" xfId="0" applyFont="1" applyBorder="1" applyAlignment="1">
      <alignment horizontal="center" wrapText="1"/>
    </xf>
    <xf numFmtId="0" fontId="74" fillId="0" borderId="10" xfId="0" applyFont="1" applyBorder="1" applyAlignment="1">
      <alignment horizontal="center" vertical="center" wrapText="1"/>
    </xf>
    <xf numFmtId="0" fontId="76" fillId="0" borderId="10" xfId="0" applyFont="1" applyBorder="1" applyAlignment="1">
      <alignment horizontal="center" wrapText="1"/>
    </xf>
    <xf numFmtId="0" fontId="37" fillId="67" borderId="10" xfId="0" applyFont="1" applyFill="1" applyBorder="1" applyAlignment="1">
      <alignment horizontal="center" vertical="top" wrapText="1"/>
    </xf>
    <xf numFmtId="0" fontId="39" fillId="67" borderId="10" xfId="0" applyFont="1" applyFill="1" applyBorder="1" applyAlignment="1">
      <alignment horizontal="center" wrapText="1"/>
    </xf>
    <xf numFmtId="0" fontId="37" fillId="37" borderId="10" xfId="0" applyFont="1" applyFill="1" applyBorder="1" applyAlignment="1">
      <alignment horizontal="center" vertical="top" wrapText="1"/>
    </xf>
    <xf numFmtId="0" fontId="37" fillId="38" borderId="10" xfId="0" applyFont="1" applyFill="1" applyBorder="1" applyAlignment="1">
      <alignment horizontal="center" vertical="top" wrapText="1"/>
    </xf>
    <xf numFmtId="0" fontId="26" fillId="67" borderId="10" xfId="0" applyFont="1" applyFill="1" applyBorder="1" applyAlignment="1">
      <alignment horizontal="center" vertical="center" wrapText="1"/>
    </xf>
    <xf numFmtId="0" fontId="77" fillId="0" borderId="10" xfId="0" applyFont="1" applyBorder="1" applyAlignment="1">
      <alignment horizontal="center" wrapText="1"/>
    </xf>
    <xf numFmtId="0" fontId="26" fillId="0" borderId="10" xfId="0" applyFont="1" applyBorder="1" applyAlignment="1">
      <alignment horizontal="center" wrapText="1"/>
    </xf>
    <xf numFmtId="0" fontId="39" fillId="0" borderId="0" xfId="0" applyFont="1" applyAlignment="1">
      <alignment horizontal="center" wrapText="1"/>
    </xf>
    <xf numFmtId="0" fontId="78" fillId="0" borderId="0" xfId="0" applyFont="1" applyAlignment="1">
      <alignment horizontal="center" wrapText="1"/>
    </xf>
    <xf numFmtId="0" fontId="78" fillId="0" borderId="10" xfId="0" applyFont="1" applyBorder="1" applyAlignment="1">
      <alignment horizontal="center" wrapText="1"/>
    </xf>
    <xf numFmtId="0" fontId="78" fillId="34" borderId="0" xfId="0" applyFont="1" applyFill="1" applyAlignment="1">
      <alignment horizontal="center"/>
    </xf>
    <xf numFmtId="0" fontId="78" fillId="34" borderId="10" xfId="0" applyFont="1" applyFill="1" applyBorder="1" applyAlignment="1">
      <alignment horizontal="center"/>
    </xf>
    <xf numFmtId="0" fontId="46" fillId="0" borderId="10" xfId="0" applyFont="1" applyBorder="1" applyAlignment="1">
      <alignment horizontal="center" vertical="center"/>
    </xf>
    <xf numFmtId="2" fontId="18" fillId="0" borderId="10" xfId="0" applyNumberFormat="1" applyFont="1" applyBorder="1" applyAlignment="1">
      <alignment horizontal="center" vertical="center"/>
    </xf>
    <xf numFmtId="0" fontId="47" fillId="0" borderId="10" xfId="0" applyFont="1" applyBorder="1"/>
    <xf numFmtId="0" fontId="18" fillId="0" borderId="10" xfId="0" applyFont="1" applyBorder="1"/>
    <xf numFmtId="2" fontId="44" fillId="0" borderId="10" xfId="0" applyNumberFormat="1" applyFont="1" applyBorder="1" applyAlignment="1">
      <alignment horizontal="center"/>
    </xf>
    <xf numFmtId="0" fontId="54" fillId="0" borderId="10" xfId="0" applyFont="1" applyBorder="1" applyAlignment="1">
      <alignment horizontal="left" vertical="center" indent="3"/>
    </xf>
    <xf numFmtId="1" fontId="47" fillId="0" borderId="10" xfId="0" applyNumberFormat="1" applyFont="1" applyBorder="1"/>
    <xf numFmtId="0" fontId="63" fillId="0" borderId="10" xfId="0" applyFont="1" applyBorder="1"/>
    <xf numFmtId="0" fontId="67" fillId="0" borderId="10" xfId="0" applyFont="1" applyBorder="1"/>
    <xf numFmtId="0" fontId="66" fillId="0" borderId="10" xfId="0" applyFont="1" applyBorder="1"/>
    <xf numFmtId="0" fontId="62" fillId="0" borderId="10" xfId="0" applyFont="1" applyBorder="1"/>
    <xf numFmtId="2" fontId="18" fillId="0" borderId="10" xfId="0" applyNumberFormat="1" applyFont="1" applyBorder="1"/>
    <xf numFmtId="0" fontId="18" fillId="43" borderId="10" xfId="0" applyFont="1" applyFill="1" applyBorder="1" applyAlignment="1">
      <alignment horizontal="center" vertical="center"/>
    </xf>
    <xf numFmtId="0" fontId="53" fillId="0" borderId="10" xfId="0" applyFont="1" applyBorder="1" applyAlignment="1">
      <alignment vertical="center"/>
    </xf>
    <xf numFmtId="0" fontId="55" fillId="0" borderId="10" xfId="0" applyFont="1" applyBorder="1" applyAlignment="1">
      <alignment vertical="center"/>
    </xf>
    <xf numFmtId="0" fontId="63" fillId="63" borderId="10" xfId="0" applyFont="1" applyFill="1" applyBorder="1" applyAlignment="1">
      <alignment horizontal="center"/>
    </xf>
    <xf numFmtId="0" fontId="18" fillId="63" borderId="10" xfId="0" applyFont="1" applyFill="1" applyBorder="1"/>
    <xf numFmtId="0" fontId="18" fillId="63" borderId="10" xfId="0" applyFont="1" applyFill="1" applyBorder="1" applyAlignment="1">
      <alignment horizontal="center"/>
    </xf>
    <xf numFmtId="0" fontId="46" fillId="0" borderId="10" xfId="0" applyFont="1" applyBorder="1" applyAlignment="1">
      <alignment horizontal="center"/>
    </xf>
    <xf numFmtId="0" fontId="18" fillId="42" borderId="10" xfId="0" applyFont="1" applyFill="1" applyBorder="1" applyAlignment="1">
      <alignment horizontal="center"/>
    </xf>
    <xf numFmtId="2" fontId="45" fillId="0" borderId="10" xfId="0" applyNumberFormat="1" applyFont="1" applyBorder="1" applyAlignment="1">
      <alignment horizontal="center"/>
    </xf>
    <xf numFmtId="0" fontId="70" fillId="33" borderId="10" xfId="0" applyFont="1" applyFill="1" applyBorder="1"/>
    <xf numFmtId="0" fontId="50" fillId="0" borderId="10" xfId="0" applyFont="1" applyBorder="1"/>
    <xf numFmtId="0" fontId="18" fillId="48" borderId="10" xfId="0" applyFont="1" applyFill="1" applyBorder="1" applyAlignment="1">
      <alignment horizontal="left"/>
    </xf>
    <xf numFmtId="0" fontId="47" fillId="33" borderId="10" xfId="0" applyFont="1" applyFill="1" applyBorder="1"/>
    <xf numFmtId="0" fontId="18" fillId="33" borderId="10" xfId="0" applyFont="1" applyFill="1" applyBorder="1" applyAlignment="1">
      <alignment horizontal="center"/>
    </xf>
    <xf numFmtId="0" fontId="18" fillId="36" borderId="10" xfId="0" applyFont="1" applyFill="1" applyBorder="1" applyAlignment="1">
      <alignment horizontal="center"/>
    </xf>
    <xf numFmtId="0" fontId="18" fillId="46" borderId="10" xfId="0" applyFont="1" applyFill="1" applyBorder="1" applyAlignment="1">
      <alignment horizontal="center"/>
    </xf>
    <xf numFmtId="0" fontId="79" fillId="34" borderId="10" xfId="0" applyFont="1" applyFill="1" applyBorder="1" applyAlignment="1">
      <alignment horizontal="center" vertical="center"/>
    </xf>
    <xf numFmtId="0" fontId="18" fillId="34" borderId="10" xfId="0" applyFont="1" applyFill="1" applyBorder="1" applyAlignment="1">
      <alignment horizontal="center"/>
    </xf>
    <xf numFmtId="0" fontId="79" fillId="34" borderId="10" xfId="0" applyFont="1" applyFill="1" applyBorder="1" applyAlignment="1">
      <alignment horizontal="center"/>
    </xf>
    <xf numFmtId="0" fontId="47" fillId="0" borderId="10" xfId="0" applyFont="1" applyBorder="1" applyAlignment="1">
      <alignment horizontal="center" vertical="center"/>
    </xf>
    <xf numFmtId="1" fontId="51" fillId="43" borderId="10" xfId="0" applyNumberFormat="1" applyFont="1" applyFill="1" applyBorder="1" applyAlignment="1">
      <alignment horizontal="center"/>
    </xf>
    <xf numFmtId="1" fontId="64" fillId="43" borderId="10" xfId="0" applyNumberFormat="1" applyFont="1" applyFill="1" applyBorder="1" applyAlignment="1">
      <alignment horizontal="center"/>
    </xf>
    <xf numFmtId="0" fontId="47" fillId="34" borderId="10" xfId="0" applyFont="1" applyFill="1" applyBorder="1"/>
    <xf numFmtId="167" fontId="18" fillId="0" borderId="10" xfId="0" applyNumberFormat="1" applyFont="1" applyBorder="1" applyAlignment="1">
      <alignment horizontal="center"/>
    </xf>
    <xf numFmtId="0" fontId="0" fillId="44" borderId="10" xfId="0" applyFill="1" applyBorder="1"/>
    <xf numFmtId="167" fontId="47" fillId="52" borderId="10" xfId="0" applyNumberFormat="1" applyFont="1" applyFill="1" applyBorder="1" applyAlignment="1">
      <alignment horizontal="center" vertical="center"/>
    </xf>
    <xf numFmtId="2" fontId="16" fillId="44" borderId="10" xfId="0" applyNumberFormat="1" applyFont="1" applyFill="1" applyBorder="1"/>
    <xf numFmtId="2" fontId="47" fillId="0" borderId="10" xfId="0" applyNumberFormat="1" applyFont="1" applyBorder="1" applyAlignment="1">
      <alignment horizontal="center" vertical="center"/>
    </xf>
    <xf numFmtId="2" fontId="47" fillId="53" borderId="10" xfId="0" applyNumberFormat="1" applyFont="1" applyFill="1" applyBorder="1" applyAlignment="1">
      <alignment horizontal="center" vertical="center"/>
    </xf>
    <xf numFmtId="2" fontId="47" fillId="52" borderId="10" xfId="0" applyNumberFormat="1" applyFont="1" applyFill="1" applyBorder="1" applyAlignment="1">
      <alignment horizontal="center" vertical="center"/>
    </xf>
    <xf numFmtId="2" fontId="18" fillId="52" borderId="10" xfId="0" applyNumberFormat="1" applyFont="1" applyFill="1" applyBorder="1" applyAlignment="1">
      <alignment horizontal="center" vertical="center"/>
    </xf>
    <xf numFmtId="2" fontId="47" fillId="38" borderId="10" xfId="0" applyNumberFormat="1" applyFont="1" applyFill="1" applyBorder="1" applyAlignment="1">
      <alignment horizontal="center" vertical="center"/>
    </xf>
    <xf numFmtId="0" fontId="18" fillId="34" borderId="10" xfId="0" applyFont="1" applyFill="1" applyBorder="1"/>
    <xf numFmtId="2" fontId="47" fillId="34" borderId="10" xfId="0" applyNumberFormat="1" applyFont="1" applyFill="1" applyBorder="1"/>
    <xf numFmtId="0" fontId="52" fillId="0" borderId="10" xfId="0" applyFont="1" applyBorder="1"/>
    <xf numFmtId="2" fontId="48" fillId="52" borderId="10" xfId="0" applyNumberFormat="1" applyFont="1" applyFill="1" applyBorder="1" applyAlignment="1">
      <alignment horizontal="center" vertical="center"/>
    </xf>
    <xf numFmtId="0" fontId="47" fillId="52" borderId="10" xfId="0" applyFont="1" applyFill="1" applyBorder="1" applyAlignment="1">
      <alignment horizontal="center" vertical="center"/>
    </xf>
    <xf numFmtId="2" fontId="18" fillId="45" borderId="10" xfId="0" applyNumberFormat="1" applyFont="1" applyFill="1" applyBorder="1" applyAlignment="1">
      <alignment horizontal="center" vertical="center"/>
    </xf>
    <xf numFmtId="2" fontId="47" fillId="45" borderId="10" xfId="0" applyNumberFormat="1" applyFont="1" applyFill="1" applyBorder="1" applyAlignment="1">
      <alignment horizontal="center" vertical="center"/>
    </xf>
    <xf numFmtId="0" fontId="59" fillId="58" borderId="11" xfId="0" applyFont="1" applyFill="1" applyBorder="1" applyAlignment="1">
      <alignment horizontal="center" vertical="center" wrapText="1"/>
    </xf>
    <xf numFmtId="0" fontId="59" fillId="58" borderId="12" xfId="0" applyFont="1" applyFill="1" applyBorder="1" applyAlignment="1">
      <alignment horizontal="center" vertical="center" wrapText="1"/>
    </xf>
    <xf numFmtId="0" fontId="58" fillId="34" borderId="10" xfId="0" applyFont="1" applyFill="1" applyBorder="1" applyAlignment="1">
      <alignment horizontal="center" wrapText="1"/>
    </xf>
    <xf numFmtId="0" fontId="82" fillId="0" borderId="0" xfId="0" applyFont="1" applyAlignment="1">
      <alignment horizontal="center"/>
    </xf>
    <xf numFmtId="9" fontId="56" fillId="0" borderId="10" xfId="0" applyNumberFormat="1" applyFont="1" applyBorder="1" applyAlignment="1" applyProtection="1">
      <alignment horizontal="center"/>
      <protection locked="0"/>
    </xf>
    <xf numFmtId="0" fontId="38" fillId="35" borderId="10" xfId="0" applyFont="1" applyFill="1" applyBorder="1" applyAlignment="1">
      <alignment horizontal="center" vertical="top" wrapText="1"/>
    </xf>
    <xf numFmtId="0" fontId="56" fillId="53" borderId="10" xfId="0" applyFont="1" applyFill="1" applyBorder="1" applyAlignment="1">
      <alignment horizontal="center" wrapText="1"/>
    </xf>
    <xf numFmtId="0" fontId="30" fillId="0" borderId="10" xfId="0" applyFont="1" applyBorder="1" applyAlignment="1">
      <alignment horizontal="center"/>
    </xf>
    <xf numFmtId="0" fontId="30" fillId="0" borderId="10" xfId="0" applyFont="1" applyBorder="1" applyAlignment="1" applyProtection="1">
      <alignment horizontal="center"/>
      <protection locked="0"/>
    </xf>
    <xf numFmtId="0" fontId="83" fillId="68" borderId="0" xfId="0" applyFont="1" applyFill="1" applyAlignment="1">
      <alignment horizontal="center" vertical="center" wrapText="1"/>
    </xf>
    <xf numFmtId="0" fontId="30" fillId="68" borderId="0" xfId="0" applyFont="1" applyFill="1" applyAlignment="1">
      <alignment horizontal="center"/>
    </xf>
    <xf numFmtId="0" fontId="30" fillId="69" borderId="10" xfId="0" applyFont="1" applyFill="1" applyBorder="1" applyAlignment="1">
      <alignment horizontal="center" wrapText="1"/>
    </xf>
    <xf numFmtId="0" fontId="83" fillId="69" borderId="0" xfId="0" applyFont="1" applyFill="1" applyAlignment="1">
      <alignment horizontal="center" vertical="center" wrapText="1"/>
    </xf>
    <xf numFmtId="0" fontId="30" fillId="69" borderId="0" xfId="0" applyFont="1" applyFill="1" applyAlignment="1">
      <alignment horizontal="center"/>
    </xf>
    <xf numFmtId="0" fontId="56" fillId="53" borderId="10" xfId="0" applyFont="1" applyFill="1" applyBorder="1" applyAlignment="1">
      <alignment horizontal="center"/>
    </xf>
    <xf numFmtId="0" fontId="56" fillId="55" borderId="10" xfId="0" applyFont="1" applyFill="1" applyBorder="1" applyAlignment="1">
      <alignment horizontal="center"/>
    </xf>
    <xf numFmtId="0" fontId="0" fillId="0" borderId="10" xfId="0" applyBorder="1" applyAlignment="1">
      <alignment horizontal="right" vertical="center"/>
    </xf>
    <xf numFmtId="0" fontId="32" fillId="0" borderId="10" xfId="0" applyFont="1" applyBorder="1" applyAlignment="1">
      <alignment horizontal="left" vertical="center" wrapText="1"/>
    </xf>
    <xf numFmtId="0" fontId="32" fillId="0" borderId="10" xfId="0" applyFont="1" applyBorder="1" applyAlignment="1">
      <alignment wrapText="1"/>
    </xf>
    <xf numFmtId="0" fontId="32" fillId="0" borderId="10" xfId="42" applyFont="1" applyBorder="1" applyAlignment="1">
      <alignment wrapText="1"/>
    </xf>
    <xf numFmtId="0" fontId="34" fillId="0" borderId="10" xfId="0" applyFont="1" applyBorder="1" applyAlignment="1">
      <alignment horizontal="right" vertical="center" wrapText="1"/>
    </xf>
    <xf numFmtId="0" fontId="34" fillId="45" borderId="10" xfId="0" applyFont="1" applyFill="1" applyBorder="1" applyAlignment="1">
      <alignment horizontal="right" vertical="center"/>
    </xf>
    <xf numFmtId="0" fontId="32" fillId="45" borderId="10" xfId="0" applyFont="1" applyFill="1" applyBorder="1" applyAlignment="1">
      <alignment horizontal="center" vertical="center" wrapText="1"/>
    </xf>
    <xf numFmtId="0" fontId="0" fillId="45" borderId="10" xfId="0" applyFill="1" applyBorder="1" applyAlignment="1">
      <alignment horizontal="right" vertical="center"/>
    </xf>
    <xf numFmtId="9" fontId="26" fillId="0" borderId="10" xfId="0" applyNumberFormat="1" applyFont="1" applyBorder="1" applyAlignment="1">
      <alignment horizontal="center" vertical="center"/>
    </xf>
    <xf numFmtId="9" fontId="32" fillId="0" borderId="10" xfId="0" applyNumberFormat="1" applyFont="1" applyBorder="1" applyAlignment="1">
      <alignment horizontal="left" vertical="center" wrapText="1"/>
    </xf>
    <xf numFmtId="0" fontId="81" fillId="0" borderId="10" xfId="0" applyFont="1" applyBorder="1" applyAlignment="1">
      <alignment horizontal="right" vertical="center" wrapText="1" readingOrder="1"/>
    </xf>
    <xf numFmtId="0" fontId="35" fillId="0" borderId="10" xfId="0" applyFont="1" applyBorder="1" applyAlignment="1">
      <alignment horizontal="right" vertical="center" wrapText="1"/>
    </xf>
    <xf numFmtId="2" fontId="32" fillId="0" borderId="10" xfId="0" applyNumberFormat="1" applyFont="1" applyBorder="1" applyAlignment="1">
      <alignment horizontal="center" vertical="center" wrapText="1"/>
    </xf>
    <xf numFmtId="0" fontId="24" fillId="43" borderId="10" xfId="0" applyFont="1" applyFill="1" applyBorder="1" applyAlignment="1">
      <alignment horizontal="center"/>
    </xf>
    <xf numFmtId="0" fontId="0" fillId="37" borderId="0" xfId="0" applyFill="1"/>
    <xf numFmtId="0" fontId="40" fillId="0" borderId="0" xfId="0" applyFont="1" applyAlignment="1">
      <alignment horizontal="right" vertical="center" wrapText="1"/>
    </xf>
    <xf numFmtId="0" fontId="30" fillId="0" borderId="0" xfId="0" applyFont="1" applyAlignment="1">
      <alignment horizontal="center"/>
    </xf>
    <xf numFmtId="0" fontId="30" fillId="0" borderId="0" xfId="0" applyFont="1" applyAlignment="1">
      <alignment horizontal="right" vertical="center"/>
    </xf>
    <xf numFmtId="164" fontId="41" fillId="0" borderId="0" xfId="0" applyNumberFormat="1" applyFont="1" applyAlignment="1">
      <alignment horizontal="center"/>
    </xf>
    <xf numFmtId="0" fontId="16" fillId="0" borderId="0" xfId="0" applyFont="1" applyAlignment="1">
      <alignment horizontal="left"/>
    </xf>
    <xf numFmtId="0" fontId="40" fillId="0" borderId="0" xfId="0" applyFont="1" applyAlignment="1">
      <alignment horizontal="right"/>
    </xf>
    <xf numFmtId="0" fontId="30" fillId="0" borderId="0" xfId="0" applyFont="1" applyAlignment="1">
      <alignment horizontal="right"/>
    </xf>
    <xf numFmtId="0" fontId="0" fillId="34" borderId="0" xfId="0" applyFill="1" applyAlignment="1">
      <alignment horizontal="center"/>
    </xf>
    <xf numFmtId="2" fontId="56" fillId="43" borderId="10" xfId="0" applyNumberFormat="1" applyFont="1" applyFill="1" applyBorder="1" applyAlignment="1">
      <alignment horizontal="center"/>
    </xf>
    <xf numFmtId="2" fontId="0" fillId="37" borderId="0" xfId="0" applyNumberFormat="1" applyFill="1" applyAlignment="1">
      <alignment horizontal="center"/>
    </xf>
    <xf numFmtId="0" fontId="85" fillId="0" borderId="10" xfId="0" applyFont="1" applyBorder="1" applyAlignment="1">
      <alignment horizontal="center" wrapText="1"/>
    </xf>
    <xf numFmtId="0" fontId="84" fillId="34" borderId="10" xfId="0" applyFont="1" applyFill="1" applyBorder="1" applyAlignment="1">
      <alignment horizontal="center" wrapText="1"/>
    </xf>
    <xf numFmtId="0" fontId="85" fillId="34" borderId="10" xfId="0" applyFont="1" applyFill="1" applyBorder="1" applyAlignment="1">
      <alignment horizontal="center" wrapText="1"/>
    </xf>
    <xf numFmtId="0" fontId="85" fillId="34" borderId="10" xfId="0" applyFont="1" applyFill="1" applyBorder="1" applyAlignment="1">
      <alignment horizontal="center" vertical="center"/>
    </xf>
    <xf numFmtId="0" fontId="85" fillId="34" borderId="10" xfId="0" applyFont="1" applyFill="1" applyBorder="1" applyAlignment="1">
      <alignment horizontal="center"/>
    </xf>
    <xf numFmtId="0" fontId="87" fillId="34" borderId="10" xfId="0" applyFont="1" applyFill="1" applyBorder="1" applyAlignment="1">
      <alignment horizontal="right" vertical="center"/>
    </xf>
    <xf numFmtId="0" fontId="34" fillId="34" borderId="10" xfId="0" applyFont="1" applyFill="1" applyBorder="1" applyAlignment="1">
      <alignment horizontal="right" vertical="center"/>
    </xf>
    <xf numFmtId="0" fontId="88" fillId="0" borderId="10" xfId="0" applyFont="1" applyBorder="1" applyAlignment="1">
      <alignment vertical="center" wrapText="1"/>
    </xf>
    <xf numFmtId="0" fontId="88" fillId="0" borderId="10" xfId="0" applyFont="1" applyBorder="1"/>
    <xf numFmtId="9" fontId="38" fillId="67" borderId="10" xfId="0" applyNumberFormat="1" applyFont="1" applyFill="1" applyBorder="1" applyAlignment="1">
      <alignment horizontal="center" vertical="top" wrapText="1"/>
    </xf>
    <xf numFmtId="0" fontId="38" fillId="70" borderId="10" xfId="0" applyFont="1" applyFill="1" applyBorder="1" applyAlignment="1">
      <alignment horizontal="center" vertical="top" wrapText="1"/>
    </xf>
    <xf numFmtId="10" fontId="16" fillId="0" borderId="0" xfId="0" applyNumberFormat="1" applyFont="1" applyAlignment="1">
      <alignment horizontal="left" indent="1"/>
    </xf>
    <xf numFmtId="10" fontId="0" fillId="0" borderId="0" xfId="0" applyNumberFormat="1" applyAlignment="1">
      <alignment horizontal="left" indent="1"/>
    </xf>
    <xf numFmtId="2" fontId="16" fillId="0" borderId="0" xfId="0" applyNumberFormat="1" applyFont="1" applyAlignment="1">
      <alignment horizontal="left" indent="1"/>
    </xf>
    <xf numFmtId="164" fontId="0" fillId="0" borderId="0" xfId="0" applyNumberFormat="1" applyAlignment="1">
      <alignment horizontal="center"/>
    </xf>
    <xf numFmtId="0" fontId="18" fillId="0" borderId="10" xfId="0" applyFont="1" applyBorder="1" applyAlignment="1">
      <alignment vertical="center"/>
    </xf>
    <xf numFmtId="0" fontId="48" fillId="0" borderId="10" xfId="0" applyFont="1" applyBorder="1" applyAlignment="1">
      <alignment horizontal="left" vertical="center"/>
    </xf>
    <xf numFmtId="0" fontId="64" fillId="0" borderId="10" xfId="0" applyFont="1" applyBorder="1" applyAlignment="1">
      <alignment horizontal="left" vertical="center"/>
    </xf>
    <xf numFmtId="0" fontId="63" fillId="0" borderId="10" xfId="0" applyFont="1" applyBorder="1" applyAlignment="1">
      <alignment horizontal="left" vertical="center"/>
    </xf>
    <xf numFmtId="2" fontId="31" fillId="0" borderId="10" xfId="0" applyNumberFormat="1" applyFont="1" applyBorder="1" applyAlignment="1">
      <alignment horizontal="center" vertical="center"/>
    </xf>
    <xf numFmtId="10" fontId="41" fillId="0" borderId="0" xfId="0" applyNumberFormat="1" applyFont="1" applyAlignment="1">
      <alignment horizontal="center"/>
    </xf>
    <xf numFmtId="168" fontId="19" fillId="0" borderId="10" xfId="0" applyNumberFormat="1" applyFont="1" applyBorder="1" applyAlignment="1">
      <alignment horizontal="center"/>
    </xf>
    <xf numFmtId="10" fontId="30" fillId="0" borderId="0" xfId="0" applyNumberFormat="1" applyFont="1" applyAlignment="1">
      <alignment horizontal="center"/>
    </xf>
    <xf numFmtId="10" fontId="0" fillId="0" borderId="0" xfId="0" applyNumberFormat="1" applyAlignment="1">
      <alignment horizontal="center"/>
    </xf>
    <xf numFmtId="1" fontId="19" fillId="34" borderId="10" xfId="0" applyNumberFormat="1" applyFont="1" applyFill="1" applyBorder="1" applyAlignment="1">
      <alignment horizontal="center"/>
    </xf>
    <xf numFmtId="164" fontId="19" fillId="34" borderId="10" xfId="0" applyNumberFormat="1" applyFont="1" applyFill="1" applyBorder="1" applyAlignment="1">
      <alignment horizontal="center"/>
    </xf>
    <xf numFmtId="0" fontId="30" fillId="50" borderId="10" xfId="0" applyFont="1" applyFill="1" applyBorder="1" applyAlignment="1">
      <alignment horizontal="center" vertical="center"/>
    </xf>
    <xf numFmtId="0" fontId="40" fillId="0" borderId="10" xfId="0" applyFont="1" applyBorder="1" applyAlignment="1">
      <alignment horizontal="center"/>
    </xf>
    <xf numFmtId="0" fontId="40" fillId="50" borderId="10" xfId="0" applyFont="1" applyFill="1" applyBorder="1" applyAlignment="1">
      <alignment horizontal="center"/>
    </xf>
    <xf numFmtId="0" fontId="40" fillId="34" borderId="10" xfId="0" applyFont="1" applyFill="1" applyBorder="1" applyAlignment="1">
      <alignment horizontal="center"/>
    </xf>
    <xf numFmtId="0" fontId="0" fillId="43" borderId="0" xfId="0" applyFill="1" applyAlignment="1">
      <alignment horizontal="center"/>
    </xf>
    <xf numFmtId="2" fontId="0" fillId="0" borderId="0" xfId="0" applyNumberFormat="1"/>
  </cellXfs>
  <cellStyles count="43">
    <cellStyle name="20 % - Accent1" xfId="19" builtinId="30" customBuiltin="1"/>
    <cellStyle name="20 % - Accent2" xfId="23" builtinId="34" customBuiltin="1"/>
    <cellStyle name="20 % - Accent3" xfId="27" builtinId="38" customBuiltin="1"/>
    <cellStyle name="20 % - Accent4" xfId="31" builtinId="42" customBuiltin="1"/>
    <cellStyle name="20 % - Accent5" xfId="35" builtinId="46" customBuiltin="1"/>
    <cellStyle name="20 % - Accent6" xfId="39" builtinId="50" customBuiltin="1"/>
    <cellStyle name="40 % - Accent1" xfId="20" builtinId="31" customBuiltin="1"/>
    <cellStyle name="40 % - Accent2" xfId="24" builtinId="35" customBuiltin="1"/>
    <cellStyle name="40 % - Accent3" xfId="28" builtinId="39" customBuiltin="1"/>
    <cellStyle name="40 % - Accent4" xfId="32" builtinId="43" customBuiltin="1"/>
    <cellStyle name="40 % - Accent5" xfId="36" builtinId="47" customBuiltin="1"/>
    <cellStyle name="40 % - Accent6" xfId="40" builtinId="51" customBuiltin="1"/>
    <cellStyle name="60 % - Accent1" xfId="21" builtinId="32" customBuiltin="1"/>
    <cellStyle name="60 % - Accent2" xfId="25" builtinId="36" customBuiltin="1"/>
    <cellStyle name="60 % - Accent3" xfId="29" builtinId="40" customBuiltin="1"/>
    <cellStyle name="60 % - Accent4" xfId="33" builtinId="44" customBuiltin="1"/>
    <cellStyle name="60 % - Accent5" xfId="37" builtinId="48" customBuiltin="1"/>
    <cellStyle name="60 %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vertissement" xfId="14" builtinId="11" customBuiltin="1"/>
    <cellStyle name="Calcul" xfId="11" builtinId="22" customBuiltin="1"/>
    <cellStyle name="Cellule liée" xfId="12" builtinId="24" customBuiltin="1"/>
    <cellStyle name="Entrée" xfId="9" builtinId="20" customBuiltin="1"/>
    <cellStyle name="Insatisfaisant" xfId="7" builtinId="27" customBuiltin="1"/>
    <cellStyle name="Lien hypertexte" xfId="42" builtinId="8"/>
    <cellStyle name="Neutre" xfId="8" builtinId="28" customBuiltin="1"/>
    <cellStyle name="Normal" xfId="0" builtinId="0"/>
    <cellStyle name="Note" xfId="15" builtinId="10" customBuiltin="1"/>
    <cellStyle name="Satisfaisant" xfId="6" builtinId="26" customBuiltin="1"/>
    <cellStyle name="Sortie" xfId="10" builtinId="21" customBuiltin="1"/>
    <cellStyle name="Texte explicatif" xfId="16" builtinId="53" customBuiltin="1"/>
    <cellStyle name="Titre" xfId="1" builtinId="15" customBuiltin="1"/>
    <cellStyle name="Titre 1" xfId="2" builtinId="16" customBuiltin="1"/>
    <cellStyle name="Titre 2" xfId="3" builtinId="17" customBuiltin="1"/>
    <cellStyle name="Titre 3" xfId="4" builtinId="18" customBuiltin="1"/>
    <cellStyle name="Titre 4" xfId="5" builtinId="19" customBuiltin="1"/>
    <cellStyle name="Total" xfId="17" builtinId="25" customBuiltin="1"/>
    <cellStyle name="Vérification" xfId="13" builtinId="23" customBuiltin="1"/>
  </cellStyles>
  <dxfs count="62">
    <dxf>
      <fill>
        <patternFill>
          <bgColor rgb="FFFFC000"/>
        </patternFill>
      </fill>
    </dxf>
    <dxf>
      <fill>
        <patternFill>
          <bgColor theme="1" tint="4.9989318521683403E-2"/>
        </patternFill>
      </fill>
    </dxf>
    <dxf>
      <fill>
        <patternFill>
          <bgColor rgb="FFFFC000"/>
        </patternFill>
      </fill>
    </dxf>
    <dxf>
      <fill>
        <patternFill>
          <bgColor rgb="FFFF0000"/>
        </patternFill>
      </fill>
    </dxf>
    <dxf>
      <fill>
        <patternFill>
          <bgColor theme="1" tint="4.9989318521683403E-2"/>
        </patternFill>
      </fill>
    </dxf>
    <dxf>
      <fill>
        <patternFill>
          <bgColor theme="1" tint="4.9989318521683403E-2"/>
        </patternFill>
      </fill>
    </dxf>
    <dxf>
      <fill>
        <patternFill>
          <bgColor rgb="FFFF0000"/>
        </patternFill>
      </fill>
    </dxf>
    <dxf>
      <fill>
        <patternFill>
          <bgColor theme="1" tint="4.9989318521683403E-2"/>
        </patternFill>
      </fill>
    </dxf>
    <dxf>
      <fill>
        <patternFill>
          <bgColor theme="1"/>
        </patternFill>
      </fill>
    </dxf>
    <dxf>
      <fill>
        <patternFill>
          <bgColor theme="1" tint="4.9989318521683403E-2"/>
        </patternFill>
      </fill>
    </dxf>
    <dxf>
      <fill>
        <patternFill>
          <bgColor rgb="FFFF0000"/>
        </patternFill>
      </fill>
    </dxf>
    <dxf>
      <fill>
        <patternFill>
          <bgColor theme="1" tint="4.9989318521683403E-2"/>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theme="1" tint="4.9989318521683403E-2"/>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00B050"/>
        </patternFill>
      </fill>
    </dxf>
    <dxf>
      <fill>
        <patternFill>
          <bgColor theme="5"/>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theme="1"/>
        </patternFill>
      </fill>
    </dxf>
    <dxf>
      <fill>
        <patternFill>
          <bgColor rgb="FF00B050"/>
        </patternFill>
      </fill>
    </dxf>
    <dxf>
      <fill>
        <patternFill>
          <bgColor rgb="FF00B050"/>
        </patternFill>
      </fill>
    </dxf>
    <dxf>
      <fill>
        <patternFill>
          <bgColor theme="1" tint="4.9989318521683403E-2"/>
        </patternFill>
      </fill>
    </dxf>
    <dxf>
      <fill>
        <patternFill>
          <bgColor rgb="FF00B050"/>
        </patternFill>
      </fill>
    </dxf>
    <dxf>
      <fill>
        <patternFill>
          <bgColor theme="1" tint="4.9989318521683403E-2"/>
        </patternFill>
      </fill>
    </dxf>
    <dxf>
      <fill>
        <patternFill>
          <bgColor rgb="FFFFC000"/>
        </patternFill>
      </fill>
    </dxf>
    <dxf>
      <fill>
        <patternFill>
          <bgColor theme="1"/>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0000"/>
        </patternFill>
      </fill>
    </dxf>
  </dxfs>
  <tableStyles count="1" defaultTableStyle="TableStyleMedium2" defaultPivotStyle="PivotStyleLight16">
    <tableStyle name="Invisible" pivot="0" table="0" count="0" xr9:uid="{36ACC6AA-6285-41BA-81CA-4F089CF21105}"/>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4349225235734423"/>
          <c:y val="9.0112850001633632E-2"/>
          <c:w val="0.53194906192281521"/>
          <c:h val="0.59136798771522858"/>
        </c:manualLayout>
      </c:layout>
      <c:radarChart>
        <c:radarStyle val="filled"/>
        <c:varyColors val="0"/>
        <c:ser>
          <c:idx val="1"/>
          <c:order val="0"/>
          <c:spPr>
            <a:solidFill>
              <a:schemeClr val="accent6">
                <a:lumMod val="60000"/>
                <a:lumOff val="40000"/>
                <a:alpha val="52000"/>
              </a:schemeClr>
            </a:solidFill>
            <a:ln>
              <a:solidFill>
                <a:srgbClr val="00B050"/>
              </a:solidFill>
            </a:ln>
            <a:effectLst/>
          </c:spPr>
          <c:cat>
            <c:strRef>
              <c:f>RESULTATS!$Q$3:$Q$23</c:f>
              <c:strCache>
                <c:ptCount val="21"/>
                <c:pt idx="0">
                  <c:v>Cancer de la prostate</c:v>
                </c:pt>
                <c:pt idx="1">
                  <c:v>Hypertrophie prostatique</c:v>
                </c:pt>
                <c:pt idx="2">
                  <c:v>Insuffisance rénale</c:v>
                </c:pt>
                <c:pt idx="3">
                  <c:v>Lithiase urinaire</c:v>
                </c:pt>
                <c:pt idx="4">
                  <c:v>Ostéopénie</c:v>
                </c:pt>
                <c:pt idx="5">
                  <c:v>Cancer du colon</c:v>
                </c:pt>
                <c:pt idx="6">
                  <c:v>Maladie du Foie et lithiase biliaire</c:v>
                </c:pt>
                <c:pt idx="7">
                  <c:v>Insuffisance thyroidienne</c:v>
                </c:pt>
                <c:pt idx="8">
                  <c:v>Dyslipidémie</c:v>
                </c:pt>
                <c:pt idx="9">
                  <c:v>Diabéte type 2</c:v>
                </c:pt>
                <c:pt idx="10">
                  <c:v>Syndrome métabolique</c:v>
                </c:pt>
                <c:pt idx="11">
                  <c:v>Thrombophlébite</c:v>
                </c:pt>
                <c:pt idx="12">
                  <c:v>Anévrysme et artériopathie</c:v>
                </c:pt>
                <c:pt idx="13">
                  <c:v>Accident vasculaire cérébral</c:v>
                </c:pt>
                <c:pt idx="14">
                  <c:v>Cardiopathie ischémique</c:v>
                </c:pt>
                <c:pt idx="15">
                  <c:v>Cancer du poumon</c:v>
                </c:pt>
                <c:pt idx="16">
                  <c:v>Cancer ORL</c:v>
                </c:pt>
                <c:pt idx="17">
                  <c:v>Asthme et BPCO</c:v>
                </c:pt>
                <c:pt idx="18">
                  <c:v>Mélanome</c:v>
                </c:pt>
                <c:pt idx="19">
                  <c:v>Cancers Sein-Ovaire-Endométre</c:v>
                </c:pt>
                <c:pt idx="20">
                  <c:v>Tumeur de vessie</c:v>
                </c:pt>
              </c:strCache>
            </c:strRef>
          </c:cat>
          <c:val>
            <c:numRef>
              <c:f>RESULTATS!$S$3:$S$23</c:f>
              <c:numCache>
                <c:formatCode>General</c:formatCode>
                <c:ptCount val="21"/>
                <c:pt idx="0">
                  <c:v>1.2</c:v>
                </c:pt>
                <c:pt idx="1">
                  <c:v>1.2</c:v>
                </c:pt>
                <c:pt idx="2">
                  <c:v>1.2</c:v>
                </c:pt>
                <c:pt idx="3">
                  <c:v>1.2</c:v>
                </c:pt>
                <c:pt idx="4">
                  <c:v>1.2</c:v>
                </c:pt>
                <c:pt idx="5">
                  <c:v>1.2</c:v>
                </c:pt>
                <c:pt idx="6">
                  <c:v>1.2</c:v>
                </c:pt>
                <c:pt idx="7">
                  <c:v>1.2</c:v>
                </c:pt>
                <c:pt idx="8">
                  <c:v>1.2</c:v>
                </c:pt>
                <c:pt idx="9">
                  <c:v>1.2</c:v>
                </c:pt>
                <c:pt idx="10">
                  <c:v>1.2</c:v>
                </c:pt>
                <c:pt idx="11">
                  <c:v>1.2</c:v>
                </c:pt>
                <c:pt idx="12">
                  <c:v>1.2</c:v>
                </c:pt>
                <c:pt idx="13">
                  <c:v>1.2</c:v>
                </c:pt>
                <c:pt idx="14">
                  <c:v>1.2</c:v>
                </c:pt>
                <c:pt idx="15">
                  <c:v>1.2</c:v>
                </c:pt>
                <c:pt idx="16">
                  <c:v>1.2</c:v>
                </c:pt>
                <c:pt idx="17">
                  <c:v>1.2</c:v>
                </c:pt>
                <c:pt idx="18">
                  <c:v>1.2</c:v>
                </c:pt>
                <c:pt idx="19">
                  <c:v>1.2</c:v>
                </c:pt>
                <c:pt idx="20">
                  <c:v>1.2</c:v>
                </c:pt>
              </c:numCache>
            </c:numRef>
          </c:val>
          <c:extLst>
            <c:ext xmlns:c16="http://schemas.microsoft.com/office/drawing/2014/chart" uri="{C3380CC4-5D6E-409C-BE32-E72D297353CC}">
              <c16:uniqueId val="{00000001-BDD6-483C-B247-93D887FD4E92}"/>
            </c:ext>
          </c:extLst>
        </c:ser>
        <c:ser>
          <c:idx val="0"/>
          <c:order val="1"/>
          <c:spPr>
            <a:noFill/>
            <a:ln w="57150">
              <a:solidFill>
                <a:srgbClr val="7030A0"/>
              </a:solidFill>
            </a:ln>
            <a:effectLst/>
          </c:spPr>
          <c:cat>
            <c:strRef>
              <c:f>RESULTATS!$Q$3:$Q$23</c:f>
              <c:strCache>
                <c:ptCount val="21"/>
                <c:pt idx="0">
                  <c:v>Cancer de la prostate</c:v>
                </c:pt>
                <c:pt idx="1">
                  <c:v>Hypertrophie prostatique</c:v>
                </c:pt>
                <c:pt idx="2">
                  <c:v>Insuffisance rénale</c:v>
                </c:pt>
                <c:pt idx="3">
                  <c:v>Lithiase urinaire</c:v>
                </c:pt>
                <c:pt idx="4">
                  <c:v>Ostéopénie</c:v>
                </c:pt>
                <c:pt idx="5">
                  <c:v>Cancer du colon</c:v>
                </c:pt>
                <c:pt idx="6">
                  <c:v>Maladie du Foie et lithiase biliaire</c:v>
                </c:pt>
                <c:pt idx="7">
                  <c:v>Insuffisance thyroidienne</c:v>
                </c:pt>
                <c:pt idx="8">
                  <c:v>Dyslipidémie</c:v>
                </c:pt>
                <c:pt idx="9">
                  <c:v>Diabéte type 2</c:v>
                </c:pt>
                <c:pt idx="10">
                  <c:v>Syndrome métabolique</c:v>
                </c:pt>
                <c:pt idx="11">
                  <c:v>Thrombophlébite</c:v>
                </c:pt>
                <c:pt idx="12">
                  <c:v>Anévrysme et artériopathie</c:v>
                </c:pt>
                <c:pt idx="13">
                  <c:v>Accident vasculaire cérébral</c:v>
                </c:pt>
                <c:pt idx="14">
                  <c:v>Cardiopathie ischémique</c:v>
                </c:pt>
                <c:pt idx="15">
                  <c:v>Cancer du poumon</c:v>
                </c:pt>
                <c:pt idx="16">
                  <c:v>Cancer ORL</c:v>
                </c:pt>
                <c:pt idx="17">
                  <c:v>Asthme et BPCO</c:v>
                </c:pt>
                <c:pt idx="18">
                  <c:v>Mélanome</c:v>
                </c:pt>
                <c:pt idx="19">
                  <c:v>Cancers Sein-Ovaire-Endométre</c:v>
                </c:pt>
                <c:pt idx="20">
                  <c:v>Tumeur de vessie</c:v>
                </c:pt>
              </c:strCache>
            </c:strRef>
          </c:cat>
          <c:val>
            <c:numRef>
              <c:f>RESULTATS!$T$3:$T$23</c:f>
              <c:numCache>
                <c:formatCode>0.00</c:formatCode>
                <c:ptCount val="21"/>
                <c:pt idx="0">
                  <c:v>2.2458333333333336</c:v>
                </c:pt>
                <c:pt idx="1">
                  <c:v>1.44</c:v>
                </c:pt>
                <c:pt idx="2">
                  <c:v>1.44</c:v>
                </c:pt>
                <c:pt idx="3">
                  <c:v>2.16</c:v>
                </c:pt>
                <c:pt idx="4">
                  <c:v>0.96</c:v>
                </c:pt>
                <c:pt idx="5">
                  <c:v>1.296</c:v>
                </c:pt>
                <c:pt idx="6">
                  <c:v>1.4517823333634989</c:v>
                </c:pt>
                <c:pt idx="7">
                  <c:v>0</c:v>
                </c:pt>
                <c:pt idx="8">
                  <c:v>0</c:v>
                </c:pt>
                <c:pt idx="9">
                  <c:v>0</c:v>
                </c:pt>
                <c:pt idx="10">
                  <c:v>3</c:v>
                </c:pt>
                <c:pt idx="11">
                  <c:v>1.08</c:v>
                </c:pt>
                <c:pt idx="12">
                  <c:v>1.728</c:v>
                </c:pt>
                <c:pt idx="13">
                  <c:v>2.014796892265116</c:v>
                </c:pt>
                <c:pt idx="14">
                  <c:v>3</c:v>
                </c:pt>
                <c:pt idx="15">
                  <c:v>2</c:v>
                </c:pt>
                <c:pt idx="16">
                  <c:v>2.5</c:v>
                </c:pt>
                <c:pt idx="17">
                  <c:v>1.44</c:v>
                </c:pt>
                <c:pt idx="18">
                  <c:v>1.296</c:v>
                </c:pt>
                <c:pt idx="19">
                  <c:v>1.08</c:v>
                </c:pt>
                <c:pt idx="20">
                  <c:v>1.8</c:v>
                </c:pt>
              </c:numCache>
            </c:numRef>
          </c:val>
          <c:extLst>
            <c:ext xmlns:c16="http://schemas.microsoft.com/office/drawing/2014/chart" uri="{C3380CC4-5D6E-409C-BE32-E72D297353CC}">
              <c16:uniqueId val="{00000003-BDD6-483C-B247-93D887FD4E92}"/>
            </c:ext>
          </c:extLst>
        </c:ser>
        <c:ser>
          <c:idx val="2"/>
          <c:order val="2"/>
          <c:spPr>
            <a:solidFill>
              <a:schemeClr val="accent2">
                <a:lumMod val="60000"/>
                <a:lumOff val="40000"/>
                <a:alpha val="25000"/>
              </a:schemeClr>
            </a:solidFill>
            <a:ln>
              <a:solidFill>
                <a:schemeClr val="accent2"/>
              </a:solidFill>
            </a:ln>
            <a:effectLst/>
          </c:spPr>
          <c:cat>
            <c:strRef>
              <c:f>RESULTATS!$Q$3:$Q$23</c:f>
              <c:strCache>
                <c:ptCount val="21"/>
                <c:pt idx="0">
                  <c:v>Cancer de la prostate</c:v>
                </c:pt>
                <c:pt idx="1">
                  <c:v>Hypertrophie prostatique</c:v>
                </c:pt>
                <c:pt idx="2">
                  <c:v>Insuffisance rénale</c:v>
                </c:pt>
                <c:pt idx="3">
                  <c:v>Lithiase urinaire</c:v>
                </c:pt>
                <c:pt idx="4">
                  <c:v>Ostéopénie</c:v>
                </c:pt>
                <c:pt idx="5">
                  <c:v>Cancer du colon</c:v>
                </c:pt>
                <c:pt idx="6">
                  <c:v>Maladie du Foie et lithiase biliaire</c:v>
                </c:pt>
                <c:pt idx="7">
                  <c:v>Insuffisance thyroidienne</c:v>
                </c:pt>
                <c:pt idx="8">
                  <c:v>Dyslipidémie</c:v>
                </c:pt>
                <c:pt idx="9">
                  <c:v>Diabéte type 2</c:v>
                </c:pt>
                <c:pt idx="10">
                  <c:v>Syndrome métabolique</c:v>
                </c:pt>
                <c:pt idx="11">
                  <c:v>Thrombophlébite</c:v>
                </c:pt>
                <c:pt idx="12">
                  <c:v>Anévrysme et artériopathie</c:v>
                </c:pt>
                <c:pt idx="13">
                  <c:v>Accident vasculaire cérébral</c:v>
                </c:pt>
                <c:pt idx="14">
                  <c:v>Cardiopathie ischémique</c:v>
                </c:pt>
                <c:pt idx="15">
                  <c:v>Cancer du poumon</c:v>
                </c:pt>
                <c:pt idx="16">
                  <c:v>Cancer ORL</c:v>
                </c:pt>
                <c:pt idx="17">
                  <c:v>Asthme et BPCO</c:v>
                </c:pt>
                <c:pt idx="18">
                  <c:v>Mélanome</c:v>
                </c:pt>
                <c:pt idx="19">
                  <c:v>Cancers Sein-Ovaire-Endométre</c:v>
                </c:pt>
                <c:pt idx="20">
                  <c:v>Tumeur de vessie</c:v>
                </c:pt>
              </c:strCache>
            </c:strRef>
          </c:cat>
          <c:val>
            <c:numRef>
              <c:f>RESULTATS!$U$3:$U$23</c:f>
              <c:numCache>
                <c:formatCode>0.00</c:formatCode>
                <c:ptCount val="21"/>
                <c:pt idx="0">
                  <c:v>2.2000000000000002</c:v>
                </c:pt>
                <c:pt idx="1">
                  <c:v>2.2000000000000002</c:v>
                </c:pt>
                <c:pt idx="2">
                  <c:v>2.2000000000000002</c:v>
                </c:pt>
                <c:pt idx="3">
                  <c:v>2.2000000000000002</c:v>
                </c:pt>
                <c:pt idx="4">
                  <c:v>2.2000000000000002</c:v>
                </c:pt>
                <c:pt idx="5">
                  <c:v>2.2000000000000002</c:v>
                </c:pt>
                <c:pt idx="6">
                  <c:v>2.2000000000000002</c:v>
                </c:pt>
                <c:pt idx="7">
                  <c:v>2.2000000000000002</c:v>
                </c:pt>
                <c:pt idx="8">
                  <c:v>2.2000000000000002</c:v>
                </c:pt>
                <c:pt idx="9">
                  <c:v>2.2000000000000002</c:v>
                </c:pt>
                <c:pt idx="10">
                  <c:v>2.2000000000000002</c:v>
                </c:pt>
                <c:pt idx="11">
                  <c:v>2.2000000000000002</c:v>
                </c:pt>
                <c:pt idx="12">
                  <c:v>2.2000000000000002</c:v>
                </c:pt>
                <c:pt idx="13">
                  <c:v>2.2000000000000002</c:v>
                </c:pt>
                <c:pt idx="14">
                  <c:v>2.2000000000000002</c:v>
                </c:pt>
                <c:pt idx="15">
                  <c:v>2.2000000000000002</c:v>
                </c:pt>
                <c:pt idx="16">
                  <c:v>2.2000000000000002</c:v>
                </c:pt>
                <c:pt idx="17">
                  <c:v>2.2000000000000002</c:v>
                </c:pt>
                <c:pt idx="18">
                  <c:v>2.2000000000000002</c:v>
                </c:pt>
                <c:pt idx="19">
                  <c:v>2.2000000000000002</c:v>
                </c:pt>
                <c:pt idx="20">
                  <c:v>2.2000000000000002</c:v>
                </c:pt>
              </c:numCache>
            </c:numRef>
          </c:val>
          <c:extLst>
            <c:ext xmlns:c16="http://schemas.microsoft.com/office/drawing/2014/chart" uri="{C3380CC4-5D6E-409C-BE32-E72D297353CC}">
              <c16:uniqueId val="{00000004-BDD6-483C-B247-93D887FD4E92}"/>
            </c:ext>
          </c:extLst>
        </c:ser>
        <c:ser>
          <c:idx val="3"/>
          <c:order val="3"/>
          <c:spPr>
            <a:solidFill>
              <a:srgbClr val="FF0000">
                <a:alpha val="9000"/>
              </a:srgbClr>
            </a:solidFill>
            <a:ln>
              <a:noFill/>
            </a:ln>
            <a:effectLst/>
          </c:spPr>
          <c:cat>
            <c:strRef>
              <c:f>RESULTATS!$Q$3:$Q$23</c:f>
              <c:strCache>
                <c:ptCount val="21"/>
                <c:pt idx="0">
                  <c:v>Cancer de la prostate</c:v>
                </c:pt>
                <c:pt idx="1">
                  <c:v>Hypertrophie prostatique</c:v>
                </c:pt>
                <c:pt idx="2">
                  <c:v>Insuffisance rénale</c:v>
                </c:pt>
                <c:pt idx="3">
                  <c:v>Lithiase urinaire</c:v>
                </c:pt>
                <c:pt idx="4">
                  <c:v>Ostéopénie</c:v>
                </c:pt>
                <c:pt idx="5">
                  <c:v>Cancer du colon</c:v>
                </c:pt>
                <c:pt idx="6">
                  <c:v>Maladie du Foie et lithiase biliaire</c:v>
                </c:pt>
                <c:pt idx="7">
                  <c:v>Insuffisance thyroidienne</c:v>
                </c:pt>
                <c:pt idx="8">
                  <c:v>Dyslipidémie</c:v>
                </c:pt>
                <c:pt idx="9">
                  <c:v>Diabéte type 2</c:v>
                </c:pt>
                <c:pt idx="10">
                  <c:v>Syndrome métabolique</c:v>
                </c:pt>
                <c:pt idx="11">
                  <c:v>Thrombophlébite</c:v>
                </c:pt>
                <c:pt idx="12">
                  <c:v>Anévrysme et artériopathie</c:v>
                </c:pt>
                <c:pt idx="13">
                  <c:v>Accident vasculaire cérébral</c:v>
                </c:pt>
                <c:pt idx="14">
                  <c:v>Cardiopathie ischémique</c:v>
                </c:pt>
                <c:pt idx="15">
                  <c:v>Cancer du poumon</c:v>
                </c:pt>
                <c:pt idx="16">
                  <c:v>Cancer ORL</c:v>
                </c:pt>
                <c:pt idx="17">
                  <c:v>Asthme et BPCO</c:v>
                </c:pt>
                <c:pt idx="18">
                  <c:v>Mélanome</c:v>
                </c:pt>
                <c:pt idx="19">
                  <c:v>Cancers Sein-Ovaire-Endométre</c:v>
                </c:pt>
                <c:pt idx="20">
                  <c:v>Tumeur de vessie</c:v>
                </c:pt>
              </c:strCache>
            </c:strRef>
          </c:cat>
          <c:val>
            <c:numRef>
              <c:f>RESULTATS!$V$3:$V$23</c:f>
              <c:numCache>
                <c:formatCode>0.00</c:formatCode>
                <c:ptCount val="21"/>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numCache>
            </c:numRef>
          </c:val>
          <c:extLst>
            <c:ext xmlns:c16="http://schemas.microsoft.com/office/drawing/2014/chart" uri="{C3380CC4-5D6E-409C-BE32-E72D297353CC}">
              <c16:uniqueId val="{00000005-BDD6-483C-B247-93D887FD4E92}"/>
            </c:ext>
          </c:extLst>
        </c:ser>
        <c:dLbls>
          <c:showLegendKey val="0"/>
          <c:showVal val="0"/>
          <c:showCatName val="0"/>
          <c:showSerName val="0"/>
          <c:showPercent val="0"/>
          <c:showBubbleSize val="0"/>
        </c:dLbls>
        <c:axId val="547353263"/>
        <c:axId val="547353743"/>
      </c:radarChart>
      <c:radarChart>
        <c:radarStyle val="marker"/>
        <c:varyColors val="0"/>
        <c:ser>
          <c:idx val="4"/>
          <c:order val="4"/>
          <c:tx>
            <c:v>Attention</c:v>
          </c:tx>
          <c:spPr>
            <a:ln w="28575" cap="rnd">
              <a:solidFill>
                <a:schemeClr val="tx1"/>
              </a:solidFill>
              <a:prstDash val="dash"/>
              <a:round/>
            </a:ln>
            <a:effectLst/>
          </c:spPr>
          <c:marker>
            <c:symbol val="circle"/>
            <c:size val="5"/>
            <c:spPr>
              <a:solidFill>
                <a:schemeClr val="accent5"/>
              </a:solidFill>
              <a:ln w="53975">
                <a:solidFill>
                  <a:schemeClr val="accent5"/>
                </a:solidFill>
              </a:ln>
              <a:effectLst/>
            </c:spPr>
          </c:marker>
          <c:val>
            <c:numRef>
              <c:f>RESULTATS!$L$28:$L$48</c:f>
              <c:numCache>
                <c:formatCode>0.00</c:formatCode>
                <c:ptCount val="21"/>
                <c:pt idx="0">
                  <c:v>1.5</c:v>
                </c:pt>
                <c:pt idx="1">
                  <c:v>1.2</c:v>
                </c:pt>
                <c:pt idx="2">
                  <c:v>1.44</c:v>
                </c:pt>
                <c:pt idx="3">
                  <c:v>1.2</c:v>
                </c:pt>
                <c:pt idx="4">
                  <c:v>1</c:v>
                </c:pt>
                <c:pt idx="5">
                  <c:v>1.44</c:v>
                </c:pt>
                <c:pt idx="6">
                  <c:v>1.44</c:v>
                </c:pt>
                <c:pt idx="7">
                  <c:v>1</c:v>
                </c:pt>
                <c:pt idx="8">
                  <c:v>1.2</c:v>
                </c:pt>
                <c:pt idx="9">
                  <c:v>2.5</c:v>
                </c:pt>
                <c:pt idx="10">
                  <c:v>2.5</c:v>
                </c:pt>
                <c:pt idx="11">
                  <c:v>1.2</c:v>
                </c:pt>
                <c:pt idx="12">
                  <c:v>1.44</c:v>
                </c:pt>
                <c:pt idx="13">
                  <c:v>1.728</c:v>
                </c:pt>
                <c:pt idx="14">
                  <c:v>2.5</c:v>
                </c:pt>
                <c:pt idx="15">
                  <c:v>2.5</c:v>
                </c:pt>
                <c:pt idx="16">
                  <c:v>2.5</c:v>
                </c:pt>
                <c:pt idx="17">
                  <c:v>1.2</c:v>
                </c:pt>
                <c:pt idx="18">
                  <c:v>1.44</c:v>
                </c:pt>
                <c:pt idx="19">
                  <c:v>1.2</c:v>
                </c:pt>
                <c:pt idx="20">
                  <c:v>2.5</c:v>
                </c:pt>
              </c:numCache>
            </c:numRef>
          </c:val>
          <c:extLst>
            <c:ext xmlns:c16="http://schemas.microsoft.com/office/drawing/2014/chart" uri="{C3380CC4-5D6E-409C-BE32-E72D297353CC}">
              <c16:uniqueId val="{00000000-D90A-42BA-8183-62FD675E34FD}"/>
            </c:ext>
          </c:extLst>
        </c:ser>
        <c:dLbls>
          <c:showLegendKey val="0"/>
          <c:showVal val="0"/>
          <c:showCatName val="0"/>
          <c:showSerName val="0"/>
          <c:showPercent val="0"/>
          <c:showBubbleSize val="0"/>
        </c:dLbls>
        <c:axId val="547353263"/>
        <c:axId val="547353743"/>
      </c:radarChart>
      <c:catAx>
        <c:axId val="547353263"/>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fr-FR"/>
          </a:p>
        </c:txPr>
        <c:crossAx val="547353743"/>
        <c:crosses val="autoZero"/>
        <c:auto val="1"/>
        <c:lblAlgn val="ctr"/>
        <c:lblOffset val="100"/>
        <c:noMultiLvlLbl val="0"/>
      </c:catAx>
      <c:valAx>
        <c:axId val="547353743"/>
        <c:scaling>
          <c:orientation val="minMax"/>
          <c:max val="3"/>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47353263"/>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1"/>
        <c:ser>
          <c:idx val="0"/>
          <c:order val="0"/>
          <c:tx>
            <c:strRef>
              <c:f>SIMULATEUR!$I$2</c:f>
              <c:strCache>
                <c:ptCount val="1"/>
                <c:pt idx="0">
                  <c:v>A 5 ans</c:v>
                </c:pt>
              </c:strCache>
            </c:strRef>
          </c:tx>
          <c:spPr>
            <a:solidFill>
              <a:schemeClr val="accent1"/>
            </a:solidFill>
            <a:ln>
              <a:noFill/>
            </a:ln>
            <a:effectLst/>
          </c:spPr>
          <c:invertIfNegative val="0"/>
          <c:cat>
            <c:strRef>
              <c:extLst>
                <c:ext xmlns:c15="http://schemas.microsoft.com/office/drawing/2012/chart" uri="{02D57815-91ED-43cb-92C2-25804820EDAC}">
                  <c15:fullRef>
                    <c15:sqref>SIMULATEUR!$G$3:$G$23</c15:sqref>
                  </c15:fullRef>
                </c:ext>
              </c:extLst>
              <c:f>(SIMULATEUR!$G$3,SIMULATEUR!$G$5:$G$23)</c:f>
              <c:strCache>
                <c:ptCount val="20"/>
                <c:pt idx="0">
                  <c:v>Cancer de la prostate</c:v>
                </c:pt>
                <c:pt idx="1">
                  <c:v>Insuffisance rénale</c:v>
                </c:pt>
                <c:pt idx="2">
                  <c:v>Lithiase urinaire</c:v>
                </c:pt>
                <c:pt idx="3">
                  <c:v>Ostéopénie</c:v>
                </c:pt>
                <c:pt idx="4">
                  <c:v>Cancer du colon</c:v>
                </c:pt>
                <c:pt idx="5">
                  <c:v>Maladie du Foie et lithiase biliaire</c:v>
                </c:pt>
                <c:pt idx="6">
                  <c:v>Insuffisance thyroidienne</c:v>
                </c:pt>
                <c:pt idx="7">
                  <c:v>Dyslipidémie</c:v>
                </c:pt>
                <c:pt idx="8">
                  <c:v>Diabéte</c:v>
                </c:pt>
                <c:pt idx="9">
                  <c:v>Syndrome métabolique</c:v>
                </c:pt>
                <c:pt idx="10">
                  <c:v>Thrombophlébite</c:v>
                </c:pt>
                <c:pt idx="11">
                  <c:v>Anévrysme et artériopathie</c:v>
                </c:pt>
                <c:pt idx="12">
                  <c:v>Accident vasculaire cérébral</c:v>
                </c:pt>
                <c:pt idx="13">
                  <c:v>Cardiopathie ischémique</c:v>
                </c:pt>
                <c:pt idx="14">
                  <c:v>Cancer du poumon</c:v>
                </c:pt>
                <c:pt idx="15">
                  <c:v>Cancer ORL</c:v>
                </c:pt>
                <c:pt idx="16">
                  <c:v>Asthme et BPCO</c:v>
                </c:pt>
                <c:pt idx="17">
                  <c:v>Mélanome</c:v>
                </c:pt>
                <c:pt idx="18">
                  <c:v>Cancers Sein-Ovaire-Endométre</c:v>
                </c:pt>
                <c:pt idx="19">
                  <c:v>Tumeur de vessie</c:v>
                </c:pt>
              </c:strCache>
            </c:strRef>
          </c:cat>
          <c:val>
            <c:numRef>
              <c:extLst>
                <c:ext xmlns:c15="http://schemas.microsoft.com/office/drawing/2012/chart" uri="{02D57815-91ED-43cb-92C2-25804820EDAC}">
                  <c15:fullRef>
                    <c15:sqref>SIMULATEUR!$I$3:$I$23</c15:sqref>
                  </c15:fullRef>
                </c:ext>
              </c:extLst>
              <c:f>(SIMULATEUR!$I$3,SIMULATEUR!$I$5:$I$23)</c:f>
              <c:numCache>
                <c:formatCode>0.00%</c:formatCode>
                <c:ptCount val="20"/>
                <c:pt idx="0">
                  <c:v>7.0431250000000001E-2</c:v>
                </c:pt>
                <c:pt idx="1">
                  <c:v>1.4399999999999999E-3</c:v>
                </c:pt>
                <c:pt idx="2">
                  <c:v>7.7760000000002896E-2</c:v>
                </c:pt>
                <c:pt idx="3">
                  <c:v>2.0266285714285654E-3</c:v>
                </c:pt>
                <c:pt idx="4">
                  <c:v>2.7533290748883027E-3</c:v>
                </c:pt>
                <c:pt idx="5">
                  <c:v>0.29077126162508943</c:v>
                </c:pt>
                <c:pt idx="6">
                  <c:v>0.03</c:v>
                </c:pt>
                <c:pt idx="7">
                  <c:v>7.1999999999999981E-2</c:v>
                </c:pt>
                <c:pt idx="8">
                  <c:v>2.17366071428572E-2</c:v>
                </c:pt>
                <c:pt idx="9">
                  <c:v>0.56651785714285774</c:v>
                </c:pt>
                <c:pt idx="10">
                  <c:v>2.1600000000000001E-2</c:v>
                </c:pt>
                <c:pt idx="11">
                  <c:v>6.9120000000000001E-2</c:v>
                </c:pt>
                <c:pt idx="12">
                  <c:v>3.2174875999999998E-2</c:v>
                </c:pt>
                <c:pt idx="13">
                  <c:v>9.6524627999999987E-2</c:v>
                </c:pt>
                <c:pt idx="14">
                  <c:v>5.3196562278001597E-3</c:v>
                </c:pt>
                <c:pt idx="15">
                  <c:v>9.7334461530599152E-3</c:v>
                </c:pt>
                <c:pt idx="16">
                  <c:v>8.6399999999999991E-2</c:v>
                </c:pt>
                <c:pt idx="17">
                  <c:v>4.4545970525351969E-3</c:v>
                </c:pt>
                <c:pt idx="18">
                  <c:v>5.8604727272728426E-5</c:v>
                </c:pt>
                <c:pt idx="19">
                  <c:v>1.8000000000000002E-3</c:v>
                </c:pt>
              </c:numCache>
            </c:numRef>
          </c:val>
          <c:extLst>
            <c:ext xmlns:c16="http://schemas.microsoft.com/office/drawing/2014/chart" uri="{C3380CC4-5D6E-409C-BE32-E72D297353CC}">
              <c16:uniqueId val="{00000000-922D-4C35-AA1D-A1A32643B0A4}"/>
            </c:ext>
          </c:extLst>
        </c:ser>
        <c:ser>
          <c:idx val="1"/>
          <c:order val="1"/>
          <c:tx>
            <c:v>Corrigé</c:v>
          </c:tx>
          <c:spPr>
            <a:solidFill>
              <a:schemeClr val="accent2"/>
            </a:solidFill>
            <a:ln>
              <a:noFill/>
            </a:ln>
            <a:effectLst/>
          </c:spPr>
          <c:invertIfNegative val="0"/>
          <c:cat>
            <c:strRef>
              <c:extLst>
                <c:ext xmlns:c15="http://schemas.microsoft.com/office/drawing/2012/chart" uri="{02D57815-91ED-43cb-92C2-25804820EDAC}">
                  <c15:fullRef>
                    <c15:sqref>SIMULATEUR!$G$3:$G$23</c15:sqref>
                  </c15:fullRef>
                </c:ext>
              </c:extLst>
              <c:f>(SIMULATEUR!$G$3,SIMULATEUR!$G$5:$G$23)</c:f>
              <c:strCache>
                <c:ptCount val="20"/>
                <c:pt idx="0">
                  <c:v>Cancer de la prostate</c:v>
                </c:pt>
                <c:pt idx="1">
                  <c:v>Insuffisance rénale</c:v>
                </c:pt>
                <c:pt idx="2">
                  <c:v>Lithiase urinaire</c:v>
                </c:pt>
                <c:pt idx="3">
                  <c:v>Ostéopénie</c:v>
                </c:pt>
                <c:pt idx="4">
                  <c:v>Cancer du colon</c:v>
                </c:pt>
                <c:pt idx="5">
                  <c:v>Maladie du Foie et lithiase biliaire</c:v>
                </c:pt>
                <c:pt idx="6">
                  <c:v>Insuffisance thyroidienne</c:v>
                </c:pt>
                <c:pt idx="7">
                  <c:v>Dyslipidémie</c:v>
                </c:pt>
                <c:pt idx="8">
                  <c:v>Diabéte</c:v>
                </c:pt>
                <c:pt idx="9">
                  <c:v>Syndrome métabolique</c:v>
                </c:pt>
                <c:pt idx="10">
                  <c:v>Thrombophlébite</c:v>
                </c:pt>
                <c:pt idx="11">
                  <c:v>Anévrysme et artériopathie</c:v>
                </c:pt>
                <c:pt idx="12">
                  <c:v>Accident vasculaire cérébral</c:v>
                </c:pt>
                <c:pt idx="13">
                  <c:v>Cardiopathie ischémique</c:v>
                </c:pt>
                <c:pt idx="14">
                  <c:v>Cancer du poumon</c:v>
                </c:pt>
                <c:pt idx="15">
                  <c:v>Cancer ORL</c:v>
                </c:pt>
                <c:pt idx="16">
                  <c:v>Asthme et BPCO</c:v>
                </c:pt>
                <c:pt idx="17">
                  <c:v>Mélanome</c:v>
                </c:pt>
                <c:pt idx="18">
                  <c:v>Cancers Sein-Ovaire-Endométre</c:v>
                </c:pt>
                <c:pt idx="19">
                  <c:v>Tumeur de vessie</c:v>
                </c:pt>
              </c:strCache>
            </c:strRef>
          </c:cat>
          <c:val>
            <c:numRef>
              <c:extLst>
                <c:ext xmlns:c15="http://schemas.microsoft.com/office/drawing/2012/chart" uri="{02D57815-91ED-43cb-92C2-25804820EDAC}">
                  <c15:fullRef>
                    <c15:sqref>SIMULATEUR!$J$3:$J$23</c15:sqref>
                  </c15:fullRef>
                </c:ext>
              </c:extLst>
              <c:f>(SIMULATEUR!$J$3,SIMULATEUR!$J$5:$J$23)</c:f>
              <c:numCache>
                <c:formatCode>0.00%</c:formatCode>
                <c:ptCount val="20"/>
                <c:pt idx="0">
                  <c:v>0.13097700000000001</c:v>
                </c:pt>
                <c:pt idx="1">
                  <c:v>2.0736000000000001E-3</c:v>
                </c:pt>
                <c:pt idx="2">
                  <c:v>8.7868800000002106E-2</c:v>
                </c:pt>
                <c:pt idx="3">
                  <c:v>2.9183451428571338E-3</c:v>
                </c:pt>
                <c:pt idx="4">
                  <c:v>3.9647938678391559E-3</c:v>
                </c:pt>
                <c:pt idx="5">
                  <c:v>0.41531245714285725</c:v>
                </c:pt>
                <c:pt idx="6">
                  <c:v>4.3199999999999995E-2</c:v>
                </c:pt>
                <c:pt idx="7">
                  <c:v>0.10367999999999997</c:v>
                </c:pt>
                <c:pt idx="8">
                  <c:v>3.1300714285714362E-2</c:v>
                </c:pt>
                <c:pt idx="9">
                  <c:v>0.56651785714285774</c:v>
                </c:pt>
                <c:pt idx="10">
                  <c:v>3.1104000000000003E-2</c:v>
                </c:pt>
                <c:pt idx="11">
                  <c:v>9.9532799999999991E-2</c:v>
                </c:pt>
                <c:pt idx="12">
                  <c:v>3.2174875999999998E-2</c:v>
                </c:pt>
                <c:pt idx="13">
                  <c:v>0.50038367155199981</c:v>
                </c:pt>
                <c:pt idx="14">
                  <c:v>7.6603049680322288E-3</c:v>
                </c:pt>
                <c:pt idx="15">
                  <c:v>0.14016162460406278</c:v>
                </c:pt>
                <c:pt idx="16">
                  <c:v>0.12441599999999998</c:v>
                </c:pt>
                <c:pt idx="17">
                  <c:v>6.4146197556506834E-3</c:v>
                </c:pt>
                <c:pt idx="18">
                  <c:v>8.4390807272728926E-5</c:v>
                </c:pt>
                <c:pt idx="19">
                  <c:v>2.5919999999999997E-3</c:v>
                </c:pt>
              </c:numCache>
            </c:numRef>
          </c:val>
          <c:extLst>
            <c:ext xmlns:c16="http://schemas.microsoft.com/office/drawing/2014/chart" uri="{C3380CC4-5D6E-409C-BE32-E72D297353CC}">
              <c16:uniqueId val="{00000002-922D-4C35-AA1D-A1A32643B0A4}"/>
            </c:ext>
          </c:extLst>
        </c:ser>
        <c:dLbls>
          <c:showLegendKey val="0"/>
          <c:showVal val="0"/>
          <c:showCatName val="0"/>
          <c:showSerName val="0"/>
          <c:showPercent val="0"/>
          <c:showBubbleSize val="0"/>
        </c:dLbls>
        <c:gapWidth val="219"/>
        <c:overlap val="-27"/>
        <c:axId val="727864720"/>
        <c:axId val="727865048"/>
      </c:barChart>
      <c:catAx>
        <c:axId val="7278647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fr-FR"/>
          </a:p>
        </c:txPr>
        <c:crossAx val="727865048"/>
        <c:crosses val="autoZero"/>
        <c:auto val="1"/>
        <c:lblAlgn val="ctr"/>
        <c:lblOffset val="100"/>
        <c:noMultiLvlLbl val="0"/>
      </c:catAx>
      <c:valAx>
        <c:axId val="727865048"/>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72786472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SIMULATEUR!$E$2</c:f>
              <c:strCache>
                <c:ptCount val="1"/>
                <c:pt idx="0">
                  <c:v>Avec action colonne a utiliser</c:v>
                </c:pt>
              </c:strCache>
            </c:strRef>
          </c:tx>
          <c:spPr>
            <a:solidFill>
              <a:schemeClr val="accent1"/>
            </a:solidFill>
            <a:ln>
              <a:noFill/>
            </a:ln>
            <a:effectLst/>
          </c:spPr>
          <c:invertIfNegative val="0"/>
          <c:cat>
            <c:strRef>
              <c:f>SIMULATEUR!$D$3:$D$23</c:f>
              <c:strCache>
                <c:ptCount val="21"/>
                <c:pt idx="0">
                  <c:v>Cancer de la prostate</c:v>
                </c:pt>
                <c:pt idx="1">
                  <c:v>Hypertrophie prostatique</c:v>
                </c:pt>
                <c:pt idx="2">
                  <c:v>Insuffisance rénale</c:v>
                </c:pt>
                <c:pt idx="3">
                  <c:v>Lithiase urinaire</c:v>
                </c:pt>
                <c:pt idx="4">
                  <c:v>Ostéopénie</c:v>
                </c:pt>
                <c:pt idx="5">
                  <c:v>Cancer du colon</c:v>
                </c:pt>
                <c:pt idx="6">
                  <c:v>Maladie du Foie et lithiase biliaire</c:v>
                </c:pt>
                <c:pt idx="7">
                  <c:v>Insuffisance thyroidienne</c:v>
                </c:pt>
                <c:pt idx="8">
                  <c:v>Dyslipidémie</c:v>
                </c:pt>
                <c:pt idx="9">
                  <c:v>Diabéte</c:v>
                </c:pt>
                <c:pt idx="10">
                  <c:v>Syndrome métabolique</c:v>
                </c:pt>
                <c:pt idx="11">
                  <c:v>Thrombophlébite</c:v>
                </c:pt>
                <c:pt idx="12">
                  <c:v>Anévrysme et artériopathie</c:v>
                </c:pt>
                <c:pt idx="13">
                  <c:v>Accident vasculaire cérébral</c:v>
                </c:pt>
                <c:pt idx="14">
                  <c:v>Cardiopathie ischémique</c:v>
                </c:pt>
                <c:pt idx="15">
                  <c:v>Cancer du poumon</c:v>
                </c:pt>
                <c:pt idx="16">
                  <c:v>Cancer ORL</c:v>
                </c:pt>
                <c:pt idx="17">
                  <c:v>Asthme et BPCO</c:v>
                </c:pt>
                <c:pt idx="18">
                  <c:v>Mélanome</c:v>
                </c:pt>
                <c:pt idx="19">
                  <c:v>Cancers Sein-Ovaire-Endométre</c:v>
                </c:pt>
                <c:pt idx="20">
                  <c:v>Tumeur de vessie</c:v>
                </c:pt>
              </c:strCache>
            </c:strRef>
          </c:cat>
          <c:val>
            <c:numRef>
              <c:f>SIMULATEUR!$E$3:$E$23</c:f>
              <c:numCache>
                <c:formatCode>0.00</c:formatCode>
                <c:ptCount val="21"/>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numCache>
            </c:numRef>
          </c:val>
          <c:extLst>
            <c:ext xmlns:c16="http://schemas.microsoft.com/office/drawing/2014/chart" uri="{C3380CC4-5D6E-409C-BE32-E72D297353CC}">
              <c16:uniqueId val="{00000000-FADE-4E8F-B9A5-493EDC6DBF1B}"/>
            </c:ext>
          </c:extLst>
        </c:ser>
        <c:dLbls>
          <c:showLegendKey val="0"/>
          <c:showVal val="0"/>
          <c:showCatName val="0"/>
          <c:showSerName val="0"/>
          <c:showPercent val="0"/>
          <c:showBubbleSize val="0"/>
        </c:dLbls>
        <c:gapWidth val="219"/>
        <c:overlap val="-27"/>
        <c:axId val="201371135"/>
        <c:axId val="201380255"/>
      </c:barChart>
      <c:catAx>
        <c:axId val="2013711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1380255"/>
        <c:crosses val="autoZero"/>
        <c:auto val="1"/>
        <c:lblAlgn val="ctr"/>
        <c:lblOffset val="100"/>
        <c:noMultiLvlLbl val="0"/>
      </c:catAx>
      <c:valAx>
        <c:axId val="201380255"/>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137113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14</xdr:col>
      <xdr:colOff>31750</xdr:colOff>
      <xdr:row>24</xdr:row>
      <xdr:rowOff>171450</xdr:rowOff>
    </xdr:from>
    <xdr:to>
      <xdr:col>25</xdr:col>
      <xdr:colOff>469898</xdr:colOff>
      <xdr:row>66</xdr:row>
      <xdr:rowOff>6350</xdr:rowOff>
    </xdr:to>
    <xdr:graphicFrame macro="">
      <xdr:nvGraphicFramePr>
        <xdr:cNvPr id="3" name="Graphique 2">
          <a:extLst>
            <a:ext uri="{FF2B5EF4-FFF2-40B4-BE49-F238E27FC236}">
              <a16:creationId xmlns:a16="http://schemas.microsoft.com/office/drawing/2014/main" id="{8580C428-FB15-E38F-D78B-48FB0D7E7CB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744535</xdr:colOff>
      <xdr:row>23</xdr:row>
      <xdr:rowOff>139699</xdr:rowOff>
    </xdr:from>
    <xdr:to>
      <xdr:col>11</xdr:col>
      <xdr:colOff>645583</xdr:colOff>
      <xdr:row>39</xdr:row>
      <xdr:rowOff>79903</xdr:rowOff>
    </xdr:to>
    <xdr:graphicFrame macro="">
      <xdr:nvGraphicFramePr>
        <xdr:cNvPr id="10" name="Graphique 9">
          <a:extLst>
            <a:ext uri="{FF2B5EF4-FFF2-40B4-BE49-F238E27FC236}">
              <a16:creationId xmlns:a16="http://schemas.microsoft.com/office/drawing/2014/main" id="{DAF11550-3C92-436C-98B0-9178A7F53A3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93133</xdr:colOff>
      <xdr:row>0</xdr:row>
      <xdr:rowOff>84667</xdr:rowOff>
    </xdr:from>
    <xdr:to>
      <xdr:col>11</xdr:col>
      <xdr:colOff>685799</xdr:colOff>
      <xdr:row>1</xdr:row>
      <xdr:rowOff>160866</xdr:rowOff>
    </xdr:to>
    <xdr:sp macro="" textlink="">
      <xdr:nvSpPr>
        <xdr:cNvPr id="8" name="Flèche : bas 7">
          <a:extLst>
            <a:ext uri="{FF2B5EF4-FFF2-40B4-BE49-F238E27FC236}">
              <a16:creationId xmlns:a16="http://schemas.microsoft.com/office/drawing/2014/main" id="{6BA2C300-1DAD-42F2-BEC1-23B989BA4AED}"/>
            </a:ext>
          </a:extLst>
        </xdr:cNvPr>
        <xdr:cNvSpPr/>
      </xdr:nvSpPr>
      <xdr:spPr>
        <a:xfrm>
          <a:off x="9550400" y="84667"/>
          <a:ext cx="592666" cy="262466"/>
        </a:xfrm>
        <a:prstGeom prst="downArrow">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10</xdr:col>
      <xdr:colOff>1343705</xdr:colOff>
      <xdr:row>18</xdr:row>
      <xdr:rowOff>138792</xdr:rowOff>
    </xdr:from>
    <xdr:to>
      <xdr:col>21</xdr:col>
      <xdr:colOff>408214</xdr:colOff>
      <xdr:row>47</xdr:row>
      <xdr:rowOff>27212</xdr:rowOff>
    </xdr:to>
    <xdr:graphicFrame macro="">
      <xdr:nvGraphicFramePr>
        <xdr:cNvPr id="2" name="Graphique 1">
          <a:extLst>
            <a:ext uri="{FF2B5EF4-FFF2-40B4-BE49-F238E27FC236}">
              <a16:creationId xmlns:a16="http://schemas.microsoft.com/office/drawing/2014/main" id="{E1181D22-9BC5-812B-E29C-B50724E4CFD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B29695-22B8-4C8E-BECC-A5033AA3CD53}">
  <sheetPr codeName="Feuil3">
    <pageSetUpPr fitToPage="1"/>
  </sheetPr>
  <dimension ref="A1:AG276"/>
  <sheetViews>
    <sheetView zoomScale="70" zoomScaleNormal="55" workbookViewId="0">
      <pane ySplit="1" topLeftCell="A140" activePane="bottomLeft" state="frozen"/>
      <selection activeCell="B1" sqref="B1"/>
      <selection pane="bottomLeft" activeCell="F152" sqref="F152"/>
    </sheetView>
  </sheetViews>
  <sheetFormatPr baseColWidth="10" defaultColWidth="97.53125" defaultRowHeight="17.649999999999999"/>
  <cols>
    <col min="1" max="1" width="14.46484375" style="134" customWidth="1"/>
    <col min="2" max="2" width="41.1328125" style="73" customWidth="1"/>
    <col min="3" max="3" width="16.53125" style="71" customWidth="1"/>
    <col min="4" max="4" width="97.53125" style="119"/>
    <col min="5" max="5" width="15.46484375" style="73" customWidth="1"/>
    <col min="6" max="6" width="27.53125" style="77" customWidth="1"/>
    <col min="7" max="7" width="5.53125" style="73" bestFit="1" customWidth="1"/>
    <col min="8" max="8" width="22.53125" style="73" bestFit="1" customWidth="1"/>
    <col min="9" max="9" width="18.19921875" style="73" bestFit="1" customWidth="1"/>
    <col min="10" max="10" width="25.796875" style="73" bestFit="1" customWidth="1"/>
    <col min="11" max="11" width="29.86328125" style="73" bestFit="1" customWidth="1"/>
    <col min="12" max="12" width="23.19921875" style="73" bestFit="1" customWidth="1"/>
    <col min="13" max="13" width="20.19921875" style="73" bestFit="1" customWidth="1"/>
    <col min="14" max="14" width="15" style="73" bestFit="1" customWidth="1"/>
    <col min="15" max="15" width="20.1328125" style="73" bestFit="1" customWidth="1"/>
    <col min="16" max="16" width="23" style="73" bestFit="1" customWidth="1"/>
    <col min="17" max="17" width="31.19921875" style="73" bestFit="1" customWidth="1"/>
    <col min="18" max="18" width="31.796875" style="73" bestFit="1" customWidth="1"/>
    <col min="19" max="19" width="28.19921875" style="73" bestFit="1" customWidth="1"/>
    <col min="20" max="20" width="27.53125" style="73" bestFit="1" customWidth="1"/>
    <col min="21" max="21" width="20.796875" style="73" bestFit="1" customWidth="1"/>
    <col min="22" max="22" width="31.86328125" style="73" bestFit="1" customWidth="1"/>
    <col min="23" max="23" width="33.86328125" style="73" bestFit="1" customWidth="1"/>
    <col min="24" max="24" width="29.86328125" style="73" bestFit="1" customWidth="1"/>
    <col min="25" max="25" width="23" style="73" bestFit="1" customWidth="1"/>
    <col min="26" max="26" width="15.19921875" style="73" bestFit="1" customWidth="1"/>
    <col min="27" max="27" width="20.46484375" style="73" bestFit="1" customWidth="1"/>
    <col min="28" max="28" width="22.1328125" style="73" bestFit="1" customWidth="1"/>
    <col min="29" max="29" width="35.86328125" style="73" bestFit="1" customWidth="1"/>
    <col min="30" max="30" width="20.46484375" style="73" bestFit="1" customWidth="1"/>
    <col min="31" max="31" width="18.19921875" style="73" customWidth="1"/>
    <col min="32" max="16384" width="97.53125" style="73"/>
  </cols>
  <sheetData>
    <row r="1" spans="1:33">
      <c r="A1" s="123"/>
      <c r="B1" s="100"/>
      <c r="D1" s="117"/>
      <c r="F1" s="101" t="s">
        <v>86</v>
      </c>
      <c r="H1" s="80" t="s">
        <v>87</v>
      </c>
      <c r="I1" s="102">
        <f ca="1">TODAY()</f>
        <v>45771</v>
      </c>
    </row>
    <row r="2" spans="1:33">
      <c r="A2" s="123"/>
      <c r="B2" s="103"/>
      <c r="D2" s="118" t="s">
        <v>82</v>
      </c>
      <c r="F2" s="74">
        <f ca="1">TODAY()</f>
        <v>45771</v>
      </c>
      <c r="J2" s="104"/>
      <c r="K2" s="104"/>
      <c r="L2" s="104"/>
      <c r="M2" s="104"/>
      <c r="N2" s="104"/>
      <c r="O2" s="104"/>
      <c r="P2" s="104"/>
      <c r="Q2" s="104"/>
      <c r="R2" s="104"/>
      <c r="S2" s="104"/>
      <c r="T2" s="104"/>
      <c r="U2" s="104"/>
      <c r="V2" s="104"/>
      <c r="W2" s="104"/>
      <c r="X2" s="104"/>
      <c r="Y2" s="104"/>
      <c r="Z2" s="104"/>
      <c r="AA2" s="104"/>
      <c r="AB2" s="104"/>
      <c r="AC2" s="104"/>
      <c r="AD2" s="104"/>
      <c r="AE2" s="104"/>
      <c r="AF2" s="104"/>
      <c r="AG2" s="104"/>
    </row>
    <row r="3" spans="1:33">
      <c r="A3" s="124"/>
      <c r="D3" s="118" t="s">
        <v>665</v>
      </c>
      <c r="F3" s="75" t="s">
        <v>568</v>
      </c>
      <c r="H3" s="76">
        <f>IF(F3="H",1,0)</f>
        <v>1</v>
      </c>
    </row>
    <row r="4" spans="1:33">
      <c r="A4" s="125"/>
      <c r="B4" s="86" t="s">
        <v>671</v>
      </c>
      <c r="D4" s="119" t="s">
        <v>666</v>
      </c>
      <c r="H4" s="76">
        <f>IF(F3="F",1,0)</f>
        <v>0</v>
      </c>
    </row>
    <row r="5" spans="1:33">
      <c r="A5" s="125"/>
      <c r="D5" s="119" t="s">
        <v>667</v>
      </c>
      <c r="I5" s="104"/>
      <c r="J5" s="104"/>
      <c r="K5" s="104"/>
      <c r="L5" s="104"/>
      <c r="M5" s="104"/>
      <c r="N5" s="104"/>
      <c r="O5" s="104"/>
      <c r="P5" s="104"/>
      <c r="Q5" s="104"/>
      <c r="R5" s="104"/>
      <c r="S5" s="104"/>
      <c r="T5" s="104"/>
      <c r="U5" s="104"/>
      <c r="V5" s="104"/>
      <c r="W5" s="104"/>
      <c r="X5" s="104"/>
      <c r="Y5" s="104"/>
      <c r="Z5" s="104"/>
      <c r="AA5" s="104"/>
      <c r="AB5" s="104"/>
      <c r="AC5" s="104"/>
      <c r="AD5" s="104"/>
      <c r="AE5" s="104"/>
    </row>
    <row r="6" spans="1:33">
      <c r="A6" s="125"/>
      <c r="D6" s="118" t="s">
        <v>678</v>
      </c>
      <c r="F6" s="114">
        <v>40</v>
      </c>
      <c r="I6" s="104"/>
      <c r="J6" s="104"/>
      <c r="K6" s="104"/>
      <c r="L6" s="104"/>
      <c r="M6" s="104"/>
      <c r="N6" s="104"/>
      <c r="O6" s="104"/>
      <c r="P6" s="104"/>
      <c r="Q6" s="104"/>
      <c r="R6" s="104"/>
      <c r="S6" s="104"/>
      <c r="T6" s="104"/>
      <c r="U6" s="104"/>
      <c r="V6" s="104"/>
      <c r="W6" s="104"/>
      <c r="X6" s="104"/>
      <c r="Y6" s="104"/>
      <c r="Z6" s="104"/>
      <c r="AA6" s="104"/>
      <c r="AB6" s="104"/>
      <c r="AC6" s="104"/>
      <c r="AD6" s="104"/>
      <c r="AE6" s="104"/>
    </row>
    <row r="7" spans="1:33">
      <c r="A7" s="125"/>
      <c r="B7" s="86" t="s">
        <v>759</v>
      </c>
      <c r="D7" s="118" t="s">
        <v>758</v>
      </c>
      <c r="F7" s="75" t="s">
        <v>129</v>
      </c>
    </row>
    <row r="8" spans="1:33">
      <c r="A8" s="125"/>
      <c r="D8" s="119" t="s">
        <v>672</v>
      </c>
      <c r="I8" s="104"/>
      <c r="J8" s="104"/>
      <c r="K8" s="104"/>
      <c r="L8" s="104"/>
      <c r="M8" s="104"/>
      <c r="N8" s="104"/>
      <c r="O8" s="104"/>
      <c r="P8" s="104"/>
      <c r="Q8" s="104"/>
      <c r="R8" s="104"/>
      <c r="S8" s="104"/>
      <c r="T8" s="104"/>
      <c r="U8" s="104"/>
      <c r="V8" s="104"/>
      <c r="W8" s="104"/>
      <c r="X8" s="104"/>
      <c r="Y8" s="104"/>
      <c r="Z8" s="104"/>
      <c r="AA8" s="104"/>
      <c r="AB8" s="104"/>
      <c r="AC8" s="104"/>
      <c r="AD8" s="104"/>
      <c r="AE8" s="104"/>
    </row>
    <row r="9" spans="1:33">
      <c r="A9" s="126"/>
      <c r="D9" s="119" t="s">
        <v>673</v>
      </c>
      <c r="I9" s="104"/>
      <c r="J9" s="104"/>
      <c r="K9" s="104"/>
      <c r="L9" s="104"/>
      <c r="M9" s="104"/>
      <c r="N9" s="104"/>
      <c r="O9" s="104"/>
      <c r="P9" s="104"/>
      <c r="Q9" s="104"/>
      <c r="R9" s="104"/>
      <c r="S9" s="104"/>
      <c r="T9" s="104"/>
      <c r="U9" s="104"/>
      <c r="V9" s="104"/>
      <c r="W9" s="104"/>
      <c r="X9" s="104"/>
      <c r="Y9" s="104"/>
      <c r="Z9" s="104"/>
      <c r="AA9" s="104"/>
      <c r="AB9" s="104"/>
      <c r="AC9" s="104"/>
      <c r="AD9" s="104"/>
      <c r="AE9" s="104"/>
    </row>
    <row r="10" spans="1:33">
      <c r="A10" s="126"/>
      <c r="D10" s="119" t="s">
        <v>674</v>
      </c>
    </row>
    <row r="11" spans="1:33">
      <c r="A11" s="126"/>
      <c r="B11" s="86" t="s">
        <v>670</v>
      </c>
      <c r="D11" s="120" t="s">
        <v>679</v>
      </c>
      <c r="F11" s="127" t="s">
        <v>90</v>
      </c>
      <c r="H11" s="73" t="s">
        <v>90</v>
      </c>
      <c r="I11" s="73" t="s">
        <v>89</v>
      </c>
      <c r="J11" s="78"/>
      <c r="K11" s="79"/>
      <c r="L11" s="79"/>
      <c r="M11" s="79"/>
      <c r="N11" s="79"/>
      <c r="O11" s="79"/>
      <c r="P11" s="79"/>
      <c r="Q11" s="79"/>
      <c r="R11" s="79"/>
      <c r="S11" s="79"/>
      <c r="T11" s="79"/>
      <c r="U11" s="79"/>
      <c r="V11" s="79"/>
      <c r="W11" s="79"/>
      <c r="X11" s="79"/>
      <c r="Y11" s="79"/>
      <c r="Z11" s="79"/>
      <c r="AA11" s="79"/>
      <c r="AB11" s="79"/>
      <c r="AC11" s="79"/>
      <c r="AD11" s="79"/>
    </row>
    <row r="12" spans="1:33">
      <c r="A12" s="126"/>
      <c r="D12" s="121" t="s">
        <v>668</v>
      </c>
    </row>
    <row r="13" spans="1:33">
      <c r="A13" s="126"/>
      <c r="D13" s="121" t="s">
        <v>669</v>
      </c>
    </row>
    <row r="14" spans="1:33">
      <c r="A14" s="126"/>
      <c r="D14" s="121" t="s">
        <v>680</v>
      </c>
      <c r="F14" s="128" t="s">
        <v>90</v>
      </c>
      <c r="H14" s="81" t="str">
        <f>IF($F$11="Y",F14,"N")</f>
        <v>N</v>
      </c>
      <c r="I14" s="104"/>
      <c r="J14" s="104"/>
      <c r="K14" s="104"/>
      <c r="L14" s="104"/>
      <c r="M14" s="104"/>
      <c r="N14" s="104"/>
      <c r="O14" s="104"/>
      <c r="P14" s="104"/>
      <c r="Q14" s="104"/>
      <c r="R14" s="104"/>
      <c r="S14" s="104"/>
      <c r="T14" s="104"/>
      <c r="U14" s="104"/>
      <c r="V14" s="104"/>
      <c r="W14" s="104"/>
      <c r="X14" s="104"/>
      <c r="Y14" s="104"/>
      <c r="Z14" s="104"/>
      <c r="AA14" s="104"/>
      <c r="AB14" s="104"/>
      <c r="AC14" s="104"/>
      <c r="AD14" s="104"/>
      <c r="AE14" s="104"/>
      <c r="AF14" s="104"/>
      <c r="AG14" s="104"/>
    </row>
    <row r="15" spans="1:33">
      <c r="A15" s="126"/>
      <c r="D15" s="121" t="s">
        <v>668</v>
      </c>
      <c r="I15" s="104"/>
      <c r="J15" s="78" t="s">
        <v>54</v>
      </c>
      <c r="K15" s="79" t="s">
        <v>35</v>
      </c>
      <c r="L15" s="79" t="s">
        <v>36</v>
      </c>
      <c r="M15" s="79" t="s">
        <v>37</v>
      </c>
      <c r="N15" s="79" t="s">
        <v>38</v>
      </c>
      <c r="O15" s="79" t="s">
        <v>39</v>
      </c>
      <c r="P15" s="79" t="s">
        <v>40</v>
      </c>
      <c r="Q15" s="79" t="s">
        <v>41</v>
      </c>
      <c r="R15" s="79" t="s">
        <v>42</v>
      </c>
      <c r="S15" s="79" t="s">
        <v>43</v>
      </c>
      <c r="T15" s="79" t="s">
        <v>44</v>
      </c>
      <c r="U15" s="79" t="s">
        <v>45</v>
      </c>
      <c r="V15" s="79" t="s">
        <v>46</v>
      </c>
      <c r="W15" s="79" t="s">
        <v>47</v>
      </c>
      <c r="X15" s="79" t="s">
        <v>48</v>
      </c>
      <c r="Y15" s="79" t="s">
        <v>49</v>
      </c>
      <c r="Z15" s="79" t="s">
        <v>50</v>
      </c>
      <c r="AA15" s="79" t="s">
        <v>51</v>
      </c>
      <c r="AB15" s="79" t="s">
        <v>52</v>
      </c>
      <c r="AC15" s="79" t="s">
        <v>53</v>
      </c>
      <c r="AD15" s="104"/>
      <c r="AE15" s="104"/>
      <c r="AF15" s="104"/>
      <c r="AG15" s="104"/>
    </row>
    <row r="16" spans="1:33">
      <c r="A16" s="123"/>
      <c r="D16" s="121" t="s">
        <v>669</v>
      </c>
    </row>
    <row r="17" spans="1:31">
      <c r="A17" s="129"/>
      <c r="D17" s="121" t="s">
        <v>681</v>
      </c>
      <c r="F17" s="128" t="s">
        <v>90</v>
      </c>
      <c r="H17" s="81" t="str">
        <f>IF($F$11="Y",F17,"N")</f>
        <v>N</v>
      </c>
      <c r="I17" s="73" t="s">
        <v>98</v>
      </c>
      <c r="J17" s="82" t="s">
        <v>54</v>
      </c>
      <c r="K17" s="83" t="s">
        <v>35</v>
      </c>
      <c r="L17" s="83" t="s">
        <v>36</v>
      </c>
      <c r="M17" s="83" t="s">
        <v>37</v>
      </c>
      <c r="N17" s="83" t="s">
        <v>38</v>
      </c>
      <c r="O17" s="83" t="s">
        <v>39</v>
      </c>
      <c r="P17" s="83" t="s">
        <v>40</v>
      </c>
      <c r="Q17" s="83" t="s">
        <v>41</v>
      </c>
      <c r="R17" s="83" t="s">
        <v>42</v>
      </c>
      <c r="S17" s="83" t="s">
        <v>43</v>
      </c>
      <c r="T17" s="83" t="s">
        <v>44</v>
      </c>
      <c r="U17" s="83" t="s">
        <v>45</v>
      </c>
      <c r="V17" s="83" t="s">
        <v>46</v>
      </c>
      <c r="W17" s="83" t="s">
        <v>47</v>
      </c>
      <c r="X17" s="83" t="s">
        <v>48</v>
      </c>
      <c r="Y17" s="83" t="s">
        <v>49</v>
      </c>
      <c r="Z17" s="83" t="s">
        <v>50</v>
      </c>
      <c r="AA17" s="83" t="s">
        <v>51</v>
      </c>
      <c r="AB17" s="83" t="s">
        <v>52</v>
      </c>
      <c r="AC17" s="83" t="s">
        <v>97</v>
      </c>
      <c r="AD17" s="84" t="s">
        <v>96</v>
      </c>
      <c r="AE17" s="94" t="s">
        <v>610</v>
      </c>
    </row>
    <row r="18" spans="1:31">
      <c r="A18" s="129"/>
      <c r="D18" s="121" t="s">
        <v>668</v>
      </c>
      <c r="I18" s="85" t="s">
        <v>0</v>
      </c>
      <c r="J18" s="86">
        <f>IF($H$77&gt;0.25,1.2,1)</f>
        <v>1.2</v>
      </c>
      <c r="K18" s="86">
        <f t="shared" ref="K18:AC18" si="0">IF($H$77&gt;0.25,1.2,1)</f>
        <v>1.2</v>
      </c>
      <c r="L18" s="86">
        <f t="shared" si="0"/>
        <v>1.2</v>
      </c>
      <c r="M18" s="86">
        <f t="shared" si="0"/>
        <v>1.2</v>
      </c>
      <c r="N18" s="86">
        <f>IF($H$77&gt;0.25,0.8,1)</f>
        <v>0.8</v>
      </c>
      <c r="O18" s="86">
        <f t="shared" si="0"/>
        <v>1.2</v>
      </c>
      <c r="P18" s="86">
        <f t="shared" si="0"/>
        <v>1.2</v>
      </c>
      <c r="Q18" s="73">
        <v>1</v>
      </c>
      <c r="R18" s="86">
        <f t="shared" si="0"/>
        <v>1.2</v>
      </c>
      <c r="S18" s="86">
        <f>IF($H$77&lt;0.25,1,IF($H$77&gt;0.3,2.5,1.2))</f>
        <v>2.5</v>
      </c>
      <c r="T18" s="86">
        <f>IF($H$77&lt;0.25,1,IF($H$77&gt;0.3,2.5,1.2))</f>
        <v>2.5</v>
      </c>
      <c r="U18" s="73">
        <v>1</v>
      </c>
      <c r="V18" s="86">
        <f t="shared" si="0"/>
        <v>1.2</v>
      </c>
      <c r="W18" s="86">
        <f t="shared" si="0"/>
        <v>1.2</v>
      </c>
      <c r="X18" s="86">
        <f>IF($H$77&lt;0.25,1,IF($H$77&gt;0.3,2.5,1.2))</f>
        <v>2.5</v>
      </c>
      <c r="Y18" s="73">
        <v>1</v>
      </c>
      <c r="Z18" s="73">
        <v>1</v>
      </c>
      <c r="AA18" s="73">
        <v>1</v>
      </c>
      <c r="AB18" s="73">
        <v>1</v>
      </c>
      <c r="AC18" s="86">
        <f t="shared" si="0"/>
        <v>1.2</v>
      </c>
      <c r="AD18" s="73">
        <v>1</v>
      </c>
      <c r="AE18" s="73">
        <v>1</v>
      </c>
    </row>
    <row r="19" spans="1:31">
      <c r="A19" s="129"/>
      <c r="D19" s="121" t="s">
        <v>669</v>
      </c>
      <c r="I19" s="85" t="s">
        <v>73</v>
      </c>
      <c r="J19" s="73">
        <v>1</v>
      </c>
      <c r="K19" s="73">
        <v>1</v>
      </c>
      <c r="L19" s="86">
        <f t="shared" ref="L19:AD19" si="1">IF($F$82="Y",1.2,1)</f>
        <v>1.2</v>
      </c>
      <c r="M19" s="73">
        <v>1</v>
      </c>
      <c r="N19" s="86">
        <f t="shared" si="1"/>
        <v>1.2</v>
      </c>
      <c r="O19" s="73">
        <v>1</v>
      </c>
      <c r="P19" s="73">
        <v>1</v>
      </c>
      <c r="Q19" s="73">
        <v>1</v>
      </c>
      <c r="R19" s="73">
        <v>1</v>
      </c>
      <c r="S19" s="73">
        <v>1</v>
      </c>
      <c r="T19" s="73">
        <v>1</v>
      </c>
      <c r="U19" s="86">
        <f t="shared" si="1"/>
        <v>1.2</v>
      </c>
      <c r="V19" s="86">
        <f t="shared" si="1"/>
        <v>1.2</v>
      </c>
      <c r="W19" s="86">
        <f t="shared" si="1"/>
        <v>1.2</v>
      </c>
      <c r="X19" s="86">
        <f t="shared" si="1"/>
        <v>1.2</v>
      </c>
      <c r="Y19" s="86">
        <f>IF(F82="Y",20,0.1)</f>
        <v>20</v>
      </c>
      <c r="Z19" s="86">
        <f>IF($F$82="Y",5,0.1)</f>
        <v>5</v>
      </c>
      <c r="AA19" s="86">
        <f t="shared" si="1"/>
        <v>1.2</v>
      </c>
      <c r="AB19" s="73">
        <v>1</v>
      </c>
      <c r="AC19" s="73">
        <v>1</v>
      </c>
      <c r="AD19" s="86">
        <f t="shared" si="1"/>
        <v>1.2</v>
      </c>
      <c r="AE19" s="86">
        <f>IF($F$82="Y",20,1)</f>
        <v>20</v>
      </c>
    </row>
    <row r="20" spans="1:31">
      <c r="A20" s="129"/>
      <c r="D20" s="121" t="s">
        <v>682</v>
      </c>
      <c r="F20" s="128" t="s">
        <v>90</v>
      </c>
      <c r="H20" s="81" t="str">
        <f>IF($F$11="Y",F20,"N")</f>
        <v>N</v>
      </c>
      <c r="I20" s="85" t="s">
        <v>74</v>
      </c>
      <c r="J20" s="73">
        <v>1</v>
      </c>
      <c r="K20" s="73">
        <v>1</v>
      </c>
      <c r="L20" s="73">
        <v>1</v>
      </c>
      <c r="M20" s="73">
        <v>1</v>
      </c>
      <c r="N20" s="73">
        <v>1</v>
      </c>
      <c r="O20" s="86">
        <f t="shared" ref="O20:AD20" si="2">IF($F$86="Y",1.2,1)</f>
        <v>1.2</v>
      </c>
      <c r="P20" s="86">
        <f t="shared" si="2"/>
        <v>1.2</v>
      </c>
      <c r="Q20" s="73">
        <v>1</v>
      </c>
      <c r="R20" s="73">
        <v>1</v>
      </c>
      <c r="S20" s="73">
        <v>1</v>
      </c>
      <c r="T20" s="73">
        <v>1</v>
      </c>
      <c r="U20" s="73">
        <v>1</v>
      </c>
      <c r="V20" s="73">
        <v>1</v>
      </c>
      <c r="W20" s="73">
        <v>1</v>
      </c>
      <c r="X20" s="73">
        <v>1</v>
      </c>
      <c r="Y20" s="73">
        <v>1</v>
      </c>
      <c r="Z20" s="86">
        <f>IF($F$86="Y",5,1)</f>
        <v>5</v>
      </c>
      <c r="AA20" s="73">
        <v>1</v>
      </c>
      <c r="AB20" s="73">
        <v>1</v>
      </c>
      <c r="AC20" s="73">
        <v>1</v>
      </c>
      <c r="AD20" s="86">
        <f t="shared" si="2"/>
        <v>1.2</v>
      </c>
      <c r="AE20" s="73">
        <v>1</v>
      </c>
    </row>
    <row r="21" spans="1:31">
      <c r="A21" s="130"/>
      <c r="D21" s="121" t="s">
        <v>668</v>
      </c>
      <c r="I21" s="85" t="s">
        <v>75</v>
      </c>
      <c r="J21" s="86">
        <f>IF($F$89="Y",0.8,1)</f>
        <v>1</v>
      </c>
      <c r="K21" s="86">
        <f>IF($F$89="Y",0.8,1)</f>
        <v>1</v>
      </c>
      <c r="L21" s="73">
        <v>1</v>
      </c>
      <c r="M21" s="73">
        <v>1</v>
      </c>
      <c r="N21" s="86">
        <f>IF($F$89="Y",0.8,1)</f>
        <v>1</v>
      </c>
      <c r="O21" s="86">
        <f>IF($F$89="Y",0.8,1)</f>
        <v>1</v>
      </c>
      <c r="P21" s="86">
        <f>IF($F$89="Y",0.8,1)</f>
        <v>1</v>
      </c>
      <c r="Q21" s="73">
        <v>1</v>
      </c>
      <c r="R21" s="73">
        <v>1</v>
      </c>
      <c r="S21" s="86">
        <f t="shared" ref="S21:X21" si="3">IF($F$89="Y",0.8,1)</f>
        <v>1</v>
      </c>
      <c r="T21" s="86">
        <f t="shared" si="3"/>
        <v>1</v>
      </c>
      <c r="U21" s="86">
        <f t="shared" si="3"/>
        <v>1</v>
      </c>
      <c r="V21" s="86">
        <f t="shared" si="3"/>
        <v>1</v>
      </c>
      <c r="W21" s="86">
        <f t="shared" si="3"/>
        <v>1</v>
      </c>
      <c r="X21" s="86">
        <f t="shared" si="3"/>
        <v>1</v>
      </c>
      <c r="Y21" s="73">
        <v>1</v>
      </c>
      <c r="Z21" s="73">
        <v>1</v>
      </c>
      <c r="AA21" s="73">
        <v>1</v>
      </c>
      <c r="AB21" s="73">
        <v>1</v>
      </c>
      <c r="AC21" s="86">
        <f>IF($F$89="Y",0.8,1)</f>
        <v>1</v>
      </c>
      <c r="AD21" s="73">
        <v>1</v>
      </c>
      <c r="AE21" s="73">
        <v>1</v>
      </c>
    </row>
    <row r="22" spans="1:31">
      <c r="A22" s="130"/>
      <c r="B22" s="105"/>
      <c r="D22" s="121" t="s">
        <v>669</v>
      </c>
      <c r="I22" s="85" t="s">
        <v>76</v>
      </c>
      <c r="J22" s="86">
        <f>IF($F$92="Y",0.8,1)</f>
        <v>1</v>
      </c>
      <c r="K22" s="86">
        <f>IF($F$92="Y",0.8,1)</f>
        <v>1</v>
      </c>
      <c r="L22" s="73">
        <v>1</v>
      </c>
      <c r="M22" s="73">
        <v>1</v>
      </c>
      <c r="N22" s="73">
        <v>1</v>
      </c>
      <c r="O22" s="86">
        <f>IF($F$92="Y",0.8,1)</f>
        <v>1</v>
      </c>
      <c r="P22" s="86">
        <f>IF($F$92="Y",0.8,1)</f>
        <v>1</v>
      </c>
      <c r="Q22" s="73">
        <v>1</v>
      </c>
      <c r="R22" s="73">
        <v>1</v>
      </c>
      <c r="S22" s="86">
        <f>IF($F$92="Y",0.8,1)</f>
        <v>1</v>
      </c>
      <c r="T22" s="86">
        <f>IF($F$92="Y",0.8,1)</f>
        <v>1</v>
      </c>
      <c r="U22" s="73">
        <v>1</v>
      </c>
      <c r="V22" s="73">
        <v>1</v>
      </c>
      <c r="W22" s="86">
        <f>IF($F$92="Y",0.8,1)</f>
        <v>1</v>
      </c>
      <c r="X22" s="86">
        <f>IF($F$92="Y",0.8,1)</f>
        <v>1</v>
      </c>
      <c r="Y22" s="73">
        <v>1</v>
      </c>
      <c r="Z22" s="73">
        <v>1</v>
      </c>
      <c r="AA22" s="73">
        <v>1</v>
      </c>
      <c r="AB22" s="73">
        <v>1</v>
      </c>
      <c r="AC22" s="86">
        <f>IF($F$92="Y",0.8,1)</f>
        <v>1</v>
      </c>
      <c r="AD22" s="73">
        <v>1</v>
      </c>
      <c r="AE22" s="73">
        <v>1</v>
      </c>
    </row>
    <row r="23" spans="1:31">
      <c r="A23" s="130"/>
      <c r="B23" s="105"/>
      <c r="D23" s="121" t="s">
        <v>683</v>
      </c>
      <c r="F23" s="128" t="s">
        <v>90</v>
      </c>
      <c r="H23" s="81" t="str">
        <f>IF($F$11="Y",F23,"N")</f>
        <v>N</v>
      </c>
      <c r="I23" s="85" t="s">
        <v>78</v>
      </c>
      <c r="J23" s="73">
        <v>1</v>
      </c>
      <c r="K23" s="73">
        <v>1</v>
      </c>
      <c r="L23" s="73">
        <v>1</v>
      </c>
      <c r="M23" s="73">
        <v>1</v>
      </c>
      <c r="N23" s="73">
        <v>1</v>
      </c>
      <c r="O23" s="73">
        <v>1</v>
      </c>
      <c r="P23" s="73">
        <v>1</v>
      </c>
      <c r="Q23" s="73">
        <v>1</v>
      </c>
      <c r="R23" s="73">
        <v>1</v>
      </c>
      <c r="S23" s="73">
        <v>1</v>
      </c>
      <c r="T23" s="73">
        <v>1</v>
      </c>
      <c r="U23" s="73">
        <v>1</v>
      </c>
      <c r="V23" s="73">
        <v>1</v>
      </c>
      <c r="W23" s="73">
        <v>1</v>
      </c>
      <c r="X23" s="73">
        <v>1</v>
      </c>
      <c r="Y23" s="73">
        <v>1</v>
      </c>
      <c r="Z23" s="73">
        <v>1</v>
      </c>
      <c r="AA23" s="73">
        <v>1</v>
      </c>
      <c r="AB23" s="335">
        <f>G117*G118*G119*G120</f>
        <v>1.44</v>
      </c>
      <c r="AC23" s="73">
        <v>1</v>
      </c>
      <c r="AD23" s="73">
        <v>1</v>
      </c>
      <c r="AE23" s="73">
        <v>1</v>
      </c>
    </row>
    <row r="24" spans="1:31">
      <c r="A24" s="130"/>
      <c r="B24" s="105"/>
      <c r="D24" s="121" t="s">
        <v>668</v>
      </c>
      <c r="I24" s="87" t="s">
        <v>106</v>
      </c>
      <c r="J24" s="73">
        <v>1</v>
      </c>
      <c r="K24" s="73">
        <v>1</v>
      </c>
      <c r="L24" s="73">
        <v>1</v>
      </c>
      <c r="M24" s="73">
        <v>1</v>
      </c>
      <c r="N24" s="86">
        <f>IF(F113="Y",1.2,1)</f>
        <v>1</v>
      </c>
      <c r="O24" s="73">
        <v>1</v>
      </c>
      <c r="P24" s="73">
        <v>1</v>
      </c>
      <c r="Q24" s="73">
        <v>1</v>
      </c>
      <c r="R24" s="73">
        <v>1</v>
      </c>
      <c r="S24" s="73">
        <v>1</v>
      </c>
      <c r="T24" s="73">
        <v>1</v>
      </c>
      <c r="U24" s="86">
        <f>IF(F53="Y",1.2,1)*(IF(F101="Y",0.8,1))</f>
        <v>1</v>
      </c>
      <c r="V24" s="73">
        <v>1</v>
      </c>
      <c r="W24" s="86">
        <f>X24</f>
        <v>1.2</v>
      </c>
      <c r="X24" s="86">
        <f>MAX(IF(F122="Y",1.2,1),IF(H140&gt;4,1.2,1),IF(F107="Y",1.2,1))</f>
        <v>1.2</v>
      </c>
      <c r="Y24" s="73">
        <v>1</v>
      </c>
      <c r="Z24" s="73">
        <v>1</v>
      </c>
      <c r="AA24" s="73">
        <v>1</v>
      </c>
      <c r="AB24" s="73">
        <v>1</v>
      </c>
      <c r="AC24" s="73">
        <v>1</v>
      </c>
      <c r="AD24" s="73">
        <v>1</v>
      </c>
      <c r="AE24" s="73">
        <v>1</v>
      </c>
    </row>
    <row r="25" spans="1:31">
      <c r="A25" s="130"/>
      <c r="B25" s="105"/>
      <c r="D25" s="121" t="s">
        <v>669</v>
      </c>
      <c r="I25" s="87" t="s">
        <v>127</v>
      </c>
      <c r="J25" s="73">
        <f>J18*J19*J20*(MAX(J21,J22)*J23*J24)</f>
        <v>1.2</v>
      </c>
      <c r="K25" s="73">
        <f t="shared" ref="K25:AD25" si="4">K18*K19*K20*(MAX(K21,K22)*K23*K24)</f>
        <v>1.2</v>
      </c>
      <c r="L25" s="73">
        <f t="shared" si="4"/>
        <v>1.44</v>
      </c>
      <c r="M25" s="73">
        <f t="shared" si="4"/>
        <v>1.2</v>
      </c>
      <c r="N25" s="73">
        <f t="shared" si="4"/>
        <v>0.96</v>
      </c>
      <c r="O25" s="73">
        <f>O18*O19*O20*(MAX(O21,O22)*O23*O24)</f>
        <v>1.44</v>
      </c>
      <c r="P25" s="73">
        <f t="shared" si="4"/>
        <v>1.44</v>
      </c>
      <c r="Q25" s="73">
        <f t="shared" si="4"/>
        <v>1</v>
      </c>
      <c r="R25" s="73">
        <f t="shared" si="4"/>
        <v>1.2</v>
      </c>
      <c r="S25" s="73">
        <f t="shared" si="4"/>
        <v>2.5</v>
      </c>
      <c r="T25" s="73">
        <f t="shared" si="4"/>
        <v>2.5</v>
      </c>
      <c r="U25" s="73">
        <f t="shared" si="4"/>
        <v>1.2</v>
      </c>
      <c r="V25" s="73">
        <f t="shared" si="4"/>
        <v>1.44</v>
      </c>
      <c r="W25" s="73">
        <f t="shared" si="4"/>
        <v>1.728</v>
      </c>
      <c r="X25" s="73">
        <f t="shared" si="4"/>
        <v>3.5999999999999996</v>
      </c>
      <c r="Y25" s="73">
        <f t="shared" si="4"/>
        <v>20</v>
      </c>
      <c r="Z25" s="73">
        <f t="shared" si="4"/>
        <v>25</v>
      </c>
      <c r="AA25" s="73">
        <f t="shared" si="4"/>
        <v>1.2</v>
      </c>
      <c r="AB25" s="73">
        <f t="shared" si="4"/>
        <v>1.44</v>
      </c>
      <c r="AC25" s="73">
        <f t="shared" si="4"/>
        <v>1.2</v>
      </c>
      <c r="AD25" s="73">
        <f t="shared" si="4"/>
        <v>1.44</v>
      </c>
      <c r="AE25" s="207">
        <f>AE19</f>
        <v>20</v>
      </c>
    </row>
    <row r="26" spans="1:31">
      <c r="A26" s="130"/>
      <c r="B26" s="105"/>
      <c r="D26" s="121" t="s">
        <v>684</v>
      </c>
      <c r="F26" s="128" t="s">
        <v>90</v>
      </c>
      <c r="H26" s="81" t="str">
        <f>IF($F$11="Y",F26,"N")</f>
        <v>N</v>
      </c>
      <c r="I26" s="73" t="s">
        <v>99</v>
      </c>
      <c r="J26" s="82" t="s">
        <v>54</v>
      </c>
      <c r="K26" s="83" t="s">
        <v>35</v>
      </c>
      <c r="L26" s="83" t="s">
        <v>36</v>
      </c>
      <c r="M26" s="83" t="s">
        <v>37</v>
      </c>
      <c r="N26" s="83" t="s">
        <v>38</v>
      </c>
      <c r="O26" s="83" t="s">
        <v>39</v>
      </c>
      <c r="P26" s="83" t="s">
        <v>40</v>
      </c>
      <c r="Q26" s="83" t="s">
        <v>41</v>
      </c>
      <c r="R26" s="83" t="s">
        <v>42</v>
      </c>
      <c r="S26" s="83" t="s">
        <v>43</v>
      </c>
      <c r="T26" s="83" t="s">
        <v>44</v>
      </c>
      <c r="U26" s="83" t="s">
        <v>45</v>
      </c>
      <c r="V26" s="83" t="s">
        <v>46</v>
      </c>
      <c r="W26" s="83" t="s">
        <v>47</v>
      </c>
      <c r="X26" s="83" t="s">
        <v>48</v>
      </c>
      <c r="Y26" s="83" t="s">
        <v>49</v>
      </c>
      <c r="Z26" s="83" t="s">
        <v>50</v>
      </c>
      <c r="AA26" s="83" t="s">
        <v>51</v>
      </c>
      <c r="AB26" s="83" t="s">
        <v>52</v>
      </c>
      <c r="AC26" s="83" t="s">
        <v>97</v>
      </c>
      <c r="AD26" s="84" t="s">
        <v>96</v>
      </c>
      <c r="AE26" s="94" t="s">
        <v>610</v>
      </c>
    </row>
    <row r="27" spans="1:31">
      <c r="A27" s="130"/>
      <c r="B27" s="105"/>
      <c r="D27" s="121" t="s">
        <v>668</v>
      </c>
    </row>
    <row r="28" spans="1:31">
      <c r="A28" s="123"/>
      <c r="B28" s="105"/>
      <c r="D28" s="121" t="s">
        <v>669</v>
      </c>
    </row>
    <row r="29" spans="1:31">
      <c r="A29" s="124"/>
      <c r="B29" s="105"/>
      <c r="D29" s="121" t="s">
        <v>685</v>
      </c>
      <c r="F29" s="128" t="s">
        <v>90</v>
      </c>
      <c r="H29" s="81" t="str">
        <f>IF($F$11="Y",F29,"N")</f>
        <v>N</v>
      </c>
    </row>
    <row r="30" spans="1:31">
      <c r="A30" s="124"/>
      <c r="B30" s="105"/>
      <c r="D30" s="121" t="s">
        <v>668</v>
      </c>
    </row>
    <row r="31" spans="1:31">
      <c r="A31" s="124"/>
      <c r="B31" s="105"/>
      <c r="D31" s="121" t="s">
        <v>669</v>
      </c>
    </row>
    <row r="32" spans="1:31" ht="35.25">
      <c r="A32" s="124"/>
      <c r="B32" s="105"/>
      <c r="D32" s="122" t="s">
        <v>686</v>
      </c>
      <c r="F32" s="127" t="s">
        <v>90</v>
      </c>
    </row>
    <row r="33" spans="1:8">
      <c r="A33" s="123"/>
      <c r="B33" s="105"/>
      <c r="D33" s="121" t="s">
        <v>668</v>
      </c>
    </row>
    <row r="34" spans="1:8">
      <c r="A34" s="123"/>
      <c r="D34" s="121" t="s">
        <v>669</v>
      </c>
    </row>
    <row r="35" spans="1:8" ht="35.25">
      <c r="A35" s="123"/>
      <c r="D35" s="121" t="s">
        <v>687</v>
      </c>
      <c r="F35" s="128" t="s">
        <v>90</v>
      </c>
      <c r="H35" s="81" t="str">
        <f>IF($F$32="Y",F35,"N")</f>
        <v>N</v>
      </c>
    </row>
    <row r="36" spans="1:8">
      <c r="A36" s="124"/>
      <c r="B36" s="106"/>
      <c r="D36" s="121" t="s">
        <v>668</v>
      </c>
    </row>
    <row r="37" spans="1:8">
      <c r="A37" s="124"/>
      <c r="B37" s="106"/>
      <c r="D37" s="121" t="s">
        <v>669</v>
      </c>
    </row>
    <row r="38" spans="1:8" ht="35.25">
      <c r="A38" s="124"/>
      <c r="B38" s="106"/>
      <c r="D38" s="121" t="s">
        <v>688</v>
      </c>
      <c r="F38" s="128" t="s">
        <v>90</v>
      </c>
      <c r="H38" s="81" t="str">
        <f>IF($F$32="Y",F38,"N")</f>
        <v>N</v>
      </c>
    </row>
    <row r="39" spans="1:8">
      <c r="A39" s="124"/>
      <c r="B39" s="106"/>
      <c r="D39" s="121" t="s">
        <v>668</v>
      </c>
    </row>
    <row r="40" spans="1:8">
      <c r="A40" s="124"/>
      <c r="B40" s="106"/>
      <c r="D40" s="121" t="s">
        <v>669</v>
      </c>
    </row>
    <row r="41" spans="1:8">
      <c r="A41" s="124"/>
      <c r="B41" s="106"/>
      <c r="D41" s="121" t="s">
        <v>689</v>
      </c>
      <c r="F41" s="128" t="s">
        <v>90</v>
      </c>
      <c r="H41" s="81" t="str">
        <f>IF($F$32="Y",F41,"N")</f>
        <v>N</v>
      </c>
    </row>
    <row r="42" spans="1:8">
      <c r="A42" s="124"/>
      <c r="B42" s="106"/>
      <c r="D42" s="121" t="s">
        <v>668</v>
      </c>
    </row>
    <row r="43" spans="1:8">
      <c r="A43" s="123"/>
      <c r="D43" s="121" t="s">
        <v>669</v>
      </c>
    </row>
    <row r="44" spans="1:8">
      <c r="A44" s="123"/>
      <c r="D44" s="121" t="s">
        <v>690</v>
      </c>
      <c r="F44" s="128" t="s">
        <v>90</v>
      </c>
      <c r="H44" s="81" t="str">
        <f>IF($F$32="Y",F44,"N")</f>
        <v>N</v>
      </c>
    </row>
    <row r="45" spans="1:8">
      <c r="A45" s="123"/>
      <c r="D45" s="121" t="s">
        <v>668</v>
      </c>
    </row>
    <row r="46" spans="1:8">
      <c r="A46" s="123"/>
      <c r="D46" s="121" t="s">
        <v>669</v>
      </c>
    </row>
    <row r="47" spans="1:8">
      <c r="A47" s="131"/>
      <c r="D47" s="121" t="s">
        <v>691</v>
      </c>
      <c r="F47" s="128" t="s">
        <v>90</v>
      </c>
      <c r="H47" s="81" t="str">
        <f>IF($F$32="Y",F47,"N")</f>
        <v>N</v>
      </c>
    </row>
    <row r="48" spans="1:8">
      <c r="A48" s="131"/>
      <c r="D48" s="121" t="s">
        <v>668</v>
      </c>
    </row>
    <row r="49" spans="1:8">
      <c r="A49" s="131"/>
      <c r="D49" s="121" t="s">
        <v>669</v>
      </c>
    </row>
    <row r="50" spans="1:8">
      <c r="A50" s="131"/>
      <c r="D50" s="121" t="s">
        <v>692</v>
      </c>
      <c r="F50" s="128" t="s">
        <v>90</v>
      </c>
      <c r="H50" s="81" t="str">
        <f>IF($F$32="Y",F50,"N")</f>
        <v>N</v>
      </c>
    </row>
    <row r="51" spans="1:8">
      <c r="A51" s="131"/>
      <c r="D51" s="121" t="s">
        <v>668</v>
      </c>
    </row>
    <row r="52" spans="1:8">
      <c r="A52" s="123"/>
      <c r="D52" s="121" t="s">
        <v>669</v>
      </c>
    </row>
    <row r="53" spans="1:8">
      <c r="A53" s="132"/>
      <c r="D53" s="118" t="s">
        <v>693</v>
      </c>
      <c r="F53" s="128" t="s">
        <v>90</v>
      </c>
      <c r="H53" s="81" t="str">
        <f>IF($F$32="Y",F53,"N")</f>
        <v>N</v>
      </c>
    </row>
    <row r="54" spans="1:8">
      <c r="A54" s="132"/>
      <c r="D54" s="121" t="s">
        <v>668</v>
      </c>
    </row>
    <row r="55" spans="1:8">
      <c r="A55" s="132"/>
      <c r="D55" s="121" t="s">
        <v>669</v>
      </c>
    </row>
    <row r="56" spans="1:8" ht="70.5">
      <c r="A56" s="132"/>
      <c r="B56" s="86" t="s">
        <v>670</v>
      </c>
      <c r="D56" s="148" t="s">
        <v>694</v>
      </c>
      <c r="F56" s="149" t="s">
        <v>90</v>
      </c>
    </row>
    <row r="57" spans="1:8">
      <c r="A57" s="132"/>
      <c r="D57" s="121" t="s">
        <v>668</v>
      </c>
    </row>
    <row r="58" spans="1:8">
      <c r="A58" s="123"/>
      <c r="D58" s="121" t="s">
        <v>669</v>
      </c>
    </row>
    <row r="59" spans="1:8" ht="35.25">
      <c r="A59" s="123"/>
      <c r="D59" s="121" t="s">
        <v>695</v>
      </c>
      <c r="F59" s="128" t="s">
        <v>90</v>
      </c>
      <c r="H59" s="150" t="str">
        <f>F59</f>
        <v>N</v>
      </c>
    </row>
    <row r="60" spans="1:8">
      <c r="A60" s="123"/>
      <c r="D60" s="121" t="s">
        <v>668</v>
      </c>
      <c r="H60" s="91"/>
    </row>
    <row r="61" spans="1:8">
      <c r="A61" s="123"/>
      <c r="D61" s="121" t="s">
        <v>669</v>
      </c>
      <c r="H61" s="91"/>
    </row>
    <row r="62" spans="1:8" ht="35.25">
      <c r="A62" s="123"/>
      <c r="D62" s="121" t="s">
        <v>696</v>
      </c>
      <c r="F62" s="128" t="s">
        <v>90</v>
      </c>
      <c r="H62" s="150" t="str">
        <f>F62</f>
        <v>N</v>
      </c>
    </row>
    <row r="63" spans="1:8">
      <c r="A63" s="123"/>
      <c r="D63" s="121" t="s">
        <v>668</v>
      </c>
      <c r="H63" s="91"/>
    </row>
    <row r="64" spans="1:8">
      <c r="A64" s="123"/>
      <c r="D64" s="121" t="s">
        <v>669</v>
      </c>
      <c r="H64" s="91"/>
    </row>
    <row r="65" spans="1:9" ht="35.25">
      <c r="A65" s="123"/>
      <c r="D65" s="121" t="s">
        <v>697</v>
      </c>
      <c r="F65" s="88" t="s">
        <v>90</v>
      </c>
      <c r="H65" s="151" t="str">
        <f>F65</f>
        <v>N</v>
      </c>
    </row>
    <row r="66" spans="1:9">
      <c r="A66" s="123"/>
      <c r="D66" s="121" t="s">
        <v>668</v>
      </c>
      <c r="H66" s="91"/>
    </row>
    <row r="67" spans="1:9">
      <c r="A67" s="123"/>
      <c r="D67" s="121" t="s">
        <v>669</v>
      </c>
      <c r="H67" s="91"/>
    </row>
    <row r="68" spans="1:9" ht="35.25">
      <c r="A68" s="123"/>
      <c r="B68" s="86" t="s">
        <v>675</v>
      </c>
      <c r="D68" s="298" t="s">
        <v>698</v>
      </c>
      <c r="F68" s="88" t="s">
        <v>90</v>
      </c>
      <c r="H68" s="151" t="str">
        <f>F68</f>
        <v>N</v>
      </c>
    </row>
    <row r="69" spans="1:9">
      <c r="A69" s="123"/>
      <c r="D69" s="121" t="s">
        <v>668</v>
      </c>
      <c r="H69" s="91"/>
      <c r="I69" s="89"/>
    </row>
    <row r="70" spans="1:9">
      <c r="A70" s="123"/>
      <c r="D70" s="121" t="s">
        <v>669</v>
      </c>
      <c r="H70" s="91"/>
    </row>
    <row r="71" spans="1:9" ht="35.25">
      <c r="A71" s="123"/>
      <c r="B71" s="106"/>
      <c r="D71" s="298" t="s">
        <v>699</v>
      </c>
      <c r="F71" s="128" t="s">
        <v>90</v>
      </c>
      <c r="H71" s="151" t="str">
        <f>F71</f>
        <v>N</v>
      </c>
    </row>
    <row r="72" spans="1:9">
      <c r="A72" s="123"/>
      <c r="B72" s="106"/>
      <c r="D72" s="121" t="s">
        <v>668</v>
      </c>
      <c r="H72" s="91"/>
    </row>
    <row r="73" spans="1:9">
      <c r="A73" s="123"/>
      <c r="B73" s="106"/>
      <c r="D73" s="121" t="s">
        <v>669</v>
      </c>
      <c r="H73" s="91"/>
    </row>
    <row r="74" spans="1:9" ht="35.25">
      <c r="A74" s="123"/>
      <c r="B74" s="106"/>
      <c r="D74" s="121" t="s">
        <v>700</v>
      </c>
      <c r="F74" s="128" t="s">
        <v>90</v>
      </c>
      <c r="H74" s="151" t="str">
        <f>F74</f>
        <v>N</v>
      </c>
    </row>
    <row r="75" spans="1:9">
      <c r="A75" s="123"/>
      <c r="B75" s="106"/>
      <c r="D75" s="121" t="s">
        <v>668</v>
      </c>
    </row>
    <row r="76" spans="1:9">
      <c r="A76" s="123"/>
      <c r="B76" s="106"/>
      <c r="D76" s="121" t="s">
        <v>669</v>
      </c>
    </row>
    <row r="77" spans="1:9">
      <c r="A77" s="123"/>
      <c r="B77" s="106"/>
      <c r="D77" s="118" t="s">
        <v>701</v>
      </c>
      <c r="F77" s="90">
        <v>165</v>
      </c>
      <c r="G77" s="91" t="s">
        <v>0</v>
      </c>
      <c r="H77" s="92">
        <f>(F78*100)/(F77*F77)</f>
        <v>0.40036730945821852</v>
      </c>
    </row>
    <row r="78" spans="1:9">
      <c r="A78" s="124"/>
      <c r="D78" s="118" t="s">
        <v>702</v>
      </c>
      <c r="F78" s="90">
        <v>109</v>
      </c>
    </row>
    <row r="79" spans="1:9">
      <c r="A79" s="124"/>
      <c r="B79" s="106"/>
      <c r="D79" s="118" t="s">
        <v>703</v>
      </c>
      <c r="F79" s="90">
        <v>150</v>
      </c>
    </row>
    <row r="80" spans="1:9" ht="35.25">
      <c r="A80" s="124"/>
      <c r="D80" s="118" t="s">
        <v>704</v>
      </c>
      <c r="F80" s="93">
        <v>120</v>
      </c>
    </row>
    <row r="81" spans="1:6" ht="35.25">
      <c r="A81" s="124"/>
      <c r="D81" s="118" t="s">
        <v>705</v>
      </c>
      <c r="F81" s="93">
        <v>70</v>
      </c>
    </row>
    <row r="82" spans="1:6">
      <c r="A82" s="123"/>
      <c r="D82" s="118" t="s">
        <v>706</v>
      </c>
      <c r="F82" s="128" t="s">
        <v>89</v>
      </c>
    </row>
    <row r="83" spans="1:6">
      <c r="A83" s="123"/>
      <c r="B83" s="106"/>
      <c r="D83" s="119" t="s">
        <v>676</v>
      </c>
    </row>
    <row r="84" spans="1:6">
      <c r="A84" s="124"/>
      <c r="B84" s="106"/>
      <c r="D84" s="119" t="s">
        <v>677</v>
      </c>
    </row>
    <row r="85" spans="1:6">
      <c r="A85" s="123"/>
    </row>
    <row r="86" spans="1:6" ht="35.25">
      <c r="A86" s="123"/>
      <c r="D86" s="118" t="s">
        <v>707</v>
      </c>
      <c r="F86" s="128" t="s">
        <v>89</v>
      </c>
    </row>
    <row r="87" spans="1:6">
      <c r="A87" s="123"/>
      <c r="D87" s="119" t="s">
        <v>668</v>
      </c>
    </row>
    <row r="88" spans="1:6">
      <c r="A88" s="123"/>
      <c r="D88" s="119" t="s">
        <v>669</v>
      </c>
    </row>
    <row r="89" spans="1:6" ht="35.25">
      <c r="A89" s="123"/>
      <c r="D89" s="118" t="s">
        <v>708</v>
      </c>
      <c r="F89" s="128" t="s">
        <v>90</v>
      </c>
    </row>
    <row r="90" spans="1:6">
      <c r="A90" s="123"/>
      <c r="D90" s="119" t="s">
        <v>668</v>
      </c>
    </row>
    <row r="91" spans="1:6">
      <c r="A91" s="123"/>
      <c r="D91" s="119" t="s">
        <v>669</v>
      </c>
    </row>
    <row r="92" spans="1:6" ht="52.9">
      <c r="A92" s="123"/>
      <c r="D92" s="118" t="s">
        <v>709</v>
      </c>
      <c r="F92" s="128" t="s">
        <v>90</v>
      </c>
    </row>
    <row r="93" spans="1:6">
      <c r="A93" s="123"/>
      <c r="D93" s="119" t="s">
        <v>668</v>
      </c>
    </row>
    <row r="94" spans="1:6">
      <c r="A94" s="123"/>
      <c r="D94" s="119" t="s">
        <v>669</v>
      </c>
    </row>
    <row r="95" spans="1:6">
      <c r="A95" s="133"/>
      <c r="D95" s="118" t="s">
        <v>710</v>
      </c>
      <c r="F95" s="128" t="s">
        <v>90</v>
      </c>
    </row>
    <row r="96" spans="1:6">
      <c r="A96" s="133"/>
      <c r="D96" s="119" t="s">
        <v>668</v>
      </c>
    </row>
    <row r="97" spans="1:6">
      <c r="A97" s="133"/>
      <c r="D97" s="119" t="s">
        <v>669</v>
      </c>
    </row>
    <row r="98" spans="1:6" ht="35.25">
      <c r="A98" s="133"/>
      <c r="D98" s="118" t="s">
        <v>711</v>
      </c>
      <c r="F98" s="128" t="s">
        <v>90</v>
      </c>
    </row>
    <row r="99" spans="1:6">
      <c r="A99" s="133"/>
      <c r="D99" s="119" t="s">
        <v>668</v>
      </c>
    </row>
    <row r="100" spans="1:6">
      <c r="A100" s="133"/>
      <c r="D100" s="119" t="s">
        <v>669</v>
      </c>
    </row>
    <row r="101" spans="1:6" ht="35.25">
      <c r="A101" s="133"/>
      <c r="D101" s="118" t="s">
        <v>714</v>
      </c>
      <c r="F101" s="128" t="s">
        <v>90</v>
      </c>
    </row>
    <row r="102" spans="1:6">
      <c r="A102" s="133"/>
      <c r="D102" s="119" t="s">
        <v>668</v>
      </c>
    </row>
    <row r="103" spans="1:6">
      <c r="A103" s="123"/>
      <c r="D103" s="119" t="s">
        <v>669</v>
      </c>
    </row>
    <row r="104" spans="1:6">
      <c r="A104" s="123"/>
      <c r="D104" s="118" t="s">
        <v>712</v>
      </c>
      <c r="F104" s="128" t="s">
        <v>89</v>
      </c>
    </row>
    <row r="105" spans="1:6">
      <c r="D105" s="119" t="s">
        <v>668</v>
      </c>
    </row>
    <row r="106" spans="1:6">
      <c r="D106" s="119" t="s">
        <v>669</v>
      </c>
    </row>
    <row r="107" spans="1:6">
      <c r="D107" s="118" t="s">
        <v>713</v>
      </c>
      <c r="F107" s="128" t="s">
        <v>90</v>
      </c>
    </row>
    <row r="108" spans="1:6">
      <c r="D108" s="119" t="s">
        <v>668</v>
      </c>
    </row>
    <row r="109" spans="1:6">
      <c r="D109" s="119" t="s">
        <v>669</v>
      </c>
    </row>
    <row r="110" spans="1:6" ht="35.25">
      <c r="D110" s="118" t="s">
        <v>721</v>
      </c>
      <c r="F110" s="128" t="s">
        <v>90</v>
      </c>
    </row>
    <row r="111" spans="1:6">
      <c r="D111" s="119" t="s">
        <v>668</v>
      </c>
    </row>
    <row r="112" spans="1:6">
      <c r="D112" s="119" t="s">
        <v>669</v>
      </c>
    </row>
    <row r="113" spans="4:8">
      <c r="D113" s="118" t="s">
        <v>722</v>
      </c>
      <c r="F113" s="128" t="s">
        <v>90</v>
      </c>
    </row>
    <row r="114" spans="4:8">
      <c r="D114" s="119" t="s">
        <v>668</v>
      </c>
    </row>
    <row r="115" spans="4:8">
      <c r="D115" s="119" t="s">
        <v>669</v>
      </c>
    </row>
    <row r="116" spans="4:8">
      <c r="D116" s="118" t="s">
        <v>723</v>
      </c>
      <c r="F116" s="90"/>
    </row>
    <row r="117" spans="4:8" ht="35.25">
      <c r="D117" s="119" t="s">
        <v>724</v>
      </c>
      <c r="F117" s="128" t="s">
        <v>89</v>
      </c>
      <c r="G117" s="94">
        <f>IF(F117="Y",1.2,1)</f>
        <v>1.2</v>
      </c>
    </row>
    <row r="118" spans="4:8" ht="35.25">
      <c r="D118" s="119" t="s">
        <v>725</v>
      </c>
      <c r="F118" s="95" t="s">
        <v>90</v>
      </c>
      <c r="G118" s="115">
        <f>IF(F118="Y",1.2,1)</f>
        <v>1</v>
      </c>
    </row>
    <row r="119" spans="4:8">
      <c r="D119" s="119" t="s">
        <v>726</v>
      </c>
      <c r="F119" s="128" t="s">
        <v>90</v>
      </c>
      <c r="G119" s="94">
        <f>IF(F119="Y",1.2,1)</f>
        <v>1</v>
      </c>
    </row>
    <row r="120" spans="4:8" ht="35.25">
      <c r="D120" s="119" t="s">
        <v>727</v>
      </c>
      <c r="F120" s="128" t="s">
        <v>89</v>
      </c>
      <c r="G120" s="94">
        <f>IF(F120="Y",1.2,1)</f>
        <v>1.2</v>
      </c>
    </row>
    <row r="121" spans="4:8">
      <c r="F121" s="96"/>
    </row>
    <row r="122" spans="4:8" ht="35.25">
      <c r="D122" s="118" t="s">
        <v>728</v>
      </c>
      <c r="F122" s="128" t="s">
        <v>89</v>
      </c>
      <c r="G122" s="94">
        <f>IF(F122="Y",2,0)</f>
        <v>2</v>
      </c>
    </row>
    <row r="123" spans="4:8">
      <c r="D123" s="119" t="s">
        <v>668</v>
      </c>
    </row>
    <row r="124" spans="4:8">
      <c r="D124" s="119" t="s">
        <v>669</v>
      </c>
    </row>
    <row r="125" spans="4:8" ht="35.25">
      <c r="D125" s="120" t="s">
        <v>756</v>
      </c>
      <c r="F125" s="90">
        <v>2</v>
      </c>
      <c r="H125" s="97">
        <f>F125+F130+F135</f>
        <v>5</v>
      </c>
    </row>
    <row r="126" spans="4:8">
      <c r="D126" s="121" t="s">
        <v>317</v>
      </c>
      <c r="E126" s="73">
        <v>0</v>
      </c>
    </row>
    <row r="127" spans="4:8">
      <c r="D127" s="121" t="s">
        <v>318</v>
      </c>
      <c r="E127" s="73">
        <v>1</v>
      </c>
    </row>
    <row r="128" spans="4:8">
      <c r="D128" s="121" t="s">
        <v>319</v>
      </c>
      <c r="E128" s="73">
        <v>2</v>
      </c>
    </row>
    <row r="129" spans="3:8">
      <c r="D129" s="121" t="s">
        <v>320</v>
      </c>
      <c r="E129" s="73">
        <v>3</v>
      </c>
    </row>
    <row r="130" spans="3:8" ht="35.25">
      <c r="D130" s="121" t="s">
        <v>729</v>
      </c>
      <c r="F130" s="90">
        <v>1</v>
      </c>
    </row>
    <row r="131" spans="3:8">
      <c r="D131" s="121" t="s">
        <v>321</v>
      </c>
      <c r="E131" s="73">
        <v>0</v>
      </c>
    </row>
    <row r="132" spans="3:8">
      <c r="D132" s="121" t="s">
        <v>322</v>
      </c>
      <c r="E132" s="73">
        <v>1</v>
      </c>
    </row>
    <row r="133" spans="3:8">
      <c r="D133" s="121" t="s">
        <v>323</v>
      </c>
      <c r="E133" s="73">
        <v>2</v>
      </c>
    </row>
    <row r="134" spans="3:8">
      <c r="D134" s="121" t="s">
        <v>324</v>
      </c>
      <c r="E134" s="73">
        <v>3</v>
      </c>
    </row>
    <row r="135" spans="3:8" ht="35.25">
      <c r="D135" s="121" t="s">
        <v>730</v>
      </c>
      <c r="F135" s="90">
        <v>2</v>
      </c>
    </row>
    <row r="136" spans="3:8">
      <c r="D136" s="121" t="s">
        <v>325</v>
      </c>
      <c r="E136" s="73">
        <v>0</v>
      </c>
    </row>
    <row r="137" spans="3:8">
      <c r="D137" s="121" t="s">
        <v>326</v>
      </c>
      <c r="E137" s="73">
        <v>1</v>
      </c>
    </row>
    <row r="138" spans="3:8">
      <c r="D138" s="121" t="s">
        <v>327</v>
      </c>
      <c r="E138" s="73">
        <v>2</v>
      </c>
    </row>
    <row r="139" spans="3:8">
      <c r="D139" s="121" t="s">
        <v>328</v>
      </c>
      <c r="E139" s="73">
        <v>3</v>
      </c>
    </row>
    <row r="140" spans="3:8" ht="35.25">
      <c r="C140" s="89"/>
      <c r="D140" s="118" t="s">
        <v>731</v>
      </c>
      <c r="F140" s="96"/>
      <c r="H140" s="97">
        <f>SUM(G141:G146)</f>
        <v>0</v>
      </c>
    </row>
    <row r="141" spans="3:8">
      <c r="D141" s="119" t="s">
        <v>732</v>
      </c>
      <c r="E141" s="73">
        <v>0</v>
      </c>
      <c r="F141" s="128" t="s">
        <v>90</v>
      </c>
      <c r="G141" s="94">
        <f>IF(F141="Y",1,0)</f>
        <v>0</v>
      </c>
    </row>
    <row r="142" spans="3:8">
      <c r="D142" s="119" t="s">
        <v>733</v>
      </c>
      <c r="E142" s="73">
        <v>1</v>
      </c>
      <c r="F142" s="128" t="s">
        <v>90</v>
      </c>
      <c r="G142" s="94">
        <f t="shared" ref="G142:G146" si="5">IF(F142="Y",1,0)</f>
        <v>0</v>
      </c>
    </row>
    <row r="143" spans="3:8">
      <c r="D143" s="119" t="s">
        <v>734</v>
      </c>
      <c r="E143" s="73">
        <v>2</v>
      </c>
      <c r="F143" s="128" t="s">
        <v>90</v>
      </c>
      <c r="G143" s="94">
        <f t="shared" si="5"/>
        <v>0</v>
      </c>
    </row>
    <row r="144" spans="3:8">
      <c r="D144" s="119" t="s">
        <v>735</v>
      </c>
      <c r="E144" s="73">
        <v>3</v>
      </c>
      <c r="F144" s="128" t="s">
        <v>90</v>
      </c>
      <c r="G144" s="94">
        <f t="shared" si="5"/>
        <v>0</v>
      </c>
    </row>
    <row r="145" spans="2:23" ht="36.6" customHeight="1">
      <c r="D145" s="119" t="s">
        <v>736</v>
      </c>
      <c r="E145" s="73">
        <v>4</v>
      </c>
      <c r="F145" s="128" t="s">
        <v>90</v>
      </c>
      <c r="G145" s="94">
        <f t="shared" si="5"/>
        <v>0</v>
      </c>
    </row>
    <row r="146" spans="2:23" ht="46.25" customHeight="1">
      <c r="D146" s="119" t="s">
        <v>737</v>
      </c>
      <c r="E146" s="73">
        <v>5</v>
      </c>
      <c r="F146" s="128" t="s">
        <v>90</v>
      </c>
      <c r="G146" s="94">
        <f t="shared" si="5"/>
        <v>0</v>
      </c>
    </row>
    <row r="147" spans="2:23">
      <c r="B147" s="86" t="s">
        <v>738</v>
      </c>
      <c r="D147" s="119" t="s">
        <v>243</v>
      </c>
      <c r="H147" s="76">
        <f>G142+G144+G145</f>
        <v>0</v>
      </c>
    </row>
    <row r="148" spans="2:23">
      <c r="B148" s="86" t="s">
        <v>670</v>
      </c>
      <c r="D148" s="120" t="s">
        <v>739</v>
      </c>
      <c r="F148" s="128" t="s">
        <v>89</v>
      </c>
    </row>
    <row r="149" spans="2:23">
      <c r="D149" s="121" t="s">
        <v>668</v>
      </c>
      <c r="J149" s="80" t="s">
        <v>88</v>
      </c>
      <c r="K149" s="98" t="s">
        <v>54</v>
      </c>
      <c r="L149" s="99" t="s">
        <v>37</v>
      </c>
      <c r="M149" s="99" t="s">
        <v>39</v>
      </c>
      <c r="N149" s="99" t="s">
        <v>42</v>
      </c>
      <c r="O149" s="99" t="s">
        <v>43</v>
      </c>
      <c r="P149" s="99" t="s">
        <v>45</v>
      </c>
      <c r="Q149" s="99" t="s">
        <v>46</v>
      </c>
      <c r="R149" s="99" t="s">
        <v>47</v>
      </c>
      <c r="S149" s="99" t="s">
        <v>48</v>
      </c>
      <c r="T149" s="99" t="s">
        <v>51</v>
      </c>
      <c r="U149" s="99" t="s">
        <v>52</v>
      </c>
      <c r="V149" s="99" t="s">
        <v>53</v>
      </c>
      <c r="W149" s="94" t="s">
        <v>609</v>
      </c>
    </row>
    <row r="150" spans="2:23">
      <c r="D150" s="121" t="s">
        <v>669</v>
      </c>
      <c r="K150" s="80">
        <f>MAX(H151,H163,H172,H176)*H232</f>
        <v>1.5</v>
      </c>
      <c r="L150" s="80">
        <f>H194*H232</f>
        <v>0.9</v>
      </c>
      <c r="M150" s="80">
        <f>MAX(H154,H166,H184)*H232</f>
        <v>0.9</v>
      </c>
      <c r="N150" s="80">
        <f>H203*H232</f>
        <v>1.2</v>
      </c>
      <c r="O150" s="80">
        <f>H200*H232</f>
        <v>0.9</v>
      </c>
      <c r="P150" s="80">
        <f>H197*H232</f>
        <v>0.9</v>
      </c>
      <c r="Q150" s="80">
        <f>H191*H232</f>
        <v>1.2</v>
      </c>
      <c r="R150" s="80">
        <f>H191*H232</f>
        <v>1.2</v>
      </c>
      <c r="S150" s="80">
        <f>H191*H232</f>
        <v>1.2</v>
      </c>
      <c r="T150" s="80">
        <f>H206*H232</f>
        <v>1.2</v>
      </c>
      <c r="U150" s="80">
        <f>MAX(H157,H169,H180)*H232</f>
        <v>0.9</v>
      </c>
      <c r="V150" s="80">
        <f>MAX(H163,H176)*H232</f>
        <v>0.9</v>
      </c>
      <c r="W150" s="94">
        <f>MAX(M150,(IF(F17="Y",2,0.9)))</f>
        <v>0.9</v>
      </c>
    </row>
    <row r="151" spans="2:23">
      <c r="D151" s="121" t="s">
        <v>742</v>
      </c>
      <c r="F151" s="128" t="s">
        <v>89</v>
      </c>
      <c r="G151" s="81" t="str">
        <f>IF($F$148="Y",F151,"N")</f>
        <v>Y</v>
      </c>
      <c r="H151" s="73">
        <f>IF(G151="Y",1.5,0.9)</f>
        <v>1.5</v>
      </c>
    </row>
    <row r="152" spans="2:23">
      <c r="D152" s="121" t="s">
        <v>668</v>
      </c>
    </row>
    <row r="153" spans="2:23">
      <c r="D153" s="121" t="s">
        <v>669</v>
      </c>
    </row>
    <row r="154" spans="2:23">
      <c r="D154" s="121" t="s">
        <v>781</v>
      </c>
      <c r="F154" s="128" t="s">
        <v>90</v>
      </c>
      <c r="G154" s="81" t="str">
        <f>IF($F$148="Y",F154,"N")</f>
        <v>N</v>
      </c>
      <c r="H154" s="73">
        <f>IF(G154="Y",2.5,0.9)</f>
        <v>0.9</v>
      </c>
    </row>
    <row r="155" spans="2:23">
      <c r="D155" s="121" t="s">
        <v>668</v>
      </c>
    </row>
    <row r="156" spans="2:23">
      <c r="D156" s="121" t="s">
        <v>669</v>
      </c>
    </row>
    <row r="157" spans="2:23">
      <c r="D157" s="121" t="s">
        <v>741</v>
      </c>
      <c r="F157" s="128" t="s">
        <v>90</v>
      </c>
      <c r="G157" s="81" t="str">
        <f>IF($F$148="Y",F157,"N")</f>
        <v>N</v>
      </c>
      <c r="H157" s="73">
        <f>IF(G157="Y",1.2,0.9)</f>
        <v>0.9</v>
      </c>
    </row>
    <row r="158" spans="2:23">
      <c r="D158" s="121" t="s">
        <v>668</v>
      </c>
    </row>
    <row r="159" spans="2:23">
      <c r="D159" s="121" t="s">
        <v>669</v>
      </c>
    </row>
    <row r="160" spans="2:23">
      <c r="B160" s="86" t="s">
        <v>670</v>
      </c>
      <c r="D160" s="120" t="s">
        <v>740</v>
      </c>
      <c r="F160" s="128" t="s">
        <v>90</v>
      </c>
      <c r="H160" s="73">
        <f>IF(F160="Y",1.2,0.9)</f>
        <v>0.9</v>
      </c>
    </row>
    <row r="161" spans="4:8">
      <c r="D161" s="121" t="s">
        <v>668</v>
      </c>
    </row>
    <row r="162" spans="4:8">
      <c r="D162" s="121" t="s">
        <v>669</v>
      </c>
    </row>
    <row r="163" spans="4:8">
      <c r="D163" s="121" t="s">
        <v>782</v>
      </c>
      <c r="F163" s="128" t="s">
        <v>90</v>
      </c>
      <c r="G163" s="81" t="str">
        <f>IF($F$160="Y",F163,"N")</f>
        <v>N</v>
      </c>
      <c r="H163" s="73">
        <f>IF(G163="Y",2,0.9)</f>
        <v>0.9</v>
      </c>
    </row>
    <row r="164" spans="4:8">
      <c r="D164" s="121" t="s">
        <v>668</v>
      </c>
    </row>
    <row r="165" spans="4:8">
      <c r="D165" s="121" t="s">
        <v>669</v>
      </c>
    </row>
    <row r="166" spans="4:8">
      <c r="D166" s="121" t="s">
        <v>743</v>
      </c>
      <c r="F166" s="128" t="s">
        <v>90</v>
      </c>
      <c r="G166" s="81" t="str">
        <f>IF($F$160="Y",F166,"N")</f>
        <v>N</v>
      </c>
      <c r="H166" s="73">
        <f>IF(G166="Y",2.5,0.9)</f>
        <v>0.9</v>
      </c>
    </row>
    <row r="167" spans="4:8">
      <c r="D167" s="121" t="s">
        <v>668</v>
      </c>
    </row>
    <row r="168" spans="4:8">
      <c r="D168" s="121" t="s">
        <v>669</v>
      </c>
    </row>
    <row r="169" spans="4:8">
      <c r="D169" s="121" t="s">
        <v>744</v>
      </c>
      <c r="F169" s="128" t="s">
        <v>90</v>
      </c>
      <c r="G169" s="81" t="str">
        <f>IF($F$160="Y",F169,"N")</f>
        <v>N</v>
      </c>
      <c r="H169" s="73">
        <f>IF(G169="Y",1.2,0.9)</f>
        <v>0.9</v>
      </c>
    </row>
    <row r="170" spans="4:8">
      <c r="D170" s="121" t="s">
        <v>668</v>
      </c>
    </row>
    <row r="171" spans="4:8">
      <c r="D171" s="121" t="s">
        <v>669</v>
      </c>
    </row>
    <row r="172" spans="4:8">
      <c r="D172" s="121" t="s">
        <v>745</v>
      </c>
      <c r="F172" s="90">
        <v>0</v>
      </c>
      <c r="H172" s="91">
        <f>IF(F172=1,1.2,(IF(F172&gt;1,2.5,0.9)))</f>
        <v>0.9</v>
      </c>
    </row>
    <row r="173" spans="4:8">
      <c r="D173" s="121" t="s">
        <v>83</v>
      </c>
    </row>
    <row r="174" spans="4:8">
      <c r="D174" s="121" t="s">
        <v>84</v>
      </c>
    </row>
    <row r="175" spans="4:8">
      <c r="D175" s="121" t="s">
        <v>91</v>
      </c>
    </row>
    <row r="176" spans="4:8">
      <c r="D176" s="121" t="s">
        <v>746</v>
      </c>
      <c r="F176" s="90">
        <v>0</v>
      </c>
      <c r="H176" s="91">
        <f>IF(F176=1,1.2,(IF(F176&gt;1,2.5,0.9)))</f>
        <v>0.9</v>
      </c>
    </row>
    <row r="177" spans="4:8">
      <c r="D177" s="121" t="s">
        <v>83</v>
      </c>
    </row>
    <row r="178" spans="4:8">
      <c r="D178" s="121" t="s">
        <v>84</v>
      </c>
    </row>
    <row r="179" spans="4:8">
      <c r="D179" s="121" t="s">
        <v>91</v>
      </c>
    </row>
    <row r="180" spans="4:8">
      <c r="D180" s="121" t="s">
        <v>747</v>
      </c>
      <c r="F180" s="90">
        <v>0</v>
      </c>
      <c r="H180" s="91">
        <f>IF(F180=1,1.2,(IF(F180&gt;1,1.5,0.9)))</f>
        <v>0.9</v>
      </c>
    </row>
    <row r="181" spans="4:8">
      <c r="D181" s="121" t="s">
        <v>83</v>
      </c>
    </row>
    <row r="182" spans="4:8">
      <c r="D182" s="121" t="s">
        <v>84</v>
      </c>
    </row>
    <row r="183" spans="4:8">
      <c r="D183" s="121" t="s">
        <v>91</v>
      </c>
    </row>
    <row r="184" spans="4:8">
      <c r="D184" s="121" t="s">
        <v>748</v>
      </c>
      <c r="F184" s="90">
        <v>0</v>
      </c>
      <c r="H184" s="91">
        <f>IF(F184=1,1.2,(IF(F184&gt;1,2.5,0.9)))</f>
        <v>0.9</v>
      </c>
    </row>
    <row r="185" spans="4:8">
      <c r="D185" s="121" t="s">
        <v>83</v>
      </c>
    </row>
    <row r="186" spans="4:8">
      <c r="D186" s="121" t="s">
        <v>84</v>
      </c>
    </row>
    <row r="187" spans="4:8">
      <c r="D187" s="121" t="s">
        <v>91</v>
      </c>
    </row>
    <row r="188" spans="4:8" ht="35.25">
      <c r="D188" s="122" t="s">
        <v>749</v>
      </c>
      <c r="F188" s="72" t="s">
        <v>89</v>
      </c>
      <c r="H188" s="73">
        <f>IF(F188="Y",1.2,0.9)</f>
        <v>1.2</v>
      </c>
    </row>
    <row r="189" spans="4:8">
      <c r="D189" s="121" t="s">
        <v>668</v>
      </c>
    </row>
    <row r="190" spans="4:8">
      <c r="D190" s="121" t="s">
        <v>669</v>
      </c>
    </row>
    <row r="191" spans="4:8" ht="35.25">
      <c r="D191" s="122" t="s">
        <v>750</v>
      </c>
      <c r="F191" s="128" t="s">
        <v>89</v>
      </c>
      <c r="G191" s="81" t="str">
        <f>IF($F$188="Y",F191,"N")</f>
        <v>Y</v>
      </c>
      <c r="H191" s="73">
        <f>IF(G191="Y",1.2,0.9)</f>
        <v>1.2</v>
      </c>
    </row>
    <row r="192" spans="4:8">
      <c r="D192" s="121" t="s">
        <v>668</v>
      </c>
    </row>
    <row r="193" spans="4:8">
      <c r="D193" s="121" t="s">
        <v>669</v>
      </c>
    </row>
    <row r="194" spans="4:8" ht="35.25">
      <c r="D194" s="122" t="s">
        <v>751</v>
      </c>
      <c r="F194" s="128" t="s">
        <v>90</v>
      </c>
      <c r="G194" s="81" t="str">
        <f>IF($F$188="Y",F194,"N")</f>
        <v>N</v>
      </c>
      <c r="H194" s="73">
        <f>IF(G194="Y",1.2,0.9)</f>
        <v>0.9</v>
      </c>
    </row>
    <row r="195" spans="4:8">
      <c r="D195" s="121" t="s">
        <v>668</v>
      </c>
    </row>
    <row r="196" spans="4:8">
      <c r="D196" s="121" t="s">
        <v>669</v>
      </c>
    </row>
    <row r="197" spans="4:8" ht="35.25">
      <c r="D197" s="122" t="s">
        <v>752</v>
      </c>
      <c r="F197" s="72" t="s">
        <v>90</v>
      </c>
      <c r="G197" s="81" t="str">
        <f>IF($F$188="Y",F197,"N")</f>
        <v>N</v>
      </c>
      <c r="H197" s="73">
        <f>IF(G197="Y",1.2,0.9)</f>
        <v>0.9</v>
      </c>
    </row>
    <row r="198" spans="4:8">
      <c r="D198" s="121" t="s">
        <v>668</v>
      </c>
    </row>
    <row r="199" spans="4:8">
      <c r="D199" s="121" t="s">
        <v>669</v>
      </c>
    </row>
    <row r="200" spans="4:8" ht="35.25">
      <c r="D200" s="122" t="s">
        <v>753</v>
      </c>
      <c r="F200" s="128" t="s">
        <v>90</v>
      </c>
      <c r="G200" s="81" t="str">
        <f>IF($F$188="Y",F200,"N")</f>
        <v>N</v>
      </c>
      <c r="H200" s="73">
        <f>IF(G200="Y",1.2,0.9)</f>
        <v>0.9</v>
      </c>
    </row>
    <row r="201" spans="4:8">
      <c r="D201" s="121" t="s">
        <v>668</v>
      </c>
    </row>
    <row r="202" spans="4:8">
      <c r="D202" s="121" t="s">
        <v>669</v>
      </c>
    </row>
    <row r="203" spans="4:8" ht="35.25">
      <c r="D203" s="122" t="s">
        <v>754</v>
      </c>
      <c r="F203" s="128" t="s">
        <v>89</v>
      </c>
      <c r="G203" s="81" t="str">
        <f>IF($F$188="Y",F203,"N")</f>
        <v>Y</v>
      </c>
      <c r="H203" s="73">
        <f>IF(G203="Y",1.2,0.9)</f>
        <v>1.2</v>
      </c>
    </row>
    <row r="204" spans="4:8">
      <c r="D204" s="121" t="s">
        <v>668</v>
      </c>
    </row>
    <row r="205" spans="4:8">
      <c r="D205" s="121" t="s">
        <v>669</v>
      </c>
    </row>
    <row r="206" spans="4:8" ht="35.25">
      <c r="D206" s="122" t="s">
        <v>755</v>
      </c>
      <c r="F206" s="128" t="s">
        <v>89</v>
      </c>
      <c r="G206" s="81" t="str">
        <f>IF($F$188="Y",F206,"N")</f>
        <v>Y</v>
      </c>
      <c r="H206" s="73">
        <f>IF(G206="Y",1.2,0.9)</f>
        <v>1.2</v>
      </c>
    </row>
    <row r="207" spans="4:8">
      <c r="D207" s="121" t="s">
        <v>668</v>
      </c>
    </row>
    <row r="208" spans="4:8">
      <c r="D208" s="121" t="s">
        <v>669</v>
      </c>
    </row>
    <row r="209" spans="4:6" ht="35.25">
      <c r="D209" s="135" t="s">
        <v>720</v>
      </c>
      <c r="F209" s="90">
        <v>0</v>
      </c>
    </row>
    <row r="210" spans="4:6">
      <c r="D210" s="121" t="s">
        <v>317</v>
      </c>
    </row>
    <row r="211" spans="4:6">
      <c r="D211" s="121" t="s">
        <v>318</v>
      </c>
    </row>
    <row r="212" spans="4:6">
      <c r="D212" s="121" t="s">
        <v>319</v>
      </c>
    </row>
    <row r="213" spans="4:6">
      <c r="D213" s="121" t="s">
        <v>320</v>
      </c>
    </row>
    <row r="214" spans="4:6" ht="35.25">
      <c r="D214" s="135" t="s">
        <v>719</v>
      </c>
      <c r="F214" s="90">
        <v>0</v>
      </c>
    </row>
    <row r="215" spans="4:6">
      <c r="D215" s="121" t="s">
        <v>317</v>
      </c>
    </row>
    <row r="216" spans="4:6">
      <c r="D216" s="121" t="s">
        <v>318</v>
      </c>
    </row>
    <row r="217" spans="4:6">
      <c r="D217" s="121" t="s">
        <v>319</v>
      </c>
    </row>
    <row r="218" spans="4:6">
      <c r="D218" s="121" t="s">
        <v>320</v>
      </c>
    </row>
    <row r="219" spans="4:6" ht="35.25">
      <c r="D219" s="135" t="s">
        <v>718</v>
      </c>
      <c r="F219" s="90">
        <v>0</v>
      </c>
    </row>
    <row r="220" spans="4:6">
      <c r="D220" s="121" t="s">
        <v>317</v>
      </c>
    </row>
    <row r="221" spans="4:6">
      <c r="D221" s="121" t="s">
        <v>318</v>
      </c>
    </row>
    <row r="222" spans="4:6">
      <c r="D222" s="121" t="s">
        <v>319</v>
      </c>
    </row>
    <row r="223" spans="4:6">
      <c r="D223" s="121" t="s">
        <v>320</v>
      </c>
    </row>
    <row r="224" spans="4:6" ht="56" customHeight="1">
      <c r="D224" s="135" t="s">
        <v>717</v>
      </c>
      <c r="F224" s="90">
        <v>0</v>
      </c>
    </row>
    <row r="225" spans="4:8">
      <c r="D225" s="121" t="s">
        <v>317</v>
      </c>
    </row>
    <row r="226" spans="4:8">
      <c r="D226" s="121" t="s">
        <v>318</v>
      </c>
    </row>
    <row r="227" spans="4:8">
      <c r="D227" s="121" t="s">
        <v>319</v>
      </c>
    </row>
    <row r="228" spans="4:8">
      <c r="D228" s="121" t="s">
        <v>320</v>
      </c>
    </row>
    <row r="229" spans="4:8">
      <c r="D229" s="119" t="s">
        <v>716</v>
      </c>
      <c r="F229" s="137">
        <v>0</v>
      </c>
    </row>
    <row r="231" spans="4:8">
      <c r="D231" s="121" t="s">
        <v>757</v>
      </c>
      <c r="F231" s="128" t="s">
        <v>90</v>
      </c>
      <c r="H231" s="81" t="str">
        <f>IF($F$11="Y",F231,"N")</f>
        <v>N</v>
      </c>
    </row>
    <row r="232" spans="4:8">
      <c r="D232" s="121" t="s">
        <v>715</v>
      </c>
      <c r="F232" s="77">
        <v>0</v>
      </c>
      <c r="H232" s="73">
        <f>IF(F232&lt;2,1,0.9)</f>
        <v>1</v>
      </c>
    </row>
    <row r="233" spans="4:8">
      <c r="D233" s="121"/>
    </row>
    <row r="234" spans="4:8" ht="18" thickBot="1"/>
    <row r="235" spans="4:8" ht="18" thickBot="1">
      <c r="D235" s="296" t="s">
        <v>624</v>
      </c>
      <c r="F235" s="90">
        <v>120</v>
      </c>
    </row>
    <row r="236" spans="4:8" ht="18" thickBot="1">
      <c r="D236" s="297" t="s">
        <v>625</v>
      </c>
      <c r="F236" s="90">
        <v>125</v>
      </c>
    </row>
    <row r="237" spans="4:8" ht="18" thickBot="1">
      <c r="D237" s="297" t="s">
        <v>661</v>
      </c>
      <c r="F237" s="90">
        <v>75</v>
      </c>
    </row>
    <row r="238" spans="4:8" ht="18" thickBot="1">
      <c r="D238" s="297" t="s">
        <v>662</v>
      </c>
      <c r="F238" s="90">
        <v>120</v>
      </c>
    </row>
    <row r="239" spans="4:8" ht="18" thickBot="1">
      <c r="D239" s="297" t="s">
        <v>663</v>
      </c>
      <c r="F239" s="90">
        <v>120</v>
      </c>
    </row>
    <row r="240" spans="4:8" ht="18" thickBot="1">
      <c r="D240" s="297" t="s">
        <v>630</v>
      </c>
      <c r="F240" s="90">
        <v>70</v>
      </c>
    </row>
    <row r="241" spans="4:10" ht="18" thickBot="1">
      <c r="D241" s="297" t="s">
        <v>626</v>
      </c>
      <c r="F241" s="90">
        <v>80</v>
      </c>
    </row>
    <row r="242" spans="4:10" ht="18" thickBot="1">
      <c r="D242" s="297" t="s">
        <v>631</v>
      </c>
      <c r="F242" s="90">
        <v>80</v>
      </c>
    </row>
    <row r="243" spans="4:10" ht="18" thickBot="1">
      <c r="D243" s="297" t="s">
        <v>664</v>
      </c>
      <c r="F243" s="90">
        <v>75</v>
      </c>
    </row>
    <row r="244" spans="4:10" ht="18" thickBot="1">
      <c r="D244" s="297" t="s">
        <v>627</v>
      </c>
      <c r="F244" s="90">
        <v>96</v>
      </c>
    </row>
    <row r="245" spans="4:10" ht="18" thickBot="1">
      <c r="D245" s="297" t="s">
        <v>628</v>
      </c>
      <c r="F245" s="90">
        <v>96</v>
      </c>
    </row>
    <row r="246" spans="4:10" ht="18" thickBot="1">
      <c r="D246" s="297" t="s">
        <v>652</v>
      </c>
      <c r="F246" s="90" t="s">
        <v>654</v>
      </c>
    </row>
    <row r="247" spans="4:10" ht="18" thickBot="1">
      <c r="D247" s="297" t="s">
        <v>653</v>
      </c>
      <c r="F247" s="90" t="s">
        <v>654</v>
      </c>
    </row>
    <row r="248" spans="4:10" ht="23.25">
      <c r="D248" s="301" t="s">
        <v>765</v>
      </c>
      <c r="F248" s="300">
        <v>0</v>
      </c>
    </row>
    <row r="249" spans="4:10">
      <c r="D249" s="302" t="s">
        <v>760</v>
      </c>
    </row>
    <row r="250" spans="4:10">
      <c r="D250" s="302" t="s">
        <v>767</v>
      </c>
      <c r="F250" s="77">
        <v>0</v>
      </c>
      <c r="H250" s="73">
        <f>F250/20</f>
        <v>0</v>
      </c>
    </row>
    <row r="251" spans="4:10">
      <c r="D251" s="302" t="s">
        <v>768</v>
      </c>
      <c r="F251" s="77" t="s">
        <v>813</v>
      </c>
      <c r="H251" s="73">
        <f>IF(F251="Normale",1,0)</f>
        <v>0</v>
      </c>
    </row>
    <row r="252" spans="4:10">
      <c r="D252" s="302" t="s">
        <v>769</v>
      </c>
      <c r="F252" s="77" t="s">
        <v>813</v>
      </c>
      <c r="H252" s="73">
        <f>IF(F252="Normale",1,0)</f>
        <v>0</v>
      </c>
      <c r="I252" s="310" t="s">
        <v>120</v>
      </c>
      <c r="J252" s="310">
        <f>(H250+H251+H252)/3</f>
        <v>0</v>
      </c>
    </row>
    <row r="253" spans="4:10" ht="21">
      <c r="D253" s="307" t="s">
        <v>773</v>
      </c>
      <c r="E253" s="303"/>
      <c r="F253" s="304" t="s">
        <v>770</v>
      </c>
      <c r="G253" s="303" t="s">
        <v>774</v>
      </c>
      <c r="H253" s="303"/>
      <c r="I253" s="303"/>
    </row>
    <row r="254" spans="4:10" ht="21">
      <c r="D254" s="308" t="s">
        <v>771</v>
      </c>
      <c r="E254" s="306"/>
      <c r="F254" s="304"/>
      <c r="G254" s="303"/>
      <c r="H254" s="303"/>
      <c r="I254" s="311" t="s">
        <v>120</v>
      </c>
      <c r="J254" s="311">
        <f>IF(F253="Normale perte auditive en décibel &lt;20 dB",1,(IF(F253="Surdité perte auditive en décibel &gt; 40 dB",0.4,0.6)))</f>
        <v>0.6</v>
      </c>
    </row>
    <row r="255" spans="4:10" ht="21">
      <c r="D255" s="309" t="s">
        <v>770</v>
      </c>
      <c r="E255" s="305"/>
      <c r="F255" s="304"/>
      <c r="G255" s="303"/>
      <c r="H255" s="303"/>
      <c r="I255" s="303"/>
    </row>
    <row r="256" spans="4:10" ht="21">
      <c r="D256" s="308" t="s">
        <v>772</v>
      </c>
      <c r="E256" s="305"/>
      <c r="F256" s="304"/>
      <c r="G256" s="303"/>
      <c r="H256" s="303"/>
      <c r="I256" s="303"/>
    </row>
    <row r="259" spans="4:8" ht="18">
      <c r="D259" s="338" t="s">
        <v>793</v>
      </c>
      <c r="F259" s="90" t="s">
        <v>90</v>
      </c>
      <c r="G259" s="80">
        <f>IF(F259="Y",1,0)</f>
        <v>0</v>
      </c>
      <c r="H259" s="73" t="s">
        <v>789</v>
      </c>
    </row>
    <row r="260" spans="4:8" ht="18">
      <c r="D260" s="337" t="s">
        <v>787</v>
      </c>
    </row>
    <row r="261" spans="4:8" ht="18">
      <c r="D261" s="337" t="s">
        <v>788</v>
      </c>
    </row>
    <row r="262" spans="4:8" ht="36">
      <c r="D262" s="339" t="s">
        <v>794</v>
      </c>
      <c r="F262" s="90" t="s">
        <v>90</v>
      </c>
      <c r="G262" s="80">
        <f>IF(F262="Y",0.5,0)</f>
        <v>0</v>
      </c>
    </row>
    <row r="263" spans="4:8" ht="18">
      <c r="D263" s="337" t="s">
        <v>787</v>
      </c>
    </row>
    <row r="264" spans="4:8" ht="18">
      <c r="D264" s="337" t="s">
        <v>788</v>
      </c>
    </row>
    <row r="265" spans="4:8" ht="18">
      <c r="D265" s="340" t="s">
        <v>795</v>
      </c>
      <c r="F265" s="90" t="s">
        <v>90</v>
      </c>
      <c r="G265" s="80">
        <f>IF(F265="Y",0.5,0)</f>
        <v>0</v>
      </c>
    </row>
    <row r="266" spans="4:8" ht="18">
      <c r="D266" s="337" t="s">
        <v>787</v>
      </c>
    </row>
    <row r="267" spans="4:8" ht="18">
      <c r="D267" s="337" t="s">
        <v>788</v>
      </c>
    </row>
    <row r="268" spans="4:8" ht="18">
      <c r="D268" s="341" t="s">
        <v>808</v>
      </c>
      <c r="F268" s="90" t="s">
        <v>90</v>
      </c>
      <c r="G268" s="80">
        <f>IF(F268="Y",1,0)</f>
        <v>0</v>
      </c>
      <c r="H268" s="119"/>
    </row>
    <row r="269" spans="4:8" ht="18">
      <c r="D269" s="337" t="s">
        <v>787</v>
      </c>
    </row>
    <row r="270" spans="4:8" ht="18">
      <c r="D270" s="337" t="s">
        <v>788</v>
      </c>
    </row>
    <row r="271" spans="4:8" ht="18">
      <c r="D271" s="339" t="s">
        <v>796</v>
      </c>
      <c r="F271" s="90" t="s">
        <v>90</v>
      </c>
      <c r="G271" s="80">
        <f>IF(F271="Y",1,0)</f>
        <v>0</v>
      </c>
    </row>
    <row r="272" spans="4:8" ht="18">
      <c r="D272" s="337" t="s">
        <v>787</v>
      </c>
    </row>
    <row r="273" spans="4:7" ht="18">
      <c r="D273" s="337" t="s">
        <v>788</v>
      </c>
    </row>
    <row r="274" spans="4:7" ht="36">
      <c r="D274" s="338" t="s">
        <v>797</v>
      </c>
      <c r="F274" s="90" t="s">
        <v>90</v>
      </c>
      <c r="G274" s="80">
        <f>IF(F274="Y",1,0)</f>
        <v>0</v>
      </c>
    </row>
    <row r="275" spans="4:7" ht="18">
      <c r="D275" s="337" t="s">
        <v>787</v>
      </c>
    </row>
    <row r="276" spans="4:7" ht="18">
      <c r="D276" s="337" t="s">
        <v>788</v>
      </c>
    </row>
  </sheetData>
  <sheetProtection selectLockedCells="1"/>
  <conditionalFormatting sqref="J25:AD25">
    <cfRule type="colorScale" priority="1">
      <colorScale>
        <cfvo type="min"/>
        <cfvo type="percentile" val="50"/>
        <cfvo type="max"/>
        <color rgb="FF63BE7B"/>
        <color rgb="FFFFEB84"/>
        <color rgb="FFF8696B"/>
      </colorScale>
    </cfRule>
  </conditionalFormatting>
  <conditionalFormatting sqref="L149:S149">
    <cfRule type="colorScale" priority="1064">
      <colorScale>
        <cfvo type="min"/>
        <cfvo type="percentile" val="50"/>
        <cfvo type="max"/>
        <color rgb="FF5A8AC6"/>
        <color rgb="FFFCFCFF"/>
        <color rgb="FFF8696B"/>
      </colorScale>
    </cfRule>
  </conditionalFormatting>
  <conditionalFormatting sqref="T11">
    <cfRule type="colorScale" priority="29">
      <colorScale>
        <cfvo type="min"/>
        <cfvo type="percentile" val="50"/>
        <cfvo type="max"/>
        <color rgb="FF5A8AC6"/>
        <color rgb="FFFCFCFF"/>
        <color rgb="FFF8696B"/>
      </colorScale>
    </cfRule>
  </conditionalFormatting>
  <conditionalFormatting sqref="T15">
    <cfRule type="colorScale" priority="5">
      <colorScale>
        <cfvo type="min"/>
        <cfvo type="percentile" val="50"/>
        <cfvo type="max"/>
        <color rgb="FF5A8AC6"/>
        <color rgb="FFFCFCFF"/>
        <color rgb="FFF8696B"/>
      </colorScale>
    </cfRule>
  </conditionalFormatting>
  <conditionalFormatting sqref="T17">
    <cfRule type="colorScale" priority="19">
      <colorScale>
        <cfvo type="min"/>
        <cfvo type="percentile" val="50"/>
        <cfvo type="max"/>
        <color rgb="FF5A8AC6"/>
        <color rgb="FFFCFCFF"/>
        <color rgb="FFF8696B"/>
      </colorScale>
    </cfRule>
  </conditionalFormatting>
  <conditionalFormatting sqref="T26">
    <cfRule type="colorScale" priority="10">
      <colorScale>
        <cfvo type="min"/>
        <cfvo type="percentile" val="50"/>
        <cfvo type="max"/>
        <color rgb="FF5A8AC6"/>
        <color rgb="FFFCFCFF"/>
        <color rgb="FFF8696B"/>
      </colorScale>
    </cfRule>
  </conditionalFormatting>
  <conditionalFormatting sqref="T149">
    <cfRule type="colorScale" priority="43">
      <colorScale>
        <cfvo type="min"/>
        <cfvo type="percentile" val="50"/>
        <cfvo type="max"/>
        <color rgb="FF5A8AC6"/>
        <color rgb="FFFCFCFF"/>
        <color rgb="FFF8696B"/>
      </colorScale>
    </cfRule>
  </conditionalFormatting>
  <conditionalFormatting sqref="U149">
    <cfRule type="colorScale" priority="42">
      <colorScale>
        <cfvo type="min"/>
        <cfvo type="percentile" val="50"/>
        <cfvo type="max"/>
        <color rgb="FF5A8AC6"/>
        <color rgb="FFFCFCFF"/>
        <color rgb="FFF8696B"/>
      </colorScale>
    </cfRule>
  </conditionalFormatting>
  <conditionalFormatting sqref="U15:Z15 K15:S15">
    <cfRule type="colorScale" priority="6">
      <colorScale>
        <cfvo type="min"/>
        <cfvo type="percentile" val="50"/>
        <cfvo type="max"/>
        <color rgb="FF5A8AC6"/>
        <color rgb="FFFCFCFF"/>
        <color rgb="FFF8696B"/>
      </colorScale>
    </cfRule>
  </conditionalFormatting>
  <conditionalFormatting sqref="U17:Z17 K17:S17">
    <cfRule type="colorScale" priority="1120">
      <colorScale>
        <cfvo type="min"/>
        <cfvo type="percentile" val="50"/>
        <cfvo type="max"/>
        <color rgb="FF5A8AC6"/>
        <color rgb="FFFCFCFF"/>
        <color rgb="FFF8696B"/>
      </colorScale>
    </cfRule>
  </conditionalFormatting>
  <conditionalFormatting sqref="U26:Z26 K26:S26">
    <cfRule type="colorScale" priority="1123">
      <colorScale>
        <cfvo type="min"/>
        <cfvo type="percentile" val="50"/>
        <cfvo type="max"/>
        <color rgb="FF5A8AC6"/>
        <color rgb="FFFCFCFF"/>
        <color rgb="FFF8696B"/>
      </colorScale>
    </cfRule>
  </conditionalFormatting>
  <conditionalFormatting sqref="U11:AA11 K11:S11">
    <cfRule type="colorScale" priority="30">
      <colorScale>
        <cfvo type="min"/>
        <cfvo type="percentile" val="50"/>
        <cfvo type="max"/>
        <color rgb="FF5A8AC6"/>
        <color rgb="FFFCFCFF"/>
        <color rgb="FFF8696B"/>
      </colorScale>
    </cfRule>
  </conditionalFormatting>
  <conditionalFormatting sqref="V149">
    <cfRule type="iconSet" priority="41">
      <iconSet reverse="1">
        <cfvo type="percent" val="0"/>
        <cfvo type="percent" val="33"/>
        <cfvo type="percent" val="67"/>
      </iconSet>
    </cfRule>
  </conditionalFormatting>
  <conditionalFormatting sqref="AA15">
    <cfRule type="colorScale" priority="4">
      <colorScale>
        <cfvo type="min"/>
        <cfvo type="percentile" val="50"/>
        <cfvo type="max"/>
        <color rgb="FF5A8AC6"/>
        <color rgb="FFFCFCFF"/>
        <color rgb="FFF8696B"/>
      </colorScale>
    </cfRule>
  </conditionalFormatting>
  <conditionalFormatting sqref="AA17">
    <cfRule type="colorScale" priority="18">
      <colorScale>
        <cfvo type="min"/>
        <cfvo type="percentile" val="50"/>
        <cfvo type="max"/>
        <color rgb="FF5A8AC6"/>
        <color rgb="FFFCFCFF"/>
        <color rgb="FFF8696B"/>
      </colorScale>
    </cfRule>
  </conditionalFormatting>
  <conditionalFormatting sqref="AA26">
    <cfRule type="colorScale" priority="9">
      <colorScale>
        <cfvo type="min"/>
        <cfvo type="percentile" val="50"/>
        <cfvo type="max"/>
        <color rgb="FF5A8AC6"/>
        <color rgb="FFFCFCFF"/>
        <color rgb="FFF8696B"/>
      </colorScale>
    </cfRule>
  </conditionalFormatting>
  <conditionalFormatting sqref="AB11">
    <cfRule type="colorScale" priority="28">
      <colorScale>
        <cfvo type="min"/>
        <cfvo type="percentile" val="50"/>
        <cfvo type="max"/>
        <color rgb="FF5A8AC6"/>
        <color rgb="FFFCFCFF"/>
        <color rgb="FFF8696B"/>
      </colorScale>
    </cfRule>
  </conditionalFormatting>
  <conditionalFormatting sqref="AB15">
    <cfRule type="colorScale" priority="3">
      <colorScale>
        <cfvo type="min"/>
        <cfvo type="percentile" val="50"/>
        <cfvo type="max"/>
        <color rgb="FF5A8AC6"/>
        <color rgb="FFFCFCFF"/>
        <color rgb="FFF8696B"/>
      </colorScale>
    </cfRule>
  </conditionalFormatting>
  <conditionalFormatting sqref="AB17">
    <cfRule type="colorScale" priority="17">
      <colorScale>
        <cfvo type="min"/>
        <cfvo type="percentile" val="50"/>
        <cfvo type="max"/>
        <color rgb="FF5A8AC6"/>
        <color rgb="FFFCFCFF"/>
        <color rgb="FFF8696B"/>
      </colorScale>
    </cfRule>
  </conditionalFormatting>
  <conditionalFormatting sqref="AB26">
    <cfRule type="colorScale" priority="8">
      <colorScale>
        <cfvo type="min"/>
        <cfvo type="percentile" val="50"/>
        <cfvo type="max"/>
        <color rgb="FF5A8AC6"/>
        <color rgb="FFFCFCFF"/>
        <color rgb="FFF8696B"/>
      </colorScale>
    </cfRule>
  </conditionalFormatting>
  <conditionalFormatting sqref="AC11">
    <cfRule type="colorScale" priority="27">
      <colorScale>
        <cfvo type="min"/>
        <cfvo type="percentile" val="50"/>
        <cfvo type="max"/>
        <color rgb="FF5A8AC6"/>
        <color rgb="FFFCFCFF"/>
        <color rgb="FFF8696B"/>
      </colorScale>
    </cfRule>
  </conditionalFormatting>
  <conditionalFormatting sqref="AC15">
    <cfRule type="iconSet" priority="2">
      <iconSet reverse="1">
        <cfvo type="percent" val="0"/>
        <cfvo type="percent" val="33"/>
        <cfvo type="percent" val="67"/>
      </iconSet>
    </cfRule>
  </conditionalFormatting>
  <conditionalFormatting sqref="AC17">
    <cfRule type="iconSet" priority="14">
      <iconSet reverse="1">
        <cfvo type="percent" val="0"/>
        <cfvo type="percent" val="33"/>
        <cfvo type="percent" val="67"/>
      </iconSet>
    </cfRule>
  </conditionalFormatting>
  <conditionalFormatting sqref="AC26">
    <cfRule type="iconSet" priority="7">
      <iconSet reverse="1">
        <cfvo type="percent" val="0"/>
        <cfvo type="percent" val="33"/>
        <cfvo type="percent" val="67"/>
      </iconSet>
    </cfRule>
  </conditionalFormatting>
  <conditionalFormatting sqref="AD11">
    <cfRule type="iconSet" priority="26">
      <iconSet reverse="1">
        <cfvo type="percent" val="0"/>
        <cfvo type="percent" val="33"/>
        <cfvo type="percent" val="67"/>
      </iconSet>
    </cfRule>
  </conditionalFormatting>
  <dataValidations count="2">
    <dataValidation type="list" allowBlank="1" showInputMessage="1" showErrorMessage="1" sqref="F65 F68 F118 F56" xr:uid="{90C8DB8F-6D87-4EA2-A123-17FB01FD94BC}">
      <formula1>$H$11:$I$11</formula1>
    </dataValidation>
    <dataValidation type="list" allowBlank="1" showInputMessage="1" showErrorMessage="1" sqref="F253" xr:uid="{96B76FB2-ED84-40EF-9160-A6F4E172DAFF}">
      <formula1>$D$254:$D$256</formula1>
    </dataValidation>
  </dataValidations>
  <printOptions headings="1"/>
  <pageMargins left="0.70866141732283472" right="0.70866141732283472" top="0.74803149606299213" bottom="0.74803149606299213" header="0.31496062992125984" footer="0.31496062992125984"/>
  <pageSetup paperSize="9" scale="11"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325B8-BD51-4A81-A4AA-0C1B1D876B37}">
  <sheetPr codeName="Feuil11">
    <tabColor rgb="FFC00000"/>
    <pageSetUpPr fitToPage="1"/>
  </sheetPr>
  <dimension ref="C2:V25"/>
  <sheetViews>
    <sheetView showGridLines="0" topLeftCell="B1" zoomScale="70" zoomScaleNormal="70" zoomScaleSheetLayoutView="75" workbookViewId="0">
      <selection activeCell="F12" sqref="F12"/>
    </sheetView>
  </sheetViews>
  <sheetFormatPr baseColWidth="10" defaultColWidth="11.53125" defaultRowHeight="14.25"/>
  <cols>
    <col min="5" max="5" width="11.53125" style="29"/>
    <col min="6" max="6" width="15.46484375" customWidth="1"/>
    <col min="7" max="7" width="31.86328125" bestFit="1" customWidth="1"/>
    <col min="8" max="8" width="10.86328125" style="14"/>
    <col min="9" max="10" width="10.86328125" style="15"/>
    <col min="11" max="11" width="26.19921875" customWidth="1"/>
    <col min="13" max="13" width="10.86328125" style="21"/>
    <col min="22" max="22" width="11.53125" style="29"/>
  </cols>
  <sheetData>
    <row r="2" spans="4:14">
      <c r="D2" s="17" t="s">
        <v>55</v>
      </c>
      <c r="E2" s="29" t="s">
        <v>812</v>
      </c>
      <c r="F2" s="350" t="s">
        <v>809</v>
      </c>
      <c r="G2" s="17" t="s">
        <v>55</v>
      </c>
      <c r="H2" s="20" t="s">
        <v>34</v>
      </c>
      <c r="I2" s="348" t="s">
        <v>81</v>
      </c>
      <c r="J2" s="348" t="s">
        <v>128</v>
      </c>
      <c r="M2" s="21" t="s">
        <v>89</v>
      </c>
      <c r="N2" t="s">
        <v>90</v>
      </c>
    </row>
    <row r="3" spans="4:14">
      <c r="D3" s="18" t="s">
        <v>54</v>
      </c>
      <c r="E3" s="29">
        <f>IF(F3&gt;1,1,F3)</f>
        <v>1</v>
      </c>
      <c r="F3" s="29">
        <f>(J3/I3)</f>
        <v>1.8596432691454434</v>
      </c>
      <c r="G3" s="18" t="s">
        <v>54</v>
      </c>
      <c r="H3" s="351">
        <f>calculRISKS!U2</f>
        <v>1.4999999999999999E-2</v>
      </c>
      <c r="I3" s="349">
        <f>calculRISKS!$V2</f>
        <v>7.0431250000000001E-2</v>
      </c>
      <c r="J3" s="349">
        <f>calculRISKS!W2</f>
        <v>0.13097700000000001</v>
      </c>
      <c r="K3" s="30" t="s">
        <v>110</v>
      </c>
      <c r="L3" s="31" t="s">
        <v>90</v>
      </c>
    </row>
    <row r="4" spans="4:14">
      <c r="D4" s="19" t="s">
        <v>35</v>
      </c>
      <c r="E4" s="29">
        <f t="shared" ref="E4:E23" si="0">IF(F4&gt;1,1,F4)</f>
        <v>1</v>
      </c>
      <c r="F4" s="29">
        <f t="shared" ref="F4:F23" si="1">(J4/I4)</f>
        <v>1.4400000000000002</v>
      </c>
      <c r="G4" s="19" t="s">
        <v>35</v>
      </c>
      <c r="H4" s="351">
        <f>calculRISKS!U3</f>
        <v>3.3566433566430409E-2</v>
      </c>
      <c r="I4" s="349">
        <f>calculRISKS!$V3</f>
        <v>4.8335664335659785E-2</v>
      </c>
      <c r="J4" s="349">
        <f>calculRISKS!W3</f>
        <v>6.9603356643350101E-2</v>
      </c>
      <c r="K4" s="30" t="s">
        <v>112</v>
      </c>
      <c r="L4" s="31" t="s">
        <v>90</v>
      </c>
    </row>
    <row r="5" spans="4:14">
      <c r="D5" s="19" t="s">
        <v>36</v>
      </c>
      <c r="E5" s="29">
        <f t="shared" si="0"/>
        <v>1</v>
      </c>
      <c r="F5" s="29">
        <f t="shared" si="1"/>
        <v>1.4400000000000002</v>
      </c>
      <c r="G5" s="19" t="s">
        <v>36</v>
      </c>
      <c r="H5" s="351">
        <f>calculRISKS!U4</f>
        <v>1E-3</v>
      </c>
      <c r="I5" s="349">
        <f>calculRISKS!$V4</f>
        <v>1.4399999999999999E-3</v>
      </c>
      <c r="J5" s="349">
        <f>calculRISKS!W4</f>
        <v>2.0736000000000001E-3</v>
      </c>
      <c r="K5" s="30" t="s">
        <v>113</v>
      </c>
      <c r="L5" s="31" t="s">
        <v>90</v>
      </c>
    </row>
    <row r="6" spans="4:14">
      <c r="D6" s="19" t="s">
        <v>37</v>
      </c>
      <c r="E6" s="29">
        <f t="shared" si="0"/>
        <v>1</v>
      </c>
      <c r="F6" s="29">
        <f t="shared" si="1"/>
        <v>1.129999999999985</v>
      </c>
      <c r="G6" s="19" t="s">
        <v>37</v>
      </c>
      <c r="H6" s="351">
        <f>calculRISKS!U5</f>
        <v>5.6500000000001355E-2</v>
      </c>
      <c r="I6" s="349">
        <f>calculRISKS!$V5</f>
        <v>7.7760000000002896E-2</v>
      </c>
      <c r="J6" s="349">
        <f>calculRISKS!W5</f>
        <v>8.7868800000002106E-2</v>
      </c>
      <c r="K6" s="30" t="s">
        <v>111</v>
      </c>
      <c r="L6" s="31" t="s">
        <v>90</v>
      </c>
    </row>
    <row r="7" spans="4:14">
      <c r="D7" s="19" t="s">
        <v>38</v>
      </c>
      <c r="E7" s="29">
        <f t="shared" si="0"/>
        <v>1</v>
      </c>
      <c r="F7" s="29">
        <f t="shared" si="1"/>
        <v>1.4399999999999997</v>
      </c>
      <c r="G7" s="19" t="s">
        <v>38</v>
      </c>
      <c r="H7" s="351">
        <f>calculRISKS!U6</f>
        <v>2.1110714285714222E-3</v>
      </c>
      <c r="I7" s="349">
        <f>calculRISKS!$V6</f>
        <v>2.0266285714285654E-3</v>
      </c>
      <c r="J7" s="349">
        <f>calculRISKS!W6</f>
        <v>2.9183451428571338E-3</v>
      </c>
      <c r="K7" s="30" t="s">
        <v>114</v>
      </c>
      <c r="L7" s="31" t="s">
        <v>90</v>
      </c>
    </row>
    <row r="8" spans="4:14">
      <c r="D8" s="19" t="s">
        <v>39</v>
      </c>
      <c r="E8" s="29">
        <f t="shared" si="0"/>
        <v>1</v>
      </c>
      <c r="F8" s="29">
        <f t="shared" si="1"/>
        <v>1.44</v>
      </c>
      <c r="G8" s="19" t="s">
        <v>39</v>
      </c>
      <c r="H8" s="351">
        <f>calculRISKS!U7</f>
        <v>2.124482310870604E-3</v>
      </c>
      <c r="I8" s="349">
        <f>calculRISKS!$V7</f>
        <v>2.7533290748883027E-3</v>
      </c>
      <c r="J8" s="349">
        <f>calculRISKS!W7</f>
        <v>3.9647938678391559E-3</v>
      </c>
      <c r="K8" s="30" t="s">
        <v>126</v>
      </c>
      <c r="L8" s="31" t="s">
        <v>90</v>
      </c>
    </row>
    <row r="9" spans="4:14">
      <c r="D9" s="19" t="s">
        <v>252</v>
      </c>
      <c r="E9" s="29">
        <f t="shared" si="0"/>
        <v>1</v>
      </c>
      <c r="F9" s="29">
        <f t="shared" si="1"/>
        <v>1.4283132893592043</v>
      </c>
      <c r="G9" s="19" t="s">
        <v>252</v>
      </c>
      <c r="H9" s="351">
        <f>calculRISKS!U8</f>
        <v>0.20028571428571434</v>
      </c>
      <c r="I9" s="349">
        <f>calculRISKS!$V8</f>
        <v>0.29077126162508943</v>
      </c>
      <c r="J9" s="349">
        <f>calculRISKS!W8</f>
        <v>0.41531245714285725</v>
      </c>
    </row>
    <row r="10" spans="4:14">
      <c r="D10" s="19" t="s">
        <v>41</v>
      </c>
      <c r="E10" s="29">
        <f t="shared" si="0"/>
        <v>1</v>
      </c>
      <c r="F10" s="29">
        <f t="shared" si="1"/>
        <v>1.44</v>
      </c>
      <c r="G10" s="19" t="s">
        <v>41</v>
      </c>
      <c r="H10" s="351">
        <f>calculRISKS!U9</f>
        <v>0.03</v>
      </c>
      <c r="I10" s="349">
        <f>calculRISKS!$V9</f>
        <v>0.03</v>
      </c>
      <c r="J10" s="349">
        <f>calculRISKS!W9</f>
        <v>4.3199999999999995E-2</v>
      </c>
    </row>
    <row r="11" spans="4:14">
      <c r="D11" s="19" t="s">
        <v>42</v>
      </c>
      <c r="E11" s="29">
        <f t="shared" si="0"/>
        <v>1</v>
      </c>
      <c r="F11" s="29">
        <f t="shared" si="1"/>
        <v>1.44</v>
      </c>
      <c r="G11" s="19" t="s">
        <v>42</v>
      </c>
      <c r="H11" s="351">
        <f>calculRISKS!U10</f>
        <v>4.9999999999999989E-2</v>
      </c>
      <c r="I11" s="349">
        <f>calculRISKS!$V10</f>
        <v>7.1999999999999981E-2</v>
      </c>
      <c r="J11" s="349">
        <f>calculRISKS!W10</f>
        <v>0.10367999999999997</v>
      </c>
    </row>
    <row r="12" spans="4:14">
      <c r="D12" s="19" t="s">
        <v>43</v>
      </c>
      <c r="E12" s="29">
        <f t="shared" si="0"/>
        <v>1</v>
      </c>
      <c r="F12" s="29">
        <f t="shared" si="1"/>
        <v>1.4399999999999997</v>
      </c>
      <c r="G12" s="19" t="s">
        <v>43</v>
      </c>
      <c r="H12" s="351">
        <f>calculRISKS!U11</f>
        <v>9.6607142857143107E-3</v>
      </c>
      <c r="I12" s="349">
        <f>calculRISKS!$V11</f>
        <v>2.17366071428572E-2</v>
      </c>
      <c r="J12" s="349">
        <f>calculRISKS!W11</f>
        <v>3.1300714285714362E-2</v>
      </c>
    </row>
    <row r="13" spans="4:14">
      <c r="D13" s="19" t="s">
        <v>44</v>
      </c>
      <c r="E13" s="29">
        <f t="shared" si="0"/>
        <v>1</v>
      </c>
      <c r="F13" s="29">
        <f t="shared" si="1"/>
        <v>1</v>
      </c>
      <c r="G13" s="19" t="s">
        <v>44</v>
      </c>
      <c r="H13" s="351">
        <f>calculRISKS!U12</f>
        <v>0.11330357142857155</v>
      </c>
      <c r="I13" s="349">
        <f>calculRISKS!$V12</f>
        <v>0.56651785714285774</v>
      </c>
      <c r="J13" s="349">
        <f>calculRISKS!W12</f>
        <v>0.56651785714285774</v>
      </c>
    </row>
    <row r="14" spans="4:14">
      <c r="D14" s="19" t="s">
        <v>45</v>
      </c>
      <c r="E14" s="29">
        <f t="shared" si="0"/>
        <v>1</v>
      </c>
      <c r="F14" s="29">
        <f t="shared" si="1"/>
        <v>1.4400000000000002</v>
      </c>
      <c r="G14" s="19" t="s">
        <v>45</v>
      </c>
      <c r="H14" s="351">
        <f>calculRISKS!U13</f>
        <v>0.02</v>
      </c>
      <c r="I14" s="349">
        <f>calculRISKS!$V13</f>
        <v>2.1600000000000001E-2</v>
      </c>
      <c r="J14" s="349">
        <f>calculRISKS!W13</f>
        <v>3.1104000000000003E-2</v>
      </c>
    </row>
    <row r="15" spans="4:14">
      <c r="D15" s="19" t="s">
        <v>46</v>
      </c>
      <c r="E15" s="29">
        <f t="shared" si="0"/>
        <v>1</v>
      </c>
      <c r="F15" s="29">
        <f t="shared" si="1"/>
        <v>1.44</v>
      </c>
      <c r="G15" s="19" t="s">
        <v>46</v>
      </c>
      <c r="H15" s="351">
        <f>calculRISKS!U14</f>
        <v>0.04</v>
      </c>
      <c r="I15" s="349">
        <f>calculRISKS!$V14</f>
        <v>6.9120000000000001E-2</v>
      </c>
      <c r="J15" s="349">
        <f>calculRISKS!W14</f>
        <v>9.9532799999999991E-2</v>
      </c>
    </row>
    <row r="16" spans="4:14">
      <c r="D16" s="19" t="s">
        <v>47</v>
      </c>
      <c r="E16" s="29">
        <f t="shared" si="0"/>
        <v>1</v>
      </c>
      <c r="F16" s="29">
        <f t="shared" si="1"/>
        <v>1</v>
      </c>
      <c r="G16" s="19" t="s">
        <v>47</v>
      </c>
      <c r="H16" s="351">
        <f>calculRISKS!U15</f>
        <v>1.5624261993327671E-2</v>
      </c>
      <c r="I16" s="349">
        <f>calculRISKS!$V15</f>
        <v>3.2174875999999998E-2</v>
      </c>
      <c r="J16" s="349">
        <f>calculRISKS!W15</f>
        <v>3.2174875999999998E-2</v>
      </c>
    </row>
    <row r="17" spans="3:10">
      <c r="D17" s="19" t="s">
        <v>48</v>
      </c>
      <c r="E17" s="29">
        <f t="shared" si="0"/>
        <v>1</v>
      </c>
      <c r="F17" s="29">
        <f t="shared" si="1"/>
        <v>5.1839999999999984</v>
      </c>
      <c r="G17" s="19" t="s">
        <v>48</v>
      </c>
      <c r="H17" s="351">
        <f>calculRISKS!U16</f>
        <v>1.78787878787878E-2</v>
      </c>
      <c r="I17" s="349">
        <f>calculRISKS!$V16</f>
        <v>9.6524627999999987E-2</v>
      </c>
      <c r="J17" s="349">
        <f>calculRISKS!W16</f>
        <v>0.50038367155199981</v>
      </c>
    </row>
    <row r="18" spans="3:10">
      <c r="D18" s="19" t="s">
        <v>49</v>
      </c>
      <c r="E18" s="29">
        <f t="shared" si="0"/>
        <v>1</v>
      </c>
      <c r="F18" s="29">
        <f t="shared" si="1"/>
        <v>1.4399999999999997</v>
      </c>
      <c r="G18" s="19" t="s">
        <v>49</v>
      </c>
      <c r="H18" s="351">
        <f>calculRISKS!U17</f>
        <v>2.6598281139000798E-3</v>
      </c>
      <c r="I18" s="349">
        <f>calculRISKS!$V17</f>
        <v>5.3196562278001597E-3</v>
      </c>
      <c r="J18" s="349">
        <f>calculRISKS!W17</f>
        <v>7.6603049680322288E-3</v>
      </c>
    </row>
    <row r="19" spans="3:10">
      <c r="D19" s="19" t="s">
        <v>50</v>
      </c>
      <c r="E19" s="29">
        <f t="shared" si="0"/>
        <v>1</v>
      </c>
      <c r="F19" s="29">
        <f t="shared" si="1"/>
        <v>14.4</v>
      </c>
      <c r="G19" s="19" t="s">
        <v>50</v>
      </c>
      <c r="H19" s="351">
        <f>calculRISKS!U18</f>
        <v>3.8933784612239664E-3</v>
      </c>
      <c r="I19" s="349">
        <f>calculRISKS!$V18</f>
        <v>9.7334461530599152E-3</v>
      </c>
      <c r="J19" s="349">
        <f>calculRISKS!W18</f>
        <v>0.14016162460406278</v>
      </c>
    </row>
    <row r="20" spans="3:10">
      <c r="D20" s="19" t="s">
        <v>51</v>
      </c>
      <c r="E20" s="29">
        <f t="shared" si="0"/>
        <v>1</v>
      </c>
      <c r="F20" s="29">
        <f t="shared" si="1"/>
        <v>1.44</v>
      </c>
      <c r="G20" s="19" t="s">
        <v>51</v>
      </c>
      <c r="H20" s="351">
        <f>calculRISKS!U19</f>
        <v>0.06</v>
      </c>
      <c r="I20" s="349">
        <f>calculRISKS!$V19</f>
        <v>8.6399999999999991E-2</v>
      </c>
      <c r="J20" s="349">
        <f>calculRISKS!W19</f>
        <v>0.12441599999999998</v>
      </c>
    </row>
    <row r="21" spans="3:10">
      <c r="D21" s="19" t="s">
        <v>52</v>
      </c>
      <c r="E21" s="29">
        <f t="shared" si="0"/>
        <v>1</v>
      </c>
      <c r="F21" s="29">
        <f t="shared" si="1"/>
        <v>1.44</v>
      </c>
      <c r="G21" s="19" t="s">
        <v>52</v>
      </c>
      <c r="H21" s="351">
        <f>calculRISKS!U20</f>
        <v>3.437189083746294E-3</v>
      </c>
      <c r="I21" s="349">
        <f>calculRISKS!$V20</f>
        <v>4.4545970525351969E-3</v>
      </c>
      <c r="J21" s="349">
        <f>calculRISKS!W20</f>
        <v>6.4146197556506834E-3</v>
      </c>
    </row>
    <row r="22" spans="3:10">
      <c r="D22" s="19" t="s">
        <v>97</v>
      </c>
      <c r="E22" s="29">
        <f t="shared" si="0"/>
        <v>1</v>
      </c>
      <c r="F22" s="29">
        <f t="shared" si="1"/>
        <v>1.44</v>
      </c>
      <c r="G22" s="19" t="s">
        <v>97</v>
      </c>
      <c r="H22" s="351">
        <f>calculRISKS!U21</f>
        <v>5.4263636363637429E-5</v>
      </c>
      <c r="I22" s="349">
        <f>calculRISKS!$V21</f>
        <v>5.8604727272728426E-5</v>
      </c>
      <c r="J22" s="349">
        <f>calculRISKS!W21</f>
        <v>8.4390807272728926E-5</v>
      </c>
    </row>
    <row r="23" spans="3:10">
      <c r="D23" s="24" t="s">
        <v>613</v>
      </c>
      <c r="E23" s="29">
        <f t="shared" si="0"/>
        <v>1</v>
      </c>
      <c r="F23" s="29">
        <f t="shared" si="1"/>
        <v>1.4399999999999997</v>
      </c>
      <c r="G23" s="24" t="s">
        <v>613</v>
      </c>
      <c r="H23" s="351">
        <f>calculRISKS!U22</f>
        <v>1E-3</v>
      </c>
      <c r="I23" s="349">
        <f>calculRISKS!$V22</f>
        <v>1.8000000000000002E-3</v>
      </c>
      <c r="J23" s="349">
        <f>calculRISKS!W22</f>
        <v>2.5919999999999997E-3</v>
      </c>
    </row>
    <row r="25" spans="3:10">
      <c r="C25" s="21"/>
    </row>
  </sheetData>
  <conditionalFormatting sqref="D2">
    <cfRule type="iconSet" priority="5">
      <iconSet reverse="1">
        <cfvo type="percent" val="0"/>
        <cfvo type="percent" val="33"/>
        <cfvo type="percent" val="67"/>
      </iconSet>
    </cfRule>
  </conditionalFormatting>
  <conditionalFormatting sqref="D13">
    <cfRule type="colorScale" priority="4">
      <colorScale>
        <cfvo type="min"/>
        <cfvo type="percentile" val="50"/>
        <cfvo type="max"/>
        <color rgb="FF5A8AC6"/>
        <color rgb="FFFCFCFF"/>
        <color rgb="FFF8696B"/>
      </colorScale>
    </cfRule>
  </conditionalFormatting>
  <conditionalFormatting sqref="D14:D19 D4:D12">
    <cfRule type="colorScale" priority="6">
      <colorScale>
        <cfvo type="min"/>
        <cfvo type="percentile" val="50"/>
        <cfvo type="max"/>
        <color rgb="FF5A8AC6"/>
        <color rgb="FFFCFCFF"/>
        <color rgb="FFF8696B"/>
      </colorScale>
    </cfRule>
  </conditionalFormatting>
  <conditionalFormatting sqref="D20">
    <cfRule type="colorScale" priority="3">
      <colorScale>
        <cfvo type="min"/>
        <cfvo type="percentile" val="50"/>
        <cfvo type="max"/>
        <color rgb="FF5A8AC6"/>
        <color rgb="FFFCFCFF"/>
        <color rgb="FFF8696B"/>
      </colorScale>
    </cfRule>
  </conditionalFormatting>
  <conditionalFormatting sqref="D21">
    <cfRule type="colorScale" priority="2">
      <colorScale>
        <cfvo type="min"/>
        <cfvo type="percentile" val="50"/>
        <cfvo type="max"/>
        <color rgb="FF5A8AC6"/>
        <color rgb="FFFCFCFF"/>
        <color rgb="FFF8696B"/>
      </colorScale>
    </cfRule>
  </conditionalFormatting>
  <conditionalFormatting sqref="D22">
    <cfRule type="iconSet" priority="1">
      <iconSet reverse="1">
        <cfvo type="percent" val="0"/>
        <cfvo type="percent" val="33"/>
        <cfvo type="percent" val="67"/>
      </iconSet>
    </cfRule>
  </conditionalFormatting>
  <conditionalFormatting sqref="E1:E1048576">
    <cfRule type="colorScale" priority="8">
      <colorScale>
        <cfvo type="min"/>
        <cfvo type="percentile" val="50"/>
        <cfvo type="max"/>
        <color rgb="FF63BE7B"/>
        <color rgb="FFFFEB84"/>
        <color rgb="FFF8696B"/>
      </colorScale>
    </cfRule>
  </conditionalFormatting>
  <conditionalFormatting sqref="F1:F1048576">
    <cfRule type="colorScale" priority="7">
      <colorScale>
        <cfvo type="min"/>
        <cfvo type="percentile" val="50"/>
        <cfvo type="max"/>
        <color rgb="FF5A8AC6"/>
        <color rgb="FFFCFCFF"/>
        <color rgb="FFF8696B"/>
      </colorScale>
    </cfRule>
  </conditionalFormatting>
  <conditionalFormatting sqref="F3:F23">
    <cfRule type="colorScale" priority="14">
      <colorScale>
        <cfvo type="min"/>
        <cfvo type="percentile" val="50"/>
        <cfvo type="max"/>
        <color rgb="FF63BE7B"/>
        <color rgb="FFFFEB84"/>
        <color rgb="FFF8696B"/>
      </colorScale>
    </cfRule>
  </conditionalFormatting>
  <conditionalFormatting sqref="G2">
    <cfRule type="iconSet" priority="75">
      <iconSet reverse="1">
        <cfvo type="percent" val="0"/>
        <cfvo type="percent" val="33"/>
        <cfvo type="percent" val="67"/>
      </iconSet>
    </cfRule>
  </conditionalFormatting>
  <conditionalFormatting sqref="G13">
    <cfRule type="colorScale" priority="74">
      <colorScale>
        <cfvo type="min"/>
        <cfvo type="percentile" val="50"/>
        <cfvo type="max"/>
        <color rgb="FF5A8AC6"/>
        <color rgb="FFFCFCFF"/>
        <color rgb="FFF8696B"/>
      </colorScale>
    </cfRule>
  </conditionalFormatting>
  <conditionalFormatting sqref="G14:G19 G4:G12">
    <cfRule type="colorScale" priority="76">
      <colorScale>
        <cfvo type="min"/>
        <cfvo type="percentile" val="50"/>
        <cfvo type="max"/>
        <color rgb="FF5A8AC6"/>
        <color rgb="FFFCFCFF"/>
        <color rgb="FFF8696B"/>
      </colorScale>
    </cfRule>
  </conditionalFormatting>
  <conditionalFormatting sqref="G20">
    <cfRule type="colorScale" priority="73">
      <colorScale>
        <cfvo type="min"/>
        <cfvo type="percentile" val="50"/>
        <cfvo type="max"/>
        <color rgb="FF5A8AC6"/>
        <color rgb="FFFCFCFF"/>
        <color rgb="FFF8696B"/>
      </colorScale>
    </cfRule>
  </conditionalFormatting>
  <conditionalFormatting sqref="G21">
    <cfRule type="colorScale" priority="72">
      <colorScale>
        <cfvo type="min"/>
        <cfvo type="percentile" val="50"/>
        <cfvo type="max"/>
        <color rgb="FF5A8AC6"/>
        <color rgb="FFFCFCFF"/>
        <color rgb="FFF8696B"/>
      </colorScale>
    </cfRule>
  </conditionalFormatting>
  <conditionalFormatting sqref="G22">
    <cfRule type="iconSet" priority="71">
      <iconSet reverse="1">
        <cfvo type="percent" val="0"/>
        <cfvo type="percent" val="33"/>
        <cfvo type="percent" val="67"/>
      </iconSet>
    </cfRule>
  </conditionalFormatting>
  <conditionalFormatting sqref="H4:H23">
    <cfRule type="colorScale" priority="38">
      <colorScale>
        <cfvo type="min"/>
        <cfvo type="percentile" val="50"/>
        <cfvo type="max"/>
        <color rgb="FF63BE7B"/>
        <color rgb="FFFFEB84"/>
        <color rgb="FFF8696B"/>
      </colorScale>
    </cfRule>
  </conditionalFormatting>
  <conditionalFormatting sqref="H3:J3">
    <cfRule type="colorScale" priority="17">
      <colorScale>
        <cfvo type="min"/>
        <cfvo type="percentile" val="50"/>
        <cfvo type="max"/>
        <color rgb="FF63BE7B"/>
        <color rgb="FFFFEB84"/>
        <color rgb="FFF8696B"/>
      </colorScale>
    </cfRule>
  </conditionalFormatting>
  <conditionalFormatting sqref="H4:J4">
    <cfRule type="colorScale" priority="16">
      <colorScale>
        <cfvo type="min"/>
        <cfvo type="percentile" val="50"/>
        <cfvo type="max"/>
        <color rgb="FF63BE7B"/>
        <color rgb="FFFFEB84"/>
        <color rgb="FFF8696B"/>
      </colorScale>
    </cfRule>
  </conditionalFormatting>
  <conditionalFormatting sqref="H5:J5">
    <cfRule type="colorScale" priority="15">
      <colorScale>
        <cfvo type="min"/>
        <cfvo type="percentile" val="50"/>
        <cfvo type="max"/>
        <color rgb="FF63BE7B"/>
        <color rgb="FFFFEB84"/>
        <color rgb="FFF8696B"/>
      </colorScale>
    </cfRule>
  </conditionalFormatting>
  <conditionalFormatting sqref="H6:J6">
    <cfRule type="colorScale" priority="20">
      <colorScale>
        <cfvo type="min"/>
        <cfvo type="percentile" val="50"/>
        <cfvo type="max"/>
        <color rgb="FF63BE7B"/>
        <color rgb="FFFFEB84"/>
        <color rgb="FFF8696B"/>
      </colorScale>
    </cfRule>
  </conditionalFormatting>
  <conditionalFormatting sqref="H7:J7">
    <cfRule type="colorScale" priority="21">
      <colorScale>
        <cfvo type="min"/>
        <cfvo type="percentile" val="50"/>
        <cfvo type="max"/>
        <color rgb="FF63BE7B"/>
        <color rgb="FFFFEB84"/>
        <color rgb="FFF8696B"/>
      </colorScale>
    </cfRule>
  </conditionalFormatting>
  <conditionalFormatting sqref="H8:J8">
    <cfRule type="colorScale" priority="22">
      <colorScale>
        <cfvo type="min"/>
        <cfvo type="percentile" val="50"/>
        <cfvo type="max"/>
        <color rgb="FF63BE7B"/>
        <color rgb="FFFFEB84"/>
        <color rgb="FFF8696B"/>
      </colorScale>
    </cfRule>
  </conditionalFormatting>
  <conditionalFormatting sqref="H9:J9">
    <cfRule type="colorScale" priority="23">
      <colorScale>
        <cfvo type="min"/>
        <cfvo type="percentile" val="50"/>
        <cfvo type="max"/>
        <color rgb="FF63BE7B"/>
        <color rgb="FFFFEB84"/>
        <color rgb="FFF8696B"/>
      </colorScale>
    </cfRule>
  </conditionalFormatting>
  <conditionalFormatting sqref="H10:J10">
    <cfRule type="colorScale" priority="24">
      <colorScale>
        <cfvo type="min"/>
        <cfvo type="percentile" val="50"/>
        <cfvo type="max"/>
        <color rgb="FF63BE7B"/>
        <color rgb="FFFFEB84"/>
        <color rgb="FFF8696B"/>
      </colorScale>
    </cfRule>
  </conditionalFormatting>
  <conditionalFormatting sqref="H11:J11">
    <cfRule type="colorScale" priority="25">
      <colorScale>
        <cfvo type="min"/>
        <cfvo type="percentile" val="50"/>
        <cfvo type="max"/>
        <color rgb="FF63BE7B"/>
        <color rgb="FFFFEB84"/>
        <color rgb="FFF8696B"/>
      </colorScale>
    </cfRule>
  </conditionalFormatting>
  <conditionalFormatting sqref="H12:J12">
    <cfRule type="colorScale" priority="26">
      <colorScale>
        <cfvo type="min"/>
        <cfvo type="percentile" val="50"/>
        <cfvo type="max"/>
        <color rgb="FF63BE7B"/>
        <color rgb="FFFFEB84"/>
        <color rgb="FFF8696B"/>
      </colorScale>
    </cfRule>
  </conditionalFormatting>
  <conditionalFormatting sqref="H13:J13">
    <cfRule type="colorScale" priority="27">
      <colorScale>
        <cfvo type="min"/>
        <cfvo type="percentile" val="50"/>
        <cfvo type="max"/>
        <color rgb="FF63BE7B"/>
        <color rgb="FFFFEB84"/>
        <color rgb="FFF8696B"/>
      </colorScale>
    </cfRule>
  </conditionalFormatting>
  <conditionalFormatting sqref="H14:J14">
    <cfRule type="colorScale" priority="28">
      <colorScale>
        <cfvo type="min"/>
        <cfvo type="percentile" val="50"/>
        <cfvo type="max"/>
        <color rgb="FF63BE7B"/>
        <color rgb="FFFFEB84"/>
        <color rgb="FFF8696B"/>
      </colorScale>
    </cfRule>
  </conditionalFormatting>
  <conditionalFormatting sqref="H15:J15">
    <cfRule type="colorScale" priority="29">
      <colorScale>
        <cfvo type="min"/>
        <cfvo type="percentile" val="50"/>
        <cfvo type="max"/>
        <color rgb="FF63BE7B"/>
        <color rgb="FFFFEB84"/>
        <color rgb="FFF8696B"/>
      </colorScale>
    </cfRule>
  </conditionalFormatting>
  <conditionalFormatting sqref="H16:J16">
    <cfRule type="colorScale" priority="30">
      <colorScale>
        <cfvo type="min"/>
        <cfvo type="percentile" val="50"/>
        <cfvo type="max"/>
        <color rgb="FF63BE7B"/>
        <color rgb="FFFFEB84"/>
        <color rgb="FFF8696B"/>
      </colorScale>
    </cfRule>
  </conditionalFormatting>
  <conditionalFormatting sqref="H17:J17">
    <cfRule type="colorScale" priority="31">
      <colorScale>
        <cfvo type="min"/>
        <cfvo type="percentile" val="50"/>
        <cfvo type="max"/>
        <color rgb="FF63BE7B"/>
        <color rgb="FFFFEB84"/>
        <color rgb="FFF8696B"/>
      </colorScale>
    </cfRule>
  </conditionalFormatting>
  <conditionalFormatting sqref="H18:J18">
    <cfRule type="colorScale" priority="32">
      <colorScale>
        <cfvo type="min"/>
        <cfvo type="percentile" val="50"/>
        <cfvo type="max"/>
        <color rgb="FF63BE7B"/>
        <color rgb="FFFFEB84"/>
        <color rgb="FFF8696B"/>
      </colorScale>
    </cfRule>
  </conditionalFormatting>
  <conditionalFormatting sqref="H19:J19">
    <cfRule type="colorScale" priority="33">
      <colorScale>
        <cfvo type="min"/>
        <cfvo type="percentile" val="50"/>
        <cfvo type="max"/>
        <color rgb="FF63BE7B"/>
        <color rgb="FFFFEB84"/>
        <color rgb="FFF8696B"/>
      </colorScale>
    </cfRule>
  </conditionalFormatting>
  <conditionalFormatting sqref="H20:J20">
    <cfRule type="colorScale" priority="34">
      <colorScale>
        <cfvo type="min"/>
        <cfvo type="percentile" val="50"/>
        <cfvo type="max"/>
        <color rgb="FF63BE7B"/>
        <color rgb="FFFFEB84"/>
        <color rgb="FFF8696B"/>
      </colorScale>
    </cfRule>
  </conditionalFormatting>
  <conditionalFormatting sqref="H21:J21">
    <cfRule type="colorScale" priority="35">
      <colorScale>
        <cfvo type="min"/>
        <cfvo type="percentile" val="50"/>
        <cfvo type="max"/>
        <color rgb="FF63BE7B"/>
        <color rgb="FFFFEB84"/>
        <color rgb="FFF8696B"/>
      </colorScale>
    </cfRule>
  </conditionalFormatting>
  <conditionalFormatting sqref="H22:J22">
    <cfRule type="colorScale" priority="36">
      <colorScale>
        <cfvo type="min"/>
        <cfvo type="percentile" val="50"/>
        <cfvo type="max"/>
        <color rgb="FF63BE7B"/>
        <color rgb="FFFFEB84"/>
        <color rgb="FFF8696B"/>
      </colorScale>
    </cfRule>
  </conditionalFormatting>
  <conditionalFormatting sqref="H23:J23">
    <cfRule type="colorScale" priority="37">
      <colorScale>
        <cfvo type="min"/>
        <cfvo type="percentile" val="50"/>
        <cfvo type="max"/>
        <color rgb="FF63BE7B"/>
        <color rgb="FFFFEB84"/>
        <color rgb="FFF8696B"/>
      </colorScale>
    </cfRule>
  </conditionalFormatting>
  <conditionalFormatting sqref="I4:J4">
    <cfRule type="colorScale" priority="59">
      <colorScale>
        <cfvo type="min"/>
        <cfvo type="percentile" val="50"/>
        <cfvo type="max"/>
        <color rgb="FF63BE7B"/>
        <color rgb="FFFFEB84"/>
        <color rgb="FFF8696B"/>
      </colorScale>
    </cfRule>
  </conditionalFormatting>
  <conditionalFormatting sqref="I5:J5">
    <cfRule type="colorScale" priority="58">
      <colorScale>
        <cfvo type="min"/>
        <cfvo type="percentile" val="50"/>
        <cfvo type="max"/>
        <color rgb="FF63BE7B"/>
        <color rgb="FFFFEB84"/>
        <color rgb="FFF8696B"/>
      </colorScale>
    </cfRule>
  </conditionalFormatting>
  <conditionalFormatting sqref="I6:J6">
    <cfRule type="colorScale" priority="57">
      <colorScale>
        <cfvo type="min"/>
        <cfvo type="percentile" val="50"/>
        <cfvo type="max"/>
        <color rgb="FF63BE7B"/>
        <color rgb="FFFFEB84"/>
        <color rgb="FFF8696B"/>
      </colorScale>
    </cfRule>
  </conditionalFormatting>
  <conditionalFormatting sqref="I7:J7">
    <cfRule type="colorScale" priority="56">
      <colorScale>
        <cfvo type="min"/>
        <cfvo type="percentile" val="50"/>
        <cfvo type="max"/>
        <color rgb="FF63BE7B"/>
        <color rgb="FFFFEB84"/>
        <color rgb="FFF8696B"/>
      </colorScale>
    </cfRule>
  </conditionalFormatting>
  <conditionalFormatting sqref="I8:J8">
    <cfRule type="colorScale" priority="55">
      <colorScale>
        <cfvo type="min"/>
        <cfvo type="percentile" val="50"/>
        <cfvo type="max"/>
        <color rgb="FF63BE7B"/>
        <color rgb="FFFFEB84"/>
        <color rgb="FFF8696B"/>
      </colorScale>
    </cfRule>
  </conditionalFormatting>
  <conditionalFormatting sqref="I9:J9">
    <cfRule type="colorScale" priority="54">
      <colorScale>
        <cfvo type="min"/>
        <cfvo type="percentile" val="50"/>
        <cfvo type="max"/>
        <color rgb="FF63BE7B"/>
        <color rgb="FFFFEB84"/>
        <color rgb="FFF8696B"/>
      </colorScale>
    </cfRule>
  </conditionalFormatting>
  <conditionalFormatting sqref="I10:J10">
    <cfRule type="colorScale" priority="53">
      <colorScale>
        <cfvo type="min"/>
        <cfvo type="percentile" val="50"/>
        <cfvo type="max"/>
        <color rgb="FF63BE7B"/>
        <color rgb="FFFFEB84"/>
        <color rgb="FFF8696B"/>
      </colorScale>
    </cfRule>
  </conditionalFormatting>
  <conditionalFormatting sqref="I11:J11">
    <cfRule type="colorScale" priority="52">
      <colorScale>
        <cfvo type="min"/>
        <cfvo type="percentile" val="50"/>
        <cfvo type="max"/>
        <color rgb="FF63BE7B"/>
        <color rgb="FFFFEB84"/>
        <color rgb="FFF8696B"/>
      </colorScale>
    </cfRule>
  </conditionalFormatting>
  <conditionalFormatting sqref="I12:J12">
    <cfRule type="colorScale" priority="50">
      <colorScale>
        <cfvo type="min"/>
        <cfvo type="percentile" val="50"/>
        <cfvo type="max"/>
        <color rgb="FF63BE7B"/>
        <color rgb="FFFFEB84"/>
        <color rgb="FFF8696B"/>
      </colorScale>
    </cfRule>
  </conditionalFormatting>
  <conditionalFormatting sqref="I13:J13">
    <cfRule type="colorScale" priority="49">
      <colorScale>
        <cfvo type="min"/>
        <cfvo type="percentile" val="50"/>
        <cfvo type="max"/>
        <color rgb="FF63BE7B"/>
        <color rgb="FFFFEB84"/>
        <color rgb="FFF8696B"/>
      </colorScale>
    </cfRule>
  </conditionalFormatting>
  <conditionalFormatting sqref="I14:J14">
    <cfRule type="colorScale" priority="48">
      <colorScale>
        <cfvo type="min"/>
        <cfvo type="percentile" val="50"/>
        <cfvo type="max"/>
        <color rgb="FF63BE7B"/>
        <color rgb="FFFFEB84"/>
        <color rgb="FFF8696B"/>
      </colorScale>
    </cfRule>
  </conditionalFormatting>
  <conditionalFormatting sqref="I15:J15">
    <cfRule type="colorScale" priority="47">
      <colorScale>
        <cfvo type="min"/>
        <cfvo type="percentile" val="50"/>
        <cfvo type="max"/>
        <color rgb="FF63BE7B"/>
        <color rgb="FFFFEB84"/>
        <color rgb="FFF8696B"/>
      </colorScale>
    </cfRule>
  </conditionalFormatting>
  <conditionalFormatting sqref="I16:J16">
    <cfRule type="colorScale" priority="46">
      <colorScale>
        <cfvo type="min"/>
        <cfvo type="percentile" val="50"/>
        <cfvo type="max"/>
        <color rgb="FF63BE7B"/>
        <color rgb="FFFFEB84"/>
        <color rgb="FFF8696B"/>
      </colorScale>
    </cfRule>
  </conditionalFormatting>
  <conditionalFormatting sqref="I17:J17">
    <cfRule type="colorScale" priority="45">
      <colorScale>
        <cfvo type="min"/>
        <cfvo type="percentile" val="50"/>
        <cfvo type="max"/>
        <color rgb="FF63BE7B"/>
        <color rgb="FFFFEB84"/>
        <color rgb="FFF8696B"/>
      </colorScale>
    </cfRule>
  </conditionalFormatting>
  <conditionalFormatting sqref="I18:J18">
    <cfRule type="colorScale" priority="44">
      <colorScale>
        <cfvo type="min"/>
        <cfvo type="percentile" val="50"/>
        <cfvo type="max"/>
        <color rgb="FF63BE7B"/>
        <color rgb="FFFFEB84"/>
        <color rgb="FFF8696B"/>
      </colorScale>
    </cfRule>
  </conditionalFormatting>
  <conditionalFormatting sqref="I19:J19">
    <cfRule type="colorScale" priority="43">
      <colorScale>
        <cfvo type="min"/>
        <cfvo type="percentile" val="50"/>
        <cfvo type="max"/>
        <color rgb="FF63BE7B"/>
        <color rgb="FFFFEB84"/>
        <color rgb="FFF8696B"/>
      </colorScale>
    </cfRule>
  </conditionalFormatting>
  <conditionalFormatting sqref="I20:J20">
    <cfRule type="colorScale" priority="42">
      <colorScale>
        <cfvo type="min"/>
        <cfvo type="percentile" val="50"/>
        <cfvo type="max"/>
        <color rgb="FF63BE7B"/>
        <color rgb="FFFFEB84"/>
        <color rgb="FFF8696B"/>
      </colorScale>
    </cfRule>
  </conditionalFormatting>
  <conditionalFormatting sqref="I21:J21">
    <cfRule type="colorScale" priority="41">
      <colorScale>
        <cfvo type="min"/>
        <cfvo type="percentile" val="50"/>
        <cfvo type="max"/>
        <color rgb="FF63BE7B"/>
        <color rgb="FFFFEB84"/>
        <color rgb="FFF8696B"/>
      </colorScale>
    </cfRule>
  </conditionalFormatting>
  <conditionalFormatting sqref="I22:J22">
    <cfRule type="colorScale" priority="40">
      <colorScale>
        <cfvo type="min"/>
        <cfvo type="percentile" val="50"/>
        <cfvo type="max"/>
        <color rgb="FF63BE7B"/>
        <color rgb="FFFFEB84"/>
        <color rgb="FFF8696B"/>
      </colorScale>
    </cfRule>
  </conditionalFormatting>
  <conditionalFormatting sqref="I23:J23">
    <cfRule type="colorScale" priority="39">
      <colorScale>
        <cfvo type="min"/>
        <cfvo type="percentile" val="50"/>
        <cfvo type="max"/>
        <color rgb="FF63BE7B"/>
        <color rgb="FFFFEB84"/>
        <color rgb="FFF8696B"/>
      </colorScale>
    </cfRule>
  </conditionalFormatting>
  <conditionalFormatting sqref="J4">
    <cfRule type="colorScale" priority="18">
      <colorScale>
        <cfvo type="min"/>
        <cfvo type="percentile" val="50"/>
        <cfvo type="max"/>
        <color rgb="FF63BE7B"/>
        <color rgb="FFFFEB84"/>
        <color rgb="FFF8696B"/>
      </colorScale>
    </cfRule>
  </conditionalFormatting>
  <conditionalFormatting sqref="J12">
    <cfRule type="colorScale" priority="51">
      <colorScale>
        <cfvo type="min"/>
        <cfvo type="percentile" val="50"/>
        <cfvo type="max"/>
        <color rgb="FF63BE7B"/>
        <color rgb="FFFFEB84"/>
        <color rgb="FFF8696B"/>
      </colorScale>
    </cfRule>
  </conditionalFormatting>
  <dataValidations count="1">
    <dataValidation type="list" allowBlank="1" showInputMessage="1" showErrorMessage="1" sqref="L3:L8" xr:uid="{86F40FD1-309E-4DA2-BB53-0509D33FE116}">
      <formula1>$M$2:$N$2</formula1>
    </dataValidation>
  </dataValidations>
  <pageMargins left="0.7" right="0.7" top="0.75" bottom="0.75" header="0.3" footer="0.3"/>
  <pageSetup paperSize="9" scale="8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3DF76-8A8C-47CE-8DD0-39A2C23D0373}">
  <dimension ref="A1:B23"/>
  <sheetViews>
    <sheetView workbookViewId="0">
      <selection activeCell="A3" sqref="A3:B23"/>
    </sheetView>
  </sheetViews>
  <sheetFormatPr baseColWidth="10" defaultColWidth="11.53125" defaultRowHeight="14.25"/>
  <cols>
    <col min="1" max="1" width="31.53125" customWidth="1"/>
  </cols>
  <sheetData>
    <row r="1" spans="1:2">
      <c r="A1" s="17" t="s">
        <v>55</v>
      </c>
    </row>
    <row r="3" spans="1:2">
      <c r="A3" s="19" t="s">
        <v>35</v>
      </c>
      <c r="B3" t="s">
        <v>568</v>
      </c>
    </row>
    <row r="4" spans="1:2">
      <c r="A4" s="19" t="s">
        <v>36</v>
      </c>
      <c r="B4" t="s">
        <v>810</v>
      </c>
    </row>
    <row r="5" spans="1:2">
      <c r="A5" s="19" t="s">
        <v>37</v>
      </c>
      <c r="B5" t="s">
        <v>810</v>
      </c>
    </row>
    <row r="6" spans="1:2">
      <c r="A6" s="19" t="s">
        <v>38</v>
      </c>
      <c r="B6" t="s">
        <v>810</v>
      </c>
    </row>
    <row r="7" spans="1:2">
      <c r="A7" s="19" t="s">
        <v>252</v>
      </c>
      <c r="B7" t="s">
        <v>810</v>
      </c>
    </row>
    <row r="8" spans="1:2">
      <c r="A8" s="19" t="s">
        <v>41</v>
      </c>
      <c r="B8" t="s">
        <v>810</v>
      </c>
    </row>
    <row r="9" spans="1:2">
      <c r="A9" s="19" t="s">
        <v>42</v>
      </c>
      <c r="B9" t="s">
        <v>810</v>
      </c>
    </row>
    <row r="10" spans="1:2">
      <c r="A10" s="19" t="s">
        <v>43</v>
      </c>
      <c r="B10" t="s">
        <v>810</v>
      </c>
    </row>
    <row r="11" spans="1:2">
      <c r="A11" s="19" t="s">
        <v>44</v>
      </c>
      <c r="B11" t="s">
        <v>810</v>
      </c>
    </row>
    <row r="12" spans="1:2">
      <c r="A12" s="19" t="s">
        <v>45</v>
      </c>
      <c r="B12" t="s">
        <v>810</v>
      </c>
    </row>
    <row r="13" spans="1:2">
      <c r="A13" s="19" t="s">
        <v>46</v>
      </c>
      <c r="B13" t="s">
        <v>810</v>
      </c>
    </row>
    <row r="14" spans="1:2">
      <c r="A14" s="19" t="s">
        <v>47</v>
      </c>
      <c r="B14" t="s">
        <v>810</v>
      </c>
    </row>
    <row r="15" spans="1:2">
      <c r="A15" s="19" t="s">
        <v>48</v>
      </c>
      <c r="B15" t="s">
        <v>810</v>
      </c>
    </row>
    <row r="16" spans="1:2">
      <c r="A16" s="19" t="s">
        <v>51</v>
      </c>
      <c r="B16" t="s">
        <v>810</v>
      </c>
    </row>
    <row r="17" spans="1:2">
      <c r="A17" s="19" t="s">
        <v>52</v>
      </c>
      <c r="B17" t="s">
        <v>810</v>
      </c>
    </row>
    <row r="18" spans="1:2">
      <c r="A18" s="19" t="s">
        <v>97</v>
      </c>
      <c r="B18" t="s">
        <v>811</v>
      </c>
    </row>
    <row r="19" spans="1:2">
      <c r="A19" s="18" t="s">
        <v>54</v>
      </c>
      <c r="B19" t="s">
        <v>568</v>
      </c>
    </row>
    <row r="20" spans="1:2">
      <c r="A20" s="19" t="s">
        <v>49</v>
      </c>
      <c r="B20" t="s">
        <v>810</v>
      </c>
    </row>
    <row r="21" spans="1:2">
      <c r="A21" s="19" t="s">
        <v>50</v>
      </c>
      <c r="B21" t="s">
        <v>810</v>
      </c>
    </row>
    <row r="22" spans="1:2">
      <c r="A22" s="24" t="s">
        <v>613</v>
      </c>
      <c r="B22" t="s">
        <v>810</v>
      </c>
    </row>
    <row r="23" spans="1:2">
      <c r="A23" s="19" t="s">
        <v>39</v>
      </c>
      <c r="B23" t="s">
        <v>810</v>
      </c>
    </row>
  </sheetData>
  <conditionalFormatting sqref="A1">
    <cfRule type="iconSet" priority="5">
      <iconSet reverse="1">
        <cfvo type="percent" val="0"/>
        <cfvo type="percent" val="33"/>
        <cfvo type="percent" val="67"/>
      </iconSet>
    </cfRule>
  </conditionalFormatting>
  <conditionalFormatting sqref="A11">
    <cfRule type="colorScale" priority="4">
      <colorScale>
        <cfvo type="min"/>
        <cfvo type="percentile" val="50"/>
        <cfvo type="max"/>
        <color rgb="FF5A8AC6"/>
        <color rgb="FFFCFCFF"/>
        <color rgb="FFF8696B"/>
      </colorScale>
    </cfRule>
  </conditionalFormatting>
  <conditionalFormatting sqref="A16">
    <cfRule type="colorScale" priority="3">
      <colorScale>
        <cfvo type="min"/>
        <cfvo type="percentile" val="50"/>
        <cfvo type="max"/>
        <color rgb="FF5A8AC6"/>
        <color rgb="FFFCFCFF"/>
        <color rgb="FFF8696B"/>
      </colorScale>
    </cfRule>
  </conditionalFormatting>
  <conditionalFormatting sqref="A17">
    <cfRule type="colorScale" priority="2">
      <colorScale>
        <cfvo type="min"/>
        <cfvo type="percentile" val="50"/>
        <cfvo type="max"/>
        <color rgb="FF5A8AC6"/>
        <color rgb="FFFCFCFF"/>
        <color rgb="FFF8696B"/>
      </colorScale>
    </cfRule>
  </conditionalFormatting>
  <conditionalFormatting sqref="A18">
    <cfRule type="iconSet" priority="1">
      <iconSet reverse="1">
        <cfvo type="percent" val="0"/>
        <cfvo type="percent" val="33"/>
        <cfvo type="percent" val="67"/>
      </iconSet>
    </cfRule>
  </conditionalFormatting>
  <conditionalFormatting sqref="A20:A21 A12:A15 A3:A10 A23">
    <cfRule type="colorScale" priority="1130">
      <colorScale>
        <cfvo type="min"/>
        <cfvo type="percentile" val="50"/>
        <cfvo type="max"/>
        <color rgb="FF5A8AC6"/>
        <color rgb="FFFCFCFF"/>
        <color rgb="FFF8696B"/>
      </colorScale>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BC532-A0E2-4403-993D-4ECBBCA1B3A9}">
  <sheetPr codeName="Feuil5">
    <pageSetUpPr fitToPage="1"/>
  </sheetPr>
  <dimension ref="A1:R102"/>
  <sheetViews>
    <sheetView zoomScale="75" zoomScaleNormal="75" zoomScaleSheetLayoutView="82" workbookViewId="0">
      <pane xSplit="3" ySplit="1" topLeftCell="D2" activePane="bottomRight" state="frozen"/>
      <selection pane="topRight" activeCell="D1" sqref="D1"/>
      <selection pane="bottomLeft" activeCell="A2" sqref="A2"/>
      <selection pane="bottomRight" activeCell="C12" sqref="C12"/>
    </sheetView>
  </sheetViews>
  <sheetFormatPr baseColWidth="10" defaultColWidth="10.86328125" defaultRowHeight="15.75"/>
  <cols>
    <col min="1" max="1" width="40.46484375" style="245" bestFit="1" customWidth="1"/>
    <col min="2" max="2" width="17.19921875" style="276" customWidth="1"/>
    <col min="3" max="3" width="13.1328125" style="70" customWidth="1"/>
    <col min="4" max="4" width="10" style="246"/>
    <col min="5" max="6" width="10.86328125" style="247"/>
    <col min="7" max="7" width="22.86328125" style="27" customWidth="1"/>
    <col min="8" max="8" width="8.1328125" style="27" customWidth="1"/>
    <col min="9" max="11" width="10.86328125" style="248"/>
    <col min="12" max="12" width="30.19921875" style="248" customWidth="1"/>
    <col min="13" max="13" width="10.86328125" style="248"/>
    <col min="14" max="14" width="14.86328125" style="247" customWidth="1"/>
    <col min="15" max="15" width="16.86328125" style="247" customWidth="1"/>
    <col min="16" max="16384" width="10.86328125" style="247"/>
  </cols>
  <sheetData>
    <row r="1" spans="1:18">
      <c r="A1" s="69" t="s">
        <v>131</v>
      </c>
      <c r="B1" s="352" t="s">
        <v>132</v>
      </c>
      <c r="C1" s="245" t="s">
        <v>133</v>
      </c>
    </row>
    <row r="2" spans="1:18">
      <c r="A2" s="136" t="s">
        <v>134</v>
      </c>
      <c r="B2" s="353" t="s">
        <v>135</v>
      </c>
      <c r="C2" s="50">
        <v>1.19</v>
      </c>
      <c r="I2" s="27">
        <v>0</v>
      </c>
      <c r="J2" s="27">
        <v>1</v>
      </c>
      <c r="K2" s="27">
        <v>2</v>
      </c>
    </row>
    <row r="3" spans="1:18" ht="18.75">
      <c r="A3" s="107" t="s">
        <v>136</v>
      </c>
      <c r="B3" s="353" t="s">
        <v>137</v>
      </c>
      <c r="C3" s="51">
        <v>2</v>
      </c>
      <c r="D3" s="249">
        <f>C3*2.59</f>
        <v>5.18</v>
      </c>
      <c r="E3" s="247" t="s">
        <v>227</v>
      </c>
      <c r="F3" s="247" t="s">
        <v>339</v>
      </c>
      <c r="G3" s="52" t="s">
        <v>1</v>
      </c>
      <c r="H3" s="53">
        <f>C11</f>
        <v>1</v>
      </c>
      <c r="J3" s="248">
        <f>C3*2.58</f>
        <v>5.16</v>
      </c>
      <c r="K3" s="248" t="s">
        <v>313</v>
      </c>
      <c r="N3" s="250" t="s">
        <v>205</v>
      </c>
      <c r="O3" s="251">
        <f>C56</f>
        <v>40</v>
      </c>
    </row>
    <row r="4" spans="1:18" ht="18.75">
      <c r="A4" s="107" t="s">
        <v>138</v>
      </c>
      <c r="B4" s="353" t="s">
        <v>137</v>
      </c>
      <c r="C4" s="51">
        <v>0.56000000000000005</v>
      </c>
      <c r="D4" s="249">
        <f t="shared" ref="D4:D5" si="0">C4*2.59</f>
        <v>1.4504000000000001</v>
      </c>
      <c r="E4" s="247" t="s">
        <v>227</v>
      </c>
      <c r="F4" s="247" t="s">
        <v>338</v>
      </c>
      <c r="G4" s="52" t="s">
        <v>2</v>
      </c>
      <c r="H4" s="53">
        <f>C33</f>
        <v>510</v>
      </c>
      <c r="J4" s="248">
        <f>C4*2.58</f>
        <v>1.4448000000000001</v>
      </c>
      <c r="K4" s="248" t="s">
        <v>313</v>
      </c>
      <c r="N4" s="250" t="s">
        <v>309</v>
      </c>
      <c r="O4" s="247">
        <f>IF('Import Question'!F82="N",0,1)</f>
        <v>1</v>
      </c>
    </row>
    <row r="5" spans="1:18" ht="18.75">
      <c r="A5" s="107" t="s">
        <v>139</v>
      </c>
      <c r="B5" s="353" t="s">
        <v>137</v>
      </c>
      <c r="C5" s="51">
        <v>0.5</v>
      </c>
      <c r="D5" s="249">
        <f t="shared" si="0"/>
        <v>1.2949999999999999</v>
      </c>
      <c r="E5" s="247" t="s">
        <v>227</v>
      </c>
      <c r="F5" s="247" t="s">
        <v>337</v>
      </c>
      <c r="G5" s="139" t="s">
        <v>3</v>
      </c>
      <c r="H5" s="147">
        <f>C8</f>
        <v>2.2000000000000002</v>
      </c>
      <c r="N5" s="247" t="s">
        <v>310</v>
      </c>
      <c r="O5" s="247">
        <f>'Import Question'!F80</f>
        <v>120</v>
      </c>
      <c r="P5" s="250"/>
    </row>
    <row r="6" spans="1:18" ht="18.75">
      <c r="A6" s="107" t="s">
        <v>140</v>
      </c>
      <c r="B6" s="353" t="s">
        <v>137</v>
      </c>
      <c r="C6" s="51">
        <v>0.64</v>
      </c>
      <c r="D6" s="52">
        <f>C6*1.13</f>
        <v>0.72319999999999995</v>
      </c>
      <c r="E6" s="247" t="s">
        <v>227</v>
      </c>
      <c r="G6" s="52" t="s">
        <v>4</v>
      </c>
      <c r="H6" s="55">
        <f>D3</f>
        <v>5.18</v>
      </c>
      <c r="N6" s="247" t="s">
        <v>311</v>
      </c>
      <c r="O6" s="247">
        <f>H6</f>
        <v>5.18</v>
      </c>
      <c r="P6" s="250"/>
    </row>
    <row r="7" spans="1:18" ht="18.75">
      <c r="A7" s="107" t="s">
        <v>141</v>
      </c>
      <c r="B7" s="353" t="s">
        <v>142</v>
      </c>
      <c r="C7" s="50">
        <v>1.1000000000000001</v>
      </c>
      <c r="G7" s="52" t="s">
        <v>85</v>
      </c>
      <c r="H7" s="109">
        <f>C7</f>
        <v>1.1000000000000001</v>
      </c>
      <c r="N7" s="247" t="s">
        <v>312</v>
      </c>
      <c r="O7" s="247">
        <f>H8</f>
        <v>1.4504000000000001</v>
      </c>
      <c r="P7" s="250"/>
    </row>
    <row r="8" spans="1:18" ht="18.75">
      <c r="A8" s="252" t="s">
        <v>341</v>
      </c>
      <c r="B8" s="354" t="s">
        <v>343</v>
      </c>
      <c r="C8" s="116">
        <v>2.2000000000000002</v>
      </c>
      <c r="D8" s="253">
        <f>C8*4</f>
        <v>8.8000000000000007</v>
      </c>
      <c r="E8" s="254" t="s">
        <v>344</v>
      </c>
      <c r="F8" s="247" t="s">
        <v>342</v>
      </c>
      <c r="G8" s="52" t="s">
        <v>5</v>
      </c>
      <c r="H8" s="55">
        <f>D4</f>
        <v>1.4504000000000001</v>
      </c>
      <c r="N8" s="247" t="s">
        <v>221</v>
      </c>
      <c r="O8" s="247">
        <f>'Import Question'!H3</f>
        <v>1</v>
      </c>
      <c r="P8" s="250"/>
    </row>
    <row r="9" spans="1:18">
      <c r="A9" s="107" t="s">
        <v>143</v>
      </c>
      <c r="B9" s="353" t="s">
        <v>135</v>
      </c>
      <c r="C9" s="50">
        <v>0.95</v>
      </c>
      <c r="D9" s="255">
        <f>C9*5.5</f>
        <v>5.2249999999999996</v>
      </c>
      <c r="E9" s="247" t="s">
        <v>227</v>
      </c>
      <c r="G9" s="52" t="s">
        <v>6</v>
      </c>
      <c r="H9" s="53">
        <f>C10</f>
        <v>5.5</v>
      </c>
      <c r="K9" s="248" t="s">
        <v>107</v>
      </c>
      <c r="O9" s="251"/>
    </row>
    <row r="10" spans="1:18">
      <c r="A10" s="107" t="s">
        <v>144</v>
      </c>
      <c r="B10" s="353" t="s">
        <v>145</v>
      </c>
      <c r="C10" s="51">
        <v>5.5</v>
      </c>
      <c r="G10" s="52" t="s">
        <v>79</v>
      </c>
      <c r="H10" s="110">
        <f>C2</f>
        <v>1.19</v>
      </c>
      <c r="I10" s="248">
        <v>0.3</v>
      </c>
      <c r="K10" s="248" t="s">
        <v>101</v>
      </c>
      <c r="L10" s="256">
        <f>('Import Question'!F6*H25)/((H22*(SQRT(H24))))</f>
        <v>1.3744770364810921</v>
      </c>
    </row>
    <row r="11" spans="1:18">
      <c r="A11" s="107" t="s">
        <v>146</v>
      </c>
      <c r="B11" s="353" t="s">
        <v>147</v>
      </c>
      <c r="C11" s="51">
        <v>1</v>
      </c>
      <c r="G11" s="52" t="s">
        <v>7</v>
      </c>
      <c r="H11" s="57">
        <f>D6</f>
        <v>0.72319999999999995</v>
      </c>
      <c r="L11" s="248" t="s">
        <v>102</v>
      </c>
    </row>
    <row r="12" spans="1:18">
      <c r="A12" s="107" t="s">
        <v>148</v>
      </c>
      <c r="B12" s="353" t="s">
        <v>149</v>
      </c>
      <c r="C12" s="51">
        <v>14</v>
      </c>
      <c r="G12" s="52" t="s">
        <v>130</v>
      </c>
      <c r="H12" s="53">
        <f>C5</f>
        <v>0.5</v>
      </c>
    </row>
    <row r="13" spans="1:18">
      <c r="A13" s="107" t="s">
        <v>150</v>
      </c>
      <c r="B13" s="353" t="s">
        <v>151</v>
      </c>
      <c r="C13" s="51">
        <v>92</v>
      </c>
      <c r="G13" s="52" t="s">
        <v>8</v>
      </c>
      <c r="H13" s="53">
        <f>C21</f>
        <v>250</v>
      </c>
      <c r="K13" s="248" t="s">
        <v>238</v>
      </c>
      <c r="L13" s="52">
        <f>(-0.38+L16*1.37)/100</f>
        <v>3.7300000000000028E-2</v>
      </c>
      <c r="M13" s="52">
        <f xml:space="preserve"> (-0.148+0.89*M16)/100</f>
        <v>2.077E-2</v>
      </c>
    </row>
    <row r="14" spans="1:18">
      <c r="A14" s="107" t="s">
        <v>152</v>
      </c>
      <c r="B14" s="353" t="s">
        <v>153</v>
      </c>
      <c r="C14" s="51">
        <v>5</v>
      </c>
      <c r="D14" s="246" t="s">
        <v>259</v>
      </c>
      <c r="G14" s="52" t="s">
        <v>9</v>
      </c>
      <c r="H14" s="57">
        <f>C35</f>
        <v>52</v>
      </c>
      <c r="N14" s="247" t="s">
        <v>308</v>
      </c>
    </row>
    <row r="15" spans="1:18" ht="16.5">
      <c r="A15" s="107" t="s">
        <v>154</v>
      </c>
      <c r="B15" s="58" t="s">
        <v>155</v>
      </c>
      <c r="C15" s="257">
        <v>6.3</v>
      </c>
      <c r="D15" s="246" t="s">
        <v>258</v>
      </c>
      <c r="G15" s="139" t="s">
        <v>10</v>
      </c>
      <c r="H15" s="140">
        <f>C30</f>
        <v>150</v>
      </c>
      <c r="K15" s="27" t="s">
        <v>103</v>
      </c>
      <c r="L15" s="27" t="s">
        <v>61</v>
      </c>
      <c r="M15" s="27" t="s">
        <v>62</v>
      </c>
      <c r="N15" s="247" t="s">
        <v>61</v>
      </c>
      <c r="O15" s="247" t="s">
        <v>62</v>
      </c>
      <c r="P15" s="258"/>
      <c r="R15" s="259"/>
    </row>
    <row r="16" spans="1:18" ht="18.75">
      <c r="A16" s="107" t="s">
        <v>156</v>
      </c>
      <c r="B16" s="58" t="s">
        <v>155</v>
      </c>
      <c r="C16" s="51">
        <v>3.7</v>
      </c>
      <c r="D16" s="246" t="s">
        <v>261</v>
      </c>
      <c r="G16" s="52" t="s">
        <v>105</v>
      </c>
      <c r="H16" s="54">
        <f>D36</f>
        <v>88.4</v>
      </c>
      <c r="K16" s="27" t="s">
        <v>27</v>
      </c>
      <c r="L16" s="27">
        <f>-10.2+0.33*'Import Question'!F6</f>
        <v>3.0000000000000018</v>
      </c>
      <c r="M16" s="52">
        <f xml:space="preserve"> -7.9+0.26*'Import Question'!F6</f>
        <v>2.5</v>
      </c>
      <c r="P16" s="250"/>
    </row>
    <row r="17" spans="1:16" ht="18.75">
      <c r="A17" s="107" t="s">
        <v>157</v>
      </c>
      <c r="B17" s="58" t="s">
        <v>155</v>
      </c>
      <c r="C17" s="51">
        <v>0.06</v>
      </c>
      <c r="D17" s="246">
        <v>0.1</v>
      </c>
      <c r="G17" s="52" t="s">
        <v>11</v>
      </c>
      <c r="H17" s="53">
        <f>C25</f>
        <v>60</v>
      </c>
      <c r="K17" s="27" t="s">
        <v>63</v>
      </c>
      <c r="L17" s="27">
        <f>-12.3+0.09*'Import Question'!F80</f>
        <v>-1.5000000000000018</v>
      </c>
      <c r="M17" s="52">
        <f>-20.4+0.15*'Import Question'!F80</f>
        <v>-2.3999999999999986</v>
      </c>
      <c r="P17" s="250"/>
    </row>
    <row r="18" spans="1:16" ht="18.75">
      <c r="A18" s="107" t="s">
        <v>158</v>
      </c>
      <c r="B18" s="58" t="s">
        <v>155</v>
      </c>
      <c r="C18" s="51">
        <v>2</v>
      </c>
      <c r="D18" s="246" t="s">
        <v>262</v>
      </c>
      <c r="G18" s="52" t="s">
        <v>12</v>
      </c>
      <c r="H18" s="53">
        <f>C12</f>
        <v>14</v>
      </c>
      <c r="K18" s="27" t="s">
        <v>64</v>
      </c>
      <c r="L18" s="27">
        <f>IF('Import Question'!F104="Y",1,0)</f>
        <v>1</v>
      </c>
      <c r="M18" s="52">
        <f>IF('Import Question'!F104="Y",1,0)</f>
        <v>1</v>
      </c>
      <c r="P18" s="250"/>
    </row>
    <row r="19" spans="1:16" ht="18.75">
      <c r="A19" s="107" t="s">
        <v>159</v>
      </c>
      <c r="B19" s="58" t="s">
        <v>155</v>
      </c>
      <c r="C19" s="51">
        <v>267</v>
      </c>
      <c r="D19" s="246" t="s">
        <v>260</v>
      </c>
      <c r="G19" s="52" t="s">
        <v>13</v>
      </c>
      <c r="H19" s="59">
        <f>C15</f>
        <v>6.3</v>
      </c>
      <c r="K19" s="27" t="s">
        <v>65</v>
      </c>
      <c r="L19" s="27">
        <f>-4+2.5*(H6*0.386)</f>
        <v>0.99869999999999948</v>
      </c>
      <c r="M19" s="52">
        <f xml:space="preserve"> -5.27+3.29*(H6*0.386)</f>
        <v>1.3082891999999999</v>
      </c>
      <c r="P19" s="250"/>
    </row>
    <row r="20" spans="1:16" ht="18.75">
      <c r="A20" s="107" t="s">
        <v>160</v>
      </c>
      <c r="B20" s="58" t="s">
        <v>161</v>
      </c>
      <c r="C20" s="50"/>
      <c r="G20" s="52" t="s">
        <v>567</v>
      </c>
      <c r="H20" s="53">
        <f>C16</f>
        <v>3.7</v>
      </c>
      <c r="K20" s="27" t="s">
        <v>66</v>
      </c>
      <c r="L20" s="27">
        <f>IF('Import Question'!F95="Y",1,0)</f>
        <v>0</v>
      </c>
      <c r="M20" s="52">
        <f>IF('Import Question'!F95="Y",1,0)</f>
        <v>0</v>
      </c>
      <c r="P20" s="250"/>
    </row>
    <row r="21" spans="1:16" ht="18.75">
      <c r="A21" s="107" t="s">
        <v>162</v>
      </c>
      <c r="B21" s="58" t="s">
        <v>163</v>
      </c>
      <c r="C21" s="51">
        <v>250</v>
      </c>
      <c r="G21" s="52" t="s">
        <v>14</v>
      </c>
      <c r="H21" s="53">
        <f>C18</f>
        <v>2</v>
      </c>
      <c r="K21" s="27" t="s">
        <v>67</v>
      </c>
      <c r="L21" s="27">
        <f>IF('Import Question'!F82="Y",1,0)</f>
        <v>1</v>
      </c>
      <c r="M21" s="52">
        <f>IF('Import Question'!F82="Y",1,0)</f>
        <v>1</v>
      </c>
      <c r="P21" s="250"/>
    </row>
    <row r="22" spans="1:16" ht="18.75">
      <c r="A22" s="107" t="s">
        <v>164</v>
      </c>
      <c r="B22" s="58" t="s">
        <v>145</v>
      </c>
      <c r="C22" s="50"/>
      <c r="G22" s="52" t="s">
        <v>15</v>
      </c>
      <c r="H22" s="53">
        <f>C19</f>
        <v>267</v>
      </c>
      <c r="K22" s="27" t="s">
        <v>68</v>
      </c>
      <c r="L22" s="52">
        <f>SUM(L16:L21)</f>
        <v>4.4986999999999995</v>
      </c>
      <c r="M22" s="52">
        <f>SUM(M16:M21)</f>
        <v>3.4082892000000014</v>
      </c>
      <c r="P22" s="250"/>
    </row>
    <row r="23" spans="1:16">
      <c r="A23" s="107" t="s">
        <v>165</v>
      </c>
      <c r="B23" s="58" t="s">
        <v>166</v>
      </c>
      <c r="C23" s="51">
        <v>23</v>
      </c>
      <c r="G23" s="146" t="s">
        <v>16</v>
      </c>
      <c r="H23" s="56"/>
      <c r="K23" s="27" t="s">
        <v>117</v>
      </c>
      <c r="L23" s="52">
        <f>(-0.38+L22*1.37)/100</f>
        <v>5.7832189999999999E-2</v>
      </c>
      <c r="M23" s="52">
        <f xml:space="preserve"> (-0.148+0.89*M22)/100</f>
        <v>2.885377388000001E-2</v>
      </c>
    </row>
    <row r="24" spans="1:16">
      <c r="A24" s="107" t="s">
        <v>167</v>
      </c>
      <c r="B24" s="58" t="s">
        <v>166</v>
      </c>
      <c r="C24" s="51">
        <v>44</v>
      </c>
      <c r="G24" s="52" t="s">
        <v>17</v>
      </c>
      <c r="H24" s="53">
        <f>C23</f>
        <v>23</v>
      </c>
      <c r="K24" s="27"/>
      <c r="L24" s="52"/>
      <c r="M24" s="52"/>
    </row>
    <row r="25" spans="1:16">
      <c r="A25" s="107" t="s">
        <v>168</v>
      </c>
      <c r="B25" s="58" t="s">
        <v>169</v>
      </c>
      <c r="C25" s="51">
        <v>60</v>
      </c>
      <c r="G25" s="52" t="s">
        <v>18</v>
      </c>
      <c r="H25" s="53">
        <f>C24</f>
        <v>44</v>
      </c>
      <c r="K25" s="27" t="s">
        <v>119</v>
      </c>
      <c r="L25" s="27">
        <f>-10.2+0.33*(('Import Question'!F6)+5)</f>
        <v>4.6500000000000021</v>
      </c>
      <c r="M25" s="52">
        <f>-7.9+0.26*(('Import Question'!F6)+5)</f>
        <v>3.8000000000000007</v>
      </c>
    </row>
    <row r="26" spans="1:16">
      <c r="A26" s="58" t="s">
        <v>542</v>
      </c>
      <c r="B26" s="58" t="s">
        <v>170</v>
      </c>
      <c r="C26" s="50"/>
      <c r="G26" s="52" t="s">
        <v>275</v>
      </c>
      <c r="H26" s="60">
        <f>(C53+C54)/12</f>
        <v>0.7583333333333333</v>
      </c>
      <c r="K26" s="27" t="s">
        <v>120</v>
      </c>
      <c r="L26" s="52">
        <f>(L17+L18+L19+L20+L21+L25)</f>
        <v>6.1486999999999998</v>
      </c>
      <c r="M26" s="52">
        <f>(M17+M18+M19+M20+M21+M25)</f>
        <v>4.7082892000000021</v>
      </c>
    </row>
    <row r="27" spans="1:16">
      <c r="A27" s="58" t="s">
        <v>540</v>
      </c>
      <c r="B27" s="58" t="s">
        <v>171</v>
      </c>
      <c r="C27" s="50"/>
      <c r="G27" s="52" t="s">
        <v>276</v>
      </c>
      <c r="H27" s="61" t="str">
        <f>IF(C55&lt;8,"L",(IF(C55&gt;14,"H","N")))</f>
        <v>N</v>
      </c>
      <c r="K27" s="27" t="s">
        <v>118</v>
      </c>
      <c r="L27" s="52">
        <f>(-0.38+L26*1.37)/100</f>
        <v>8.0437189999999992E-2</v>
      </c>
      <c r="M27" s="52">
        <f xml:space="preserve"> (-0.148+0.89*M26)/100</f>
        <v>4.042377388000002E-2</v>
      </c>
    </row>
    <row r="28" spans="1:16">
      <c r="A28" s="58" t="s">
        <v>172</v>
      </c>
      <c r="B28" s="58" t="s">
        <v>173</v>
      </c>
      <c r="C28" s="50"/>
      <c r="G28" s="52" t="s">
        <v>19</v>
      </c>
      <c r="H28" s="53">
        <f>C31</f>
        <v>0.65</v>
      </c>
    </row>
    <row r="29" spans="1:16">
      <c r="A29" s="58" t="s">
        <v>174</v>
      </c>
      <c r="B29" s="58" t="s">
        <v>147</v>
      </c>
      <c r="C29" s="50"/>
      <c r="G29" s="260" t="s">
        <v>332</v>
      </c>
      <c r="H29" s="260">
        <f>'Import Question'!F229</f>
        <v>0</v>
      </c>
      <c r="I29" s="261" t="s">
        <v>333</v>
      </c>
      <c r="J29" s="262" t="e">
        <f>H3/H29</f>
        <v>#DIV/0!</v>
      </c>
      <c r="K29" s="263" t="s">
        <v>121</v>
      </c>
      <c r="L29" s="27">
        <f>IF('Import Question'!F3="H",1.23,1.04)</f>
        <v>1.23</v>
      </c>
    </row>
    <row r="30" spans="1:16">
      <c r="A30" s="138" t="s">
        <v>499</v>
      </c>
      <c r="B30" s="58" t="s">
        <v>166</v>
      </c>
      <c r="C30" s="141">
        <v>150</v>
      </c>
      <c r="G30" s="62" t="s">
        <v>115</v>
      </c>
      <c r="H30" s="63">
        <f>('Import Question'!F6*H25)/((H22*(SQRT(H24))))</f>
        <v>1.3744770364810921</v>
      </c>
      <c r="I30" s="264">
        <f>IF(H30&lt;2,0,1.5)</f>
        <v>0</v>
      </c>
    </row>
    <row r="31" spans="1:16">
      <c r="A31" s="107" t="s">
        <v>175</v>
      </c>
      <c r="B31" s="58" t="s">
        <v>176</v>
      </c>
      <c r="C31" s="51">
        <v>0.65</v>
      </c>
      <c r="G31" s="62" t="s">
        <v>104</v>
      </c>
      <c r="H31" s="63">
        <f>MAX(0.01,IF('Import Question'!F3="H",'Import Biologie'!L23,'Import Biologie'!M23))</f>
        <v>5.7832189999999999E-2</v>
      </c>
      <c r="I31" s="248" t="s">
        <v>116</v>
      </c>
      <c r="J31" s="49">
        <f>IF('Import Question'!F3="H",'Import Biologie'!L27,'Import Biologie'!M27)</f>
        <v>8.0437189999999992E-2</v>
      </c>
      <c r="K31" s="248">
        <v>8.5</v>
      </c>
    </row>
    <row r="32" spans="1:16">
      <c r="A32" s="58" t="s">
        <v>177</v>
      </c>
      <c r="B32" s="58" t="s">
        <v>178</v>
      </c>
      <c r="C32" s="51"/>
      <c r="D32" s="265">
        <f>C32*0.03624502</f>
        <v>0</v>
      </c>
      <c r="E32" s="247" t="s">
        <v>231</v>
      </c>
      <c r="G32" s="111" t="s">
        <v>58</v>
      </c>
      <c r="H32" s="111">
        <f>IF(H3=0,0,(IF('Import Question'!F110="Y",(H3*1.5),H3))*G40)</f>
        <v>1.5</v>
      </c>
      <c r="K32" s="248">
        <f>2/8.5</f>
        <v>0.23529411764705882</v>
      </c>
    </row>
    <row r="33" spans="1:14">
      <c r="A33" s="107" t="s">
        <v>180</v>
      </c>
      <c r="B33" s="58" t="s">
        <v>161</v>
      </c>
      <c r="C33" s="51">
        <v>510</v>
      </c>
      <c r="D33" s="52">
        <f>C33*0.168</f>
        <v>85.68</v>
      </c>
      <c r="E33" s="247" t="s">
        <v>137</v>
      </c>
      <c r="F33" s="254" t="s">
        <v>340</v>
      </c>
      <c r="G33" s="111" t="s">
        <v>69</v>
      </c>
      <c r="H33" s="111">
        <f>MAX(IF(H6&gt;5.2,1.2,0),(IF(H11&gt;1.8,1.2,0)),(IF(H6=0,1,0)),(IF(H11&gt;5,2,0)))</f>
        <v>0</v>
      </c>
      <c r="I33" s="252"/>
    </row>
    <row r="34" spans="1:14">
      <c r="A34" s="58" t="s">
        <v>181</v>
      </c>
      <c r="B34" s="58" t="s">
        <v>182</v>
      </c>
      <c r="C34" s="50">
        <v>65</v>
      </c>
      <c r="G34" s="111" t="s">
        <v>70</v>
      </c>
      <c r="H34" s="111">
        <f>MAX(IF(H9&gt;6,2,0),IF(H9=0,1,0))</f>
        <v>0</v>
      </c>
      <c r="I34" s="252"/>
    </row>
    <row r="35" spans="1:14">
      <c r="A35" s="107" t="s">
        <v>329</v>
      </c>
      <c r="B35" s="58" t="s">
        <v>163</v>
      </c>
      <c r="C35" s="51">
        <v>52</v>
      </c>
      <c r="G35" s="62" t="s">
        <v>60</v>
      </c>
      <c r="H35" s="62">
        <f>MAX(IF(H5&gt;2.6,2,1),IF(H4&gt;420,2,1),IF(C44&gt;850,2,1),IF(C42&gt;7.5,2,1))</f>
        <v>2</v>
      </c>
      <c r="I35" s="27"/>
      <c r="K35" s="248" t="s">
        <v>588</v>
      </c>
      <c r="L35" s="27"/>
      <c r="N35" s="251"/>
    </row>
    <row r="36" spans="1:14">
      <c r="A36" s="58" t="s">
        <v>183</v>
      </c>
      <c r="B36" s="58" t="s">
        <v>142</v>
      </c>
      <c r="C36" s="51">
        <v>10</v>
      </c>
      <c r="D36" s="246">
        <f>C36*8.84</f>
        <v>88.4</v>
      </c>
      <c r="E36" s="247" t="s">
        <v>171</v>
      </c>
      <c r="G36" s="62" t="s">
        <v>59</v>
      </c>
      <c r="H36" s="65">
        <f>(0.0393+(0.042*H32)-(0.00055*H32^2))/3</f>
        <v>3.3687500000000002E-2</v>
      </c>
      <c r="I36" s="248" t="s">
        <v>245</v>
      </c>
      <c r="J36" s="65">
        <f>(0.0393+(0.042*(H32+1))-(0.00055*(H32+1)^2))/3</f>
        <v>4.6954166666666665E-2</v>
      </c>
    </row>
    <row r="37" spans="1:14" ht="18">
      <c r="A37" s="107" t="s">
        <v>184</v>
      </c>
      <c r="B37" s="58" t="s">
        <v>185</v>
      </c>
      <c r="C37" s="51">
        <v>81</v>
      </c>
      <c r="D37" s="246" t="s">
        <v>179</v>
      </c>
      <c r="E37" s="266" t="s">
        <v>336</v>
      </c>
      <c r="F37" s="266">
        <f>IF(C37&lt;30,2,IF(C37&gt;60,1,1.5))+IF(C37=0,-1,0)</f>
        <v>1</v>
      </c>
      <c r="G37" s="64" t="s">
        <v>121</v>
      </c>
      <c r="H37" s="66">
        <f>((140-'Import Question'!F6)*('Import Question'!F78)*L29/('Import Biologie'!H16))</f>
        <v>151.6628959276018</v>
      </c>
      <c r="J37" s="267"/>
    </row>
    <row r="38" spans="1:14">
      <c r="A38" s="142" t="s">
        <v>350</v>
      </c>
      <c r="B38" s="355" t="s">
        <v>187</v>
      </c>
      <c r="C38" s="116"/>
      <c r="D38" s="246" t="s">
        <v>348</v>
      </c>
      <c r="E38" s="247" t="s">
        <v>349</v>
      </c>
      <c r="G38" s="62" t="s">
        <v>122</v>
      </c>
      <c r="H38" s="62">
        <f>SUM(J38:J42)</f>
        <v>4.5</v>
      </c>
      <c r="I38" s="248" t="s">
        <v>0</v>
      </c>
      <c r="J38" s="252">
        <f>IF('Import Question'!H77&gt;0.3,2,0)</f>
        <v>2</v>
      </c>
      <c r="L38" s="248">
        <v>2</v>
      </c>
    </row>
    <row r="39" spans="1:14">
      <c r="A39" s="143" t="s">
        <v>351</v>
      </c>
      <c r="B39" s="355" t="s">
        <v>187</v>
      </c>
      <c r="C39" s="116" t="s">
        <v>348</v>
      </c>
      <c r="I39" s="248" t="s">
        <v>71</v>
      </c>
      <c r="J39" s="248">
        <f>IF('Import Question'!F79&gt;'Import Biologie'!K39,1.5,0)</f>
        <v>1.5</v>
      </c>
      <c r="K39" s="268">
        <v>102</v>
      </c>
      <c r="L39" s="248">
        <v>1.5</v>
      </c>
    </row>
    <row r="40" spans="1:14">
      <c r="A40" s="144" t="s">
        <v>352</v>
      </c>
      <c r="B40" s="355" t="s">
        <v>187</v>
      </c>
      <c r="C40" s="116"/>
      <c r="F40" s="269" t="s">
        <v>257</v>
      </c>
      <c r="G40" s="270">
        <f>IF('Import Question'!H77&gt;0.3,1.5,1)</f>
        <v>1.5</v>
      </c>
      <c r="I40" s="248" t="s">
        <v>123</v>
      </c>
      <c r="J40" s="248">
        <f>L20</f>
        <v>0</v>
      </c>
      <c r="L40" s="248">
        <v>1</v>
      </c>
    </row>
    <row r="41" spans="1:14">
      <c r="A41" s="68" t="s">
        <v>188</v>
      </c>
      <c r="B41" s="58" t="s">
        <v>189</v>
      </c>
      <c r="C41" s="51">
        <v>1900</v>
      </c>
      <c r="I41" s="248" t="s">
        <v>124</v>
      </c>
      <c r="J41" s="248">
        <f>H33</f>
        <v>0</v>
      </c>
      <c r="L41" s="248">
        <v>1</v>
      </c>
    </row>
    <row r="42" spans="1:14">
      <c r="A42" s="67" t="s">
        <v>190</v>
      </c>
      <c r="B42" s="58" t="s">
        <v>191</v>
      </c>
      <c r="C42" s="51">
        <v>2.39</v>
      </c>
      <c r="D42" s="246">
        <f>C42*40</f>
        <v>95.600000000000009</v>
      </c>
      <c r="E42" s="247" t="s">
        <v>194</v>
      </c>
      <c r="I42" s="248" t="s">
        <v>125</v>
      </c>
      <c r="J42" s="248">
        <f>MAX(IF('Import Question'!F104="Y",1,0),IF('Import Question'!F80&gt;140,1,0))</f>
        <v>1</v>
      </c>
      <c r="L42" s="248">
        <v>1</v>
      </c>
    </row>
    <row r="43" spans="1:14">
      <c r="A43" s="67" t="s">
        <v>192</v>
      </c>
      <c r="B43" s="58" t="s">
        <v>191</v>
      </c>
      <c r="C43" s="51">
        <v>309.39</v>
      </c>
      <c r="L43" s="248">
        <f>SUM(L38:L42)</f>
        <v>6.5</v>
      </c>
    </row>
    <row r="44" spans="1:14">
      <c r="A44" s="67" t="s">
        <v>193</v>
      </c>
      <c r="B44" s="58" t="s">
        <v>194</v>
      </c>
      <c r="C44" s="51">
        <v>367</v>
      </c>
      <c r="D44" s="246">
        <f>C44*0.168</f>
        <v>61.656000000000006</v>
      </c>
    </row>
    <row r="45" spans="1:14">
      <c r="A45" s="67" t="s">
        <v>195</v>
      </c>
      <c r="B45" s="58"/>
      <c r="C45" s="51"/>
      <c r="I45" s="248" t="s">
        <v>316</v>
      </c>
      <c r="K45" s="248">
        <f>IF(H37&lt;75,2,(IF(H37&gt;100,0,1)))</f>
        <v>0</v>
      </c>
    </row>
    <row r="46" spans="1:14">
      <c r="A46" s="67" t="s">
        <v>196</v>
      </c>
      <c r="B46" s="58" t="s">
        <v>490</v>
      </c>
      <c r="C46" s="50"/>
      <c r="M46" s="209"/>
    </row>
    <row r="47" spans="1:14">
      <c r="A47" s="67" t="s">
        <v>197</v>
      </c>
      <c r="B47" s="58" t="s">
        <v>227</v>
      </c>
      <c r="C47" s="51">
        <v>5.76</v>
      </c>
      <c r="D47" s="246">
        <f>(C47*1000)/8.84</f>
        <v>651.58371040723978</v>
      </c>
      <c r="E47" s="247" t="s">
        <v>232</v>
      </c>
      <c r="G47" s="271" t="s">
        <v>611</v>
      </c>
      <c r="H47" s="272">
        <f>IF(C38="Positive",3,1)</f>
        <v>1</v>
      </c>
      <c r="M47" s="247"/>
    </row>
    <row r="48" spans="1:14">
      <c r="A48" s="67" t="s">
        <v>197</v>
      </c>
      <c r="B48" s="58" t="s">
        <v>191</v>
      </c>
      <c r="C48" s="51">
        <v>10.94</v>
      </c>
      <c r="D48" s="246">
        <f>(C48*1000)/8.84</f>
        <v>1237.5565610859728</v>
      </c>
      <c r="E48" s="247" t="s">
        <v>194</v>
      </c>
      <c r="K48" s="210" t="s">
        <v>205</v>
      </c>
      <c r="L48" s="211">
        <f>C56</f>
        <v>40</v>
      </c>
      <c r="M48" s="247"/>
      <c r="N48" s="273" t="str">
        <f>IF(L59&lt;2.5,"Faible",IF(L59&gt;7.5,"Elevé","intermédiare"))</f>
        <v>Faible</v>
      </c>
    </row>
    <row r="49" spans="1:14">
      <c r="A49" s="67" t="s">
        <v>198</v>
      </c>
      <c r="B49" s="58" t="s">
        <v>191</v>
      </c>
      <c r="C49" s="51">
        <v>92</v>
      </c>
      <c r="E49" s="247" t="s">
        <v>233</v>
      </c>
      <c r="K49" s="210" t="s">
        <v>619</v>
      </c>
      <c r="L49" s="212">
        <f>'Import Question'!H3</f>
        <v>1</v>
      </c>
      <c r="M49" s="247"/>
      <c r="N49" s="273" t="str">
        <f>IF(L59&lt;5,"Faible",IF(L59&gt;10,"Elevé","intermédiare"))</f>
        <v>Faible</v>
      </c>
    </row>
    <row r="50" spans="1:14">
      <c r="A50" s="145" t="s">
        <v>199</v>
      </c>
      <c r="B50" s="355" t="s">
        <v>200</v>
      </c>
      <c r="C50" s="116"/>
      <c r="K50" s="210" t="s">
        <v>620</v>
      </c>
      <c r="L50" s="212">
        <f>IF('Import Question'!F82="Y",1,0)</f>
        <v>1</v>
      </c>
      <c r="M50" s="247"/>
      <c r="N50" s="273" t="str">
        <f>IF(L59&lt;7.5,"Faible",IF(L59&gt;15,"Elevé","intermédiare"))</f>
        <v>Faible</v>
      </c>
    </row>
    <row r="51" spans="1:14">
      <c r="A51" s="145" t="s">
        <v>201</v>
      </c>
      <c r="B51" s="355" t="s">
        <v>200</v>
      </c>
      <c r="C51" s="116"/>
      <c r="K51" s="213" t="s">
        <v>621</v>
      </c>
      <c r="L51" s="212">
        <f>'Import Question'!F80</f>
        <v>120</v>
      </c>
      <c r="M51" s="247"/>
      <c r="N51" s="274"/>
    </row>
    <row r="52" spans="1:14">
      <c r="A52" s="145" t="s">
        <v>202</v>
      </c>
      <c r="B52" s="355" t="s">
        <v>200</v>
      </c>
      <c r="C52" s="116"/>
      <c r="K52" s="210" t="s">
        <v>622</v>
      </c>
      <c r="L52" s="212">
        <f>H6-H8</f>
        <v>3.7295999999999996</v>
      </c>
      <c r="M52" s="247"/>
      <c r="N52" s="275" t="str">
        <f>IF(L48&lt;50,N48,(IF(L48&gt;70,N50,N49)))</f>
        <v>Faible</v>
      </c>
    </row>
    <row r="53" spans="1:14">
      <c r="A53" s="108" t="s">
        <v>270</v>
      </c>
      <c r="B53" s="69" t="s">
        <v>137</v>
      </c>
      <c r="C53" s="70">
        <v>2.8</v>
      </c>
      <c r="D53" s="246" t="s">
        <v>273</v>
      </c>
      <c r="M53" s="247"/>
    </row>
    <row r="54" spans="1:14">
      <c r="A54" s="108" t="s">
        <v>271</v>
      </c>
      <c r="B54" s="69" t="s">
        <v>137</v>
      </c>
      <c r="C54" s="70">
        <v>6.3</v>
      </c>
      <c r="D54" s="246" t="s">
        <v>274</v>
      </c>
    </row>
    <row r="55" spans="1:14">
      <c r="A55" s="107" t="s">
        <v>272</v>
      </c>
      <c r="B55" s="69" t="s">
        <v>137</v>
      </c>
      <c r="C55" s="70">
        <v>8.1</v>
      </c>
    </row>
    <row r="56" spans="1:14">
      <c r="A56" s="248" t="s">
        <v>205</v>
      </c>
      <c r="C56" s="277">
        <f>'Import Question'!F6</f>
        <v>40</v>
      </c>
    </row>
    <row r="57" spans="1:14">
      <c r="A57" s="248" t="s">
        <v>206</v>
      </c>
      <c r="C57" s="278">
        <f>'Import Question'!F78</f>
        <v>109</v>
      </c>
      <c r="D57" s="246" t="s">
        <v>263</v>
      </c>
      <c r="E57" s="279">
        <f>C58-100-((C58-150)/4)</f>
        <v>61.25</v>
      </c>
      <c r="F57" s="267" t="s">
        <v>267</v>
      </c>
      <c r="G57" s="267" t="s">
        <v>266</v>
      </c>
      <c r="H57" s="280">
        <f>((10*C57)+(6.25*C58)-(5*C56)+5)/1000</f>
        <v>1.92625</v>
      </c>
    </row>
    <row r="58" spans="1:14">
      <c r="A58" s="248" t="s">
        <v>207</v>
      </c>
      <c r="C58" s="278">
        <f>'Import Question'!F77</f>
        <v>165</v>
      </c>
      <c r="F58" s="247" t="s">
        <v>269</v>
      </c>
      <c r="G58" s="267" t="s">
        <v>268</v>
      </c>
      <c r="H58" s="280">
        <f>((10*C57)+(C58*6.25)-(5*C56)-161)/1000</f>
        <v>1.7602500000000001</v>
      </c>
      <c r="L58" s="281" t="s">
        <v>623</v>
      </c>
    </row>
    <row r="59" spans="1:14">
      <c r="A59" s="248" t="s">
        <v>208</v>
      </c>
      <c r="C59" s="282">
        <f>100*C57/C58^2</f>
        <v>0.40036730945821852</v>
      </c>
      <c r="D59" s="246" t="s">
        <v>203</v>
      </c>
      <c r="K59" s="248" t="s">
        <v>618</v>
      </c>
      <c r="L59" s="283">
        <f xml:space="preserve"> -25.7140130071773+0.267011088709677*L48+2.55729166666666*L49+2.97395833333333*L50+0.0753386699507389*L51+0.576041666666669*L52</f>
        <v>1.6867259352984467</v>
      </c>
    </row>
    <row r="60" spans="1:14">
      <c r="A60" s="248" t="s">
        <v>209</v>
      </c>
      <c r="B60" s="284"/>
      <c r="C60" s="285">
        <f>C16/C18</f>
        <v>1.85</v>
      </c>
      <c r="D60" s="246" t="s">
        <v>204</v>
      </c>
    </row>
    <row r="61" spans="1:14">
      <c r="A61" s="248" t="s">
        <v>210</v>
      </c>
      <c r="B61" s="284"/>
      <c r="C61" s="285">
        <f>IF(C29&lt;0.8,1.1,1)</f>
        <v>1.1000000000000001</v>
      </c>
    </row>
    <row r="62" spans="1:14">
      <c r="A62" s="248" t="s">
        <v>211</v>
      </c>
      <c r="B62" s="284"/>
      <c r="C62" s="286" t="e">
        <f>C27/C28</f>
        <v>#DIV/0!</v>
      </c>
    </row>
    <row r="63" spans="1:14">
      <c r="A63" s="248" t="s">
        <v>212</v>
      </c>
      <c r="B63" s="284"/>
      <c r="C63" s="286" t="e">
        <f>C32/C26</f>
        <v>#DIV/0!</v>
      </c>
    </row>
    <row r="64" spans="1:14">
      <c r="A64" s="248" t="s">
        <v>213</v>
      </c>
      <c r="B64" s="284"/>
      <c r="C64" s="285">
        <f>IF(C35&lt;30,1.2,1)</f>
        <v>1</v>
      </c>
    </row>
    <row r="65" spans="1:6">
      <c r="A65" s="248" t="s">
        <v>214</v>
      </c>
      <c r="B65" s="284">
        <f>C42/C57</f>
        <v>2.1926605504587159E-2</v>
      </c>
      <c r="C65" s="285">
        <f>IF(B65&gt;0.1,1,0)</f>
        <v>0</v>
      </c>
    </row>
    <row r="66" spans="1:6">
      <c r="A66" s="248" t="s">
        <v>215</v>
      </c>
      <c r="B66" s="284"/>
      <c r="C66" s="285">
        <f>IF(C44&gt;1000,1,0)</f>
        <v>0</v>
      </c>
    </row>
    <row r="67" spans="1:6">
      <c r="A67" s="248" t="s">
        <v>216</v>
      </c>
      <c r="B67" s="284"/>
      <c r="C67" s="285">
        <f>IF(C49&gt;150,1,0)</f>
        <v>0</v>
      </c>
    </row>
    <row r="68" spans="1:6">
      <c r="A68" s="248" t="s">
        <v>217</v>
      </c>
      <c r="B68" s="284"/>
      <c r="C68" s="285">
        <f>IF(C41&lt;2,1,0)</f>
        <v>0</v>
      </c>
      <c r="D68" s="287" t="e">
        <f>IF(C63&lt;0.1,1.2,1)</f>
        <v>#DIV/0!</v>
      </c>
    </row>
    <row r="69" spans="1:6">
      <c r="A69" s="248" t="s">
        <v>218</v>
      </c>
      <c r="B69" s="284"/>
      <c r="C69" s="286">
        <f>C49/17</f>
        <v>5.4117647058823533</v>
      </c>
    </row>
    <row r="70" spans="1:6">
      <c r="A70" s="248" t="s">
        <v>220</v>
      </c>
      <c r="B70" s="284"/>
      <c r="C70" s="286">
        <f>C43/5</f>
        <v>61.878</v>
      </c>
      <c r="D70" s="246" t="s">
        <v>264</v>
      </c>
      <c r="E70" s="279">
        <f>E57*0.8</f>
        <v>49</v>
      </c>
    </row>
    <row r="71" spans="1:6">
      <c r="A71" s="248" t="s">
        <v>221</v>
      </c>
      <c r="B71" s="284"/>
      <c r="C71" s="288">
        <v>1</v>
      </c>
    </row>
    <row r="72" spans="1:6">
      <c r="A72" s="289" t="s">
        <v>237</v>
      </c>
      <c r="B72" s="284"/>
      <c r="C72" s="285">
        <f>23*(C48/8.84)</f>
        <v>28.463800904977376</v>
      </c>
      <c r="D72" s="246" t="s">
        <v>265</v>
      </c>
    </row>
    <row r="73" spans="1:6">
      <c r="A73" s="289" t="s">
        <v>235</v>
      </c>
      <c r="B73" s="284"/>
      <c r="C73" s="285">
        <f xml:space="preserve"> (30+0.275*C56-0.00375*C56^2)</f>
        <v>35</v>
      </c>
      <c r="D73" s="249" t="s">
        <v>303</v>
      </c>
      <c r="E73" s="290">
        <f>(0.407*C57)+(0.267*C58)-9.2</f>
        <v>79.218000000000004</v>
      </c>
      <c r="F73" s="291" t="s">
        <v>306</v>
      </c>
    </row>
    <row r="74" spans="1:6">
      <c r="A74" s="289" t="s">
        <v>236</v>
      </c>
      <c r="B74" s="284"/>
      <c r="C74" s="285">
        <f>( (42-0.5*C56+0.0025*C56^2))</f>
        <v>26</v>
      </c>
      <c r="D74" s="246" t="s">
        <v>219</v>
      </c>
    </row>
    <row r="75" spans="1:6">
      <c r="A75" s="289" t="s">
        <v>222</v>
      </c>
      <c r="B75" s="284"/>
      <c r="C75" s="292">
        <f>(C72/C73)*(IF('Import Question'!H3=1,1,0))</f>
        <v>0.81325145442792501</v>
      </c>
      <c r="D75" s="249" t="s">
        <v>304</v>
      </c>
    </row>
    <row r="76" spans="1:6">
      <c r="A76" s="289" t="s">
        <v>223</v>
      </c>
      <c r="B76" s="284"/>
      <c r="C76" s="286">
        <f>(C72/C74)*(IF('Import Question'!H3=0,1,0))</f>
        <v>0</v>
      </c>
    </row>
    <row r="77" spans="1:6">
      <c r="A77" s="69" t="s">
        <v>224</v>
      </c>
      <c r="C77" s="293">
        <f>IF(C7&gt;3,1.2,1)</f>
        <v>1</v>
      </c>
    </row>
    <row r="78" spans="1:6">
      <c r="A78" s="248" t="s">
        <v>188</v>
      </c>
      <c r="B78" s="284"/>
      <c r="C78" s="285">
        <f>IF(C41&lt;1800,1,0)</f>
        <v>0</v>
      </c>
    </row>
    <row r="79" spans="1:6">
      <c r="A79" s="248" t="s">
        <v>225</v>
      </c>
      <c r="B79" s="284"/>
      <c r="C79" s="285">
        <f>IF(C12&lt;10,1,0) + IF(C16&lt;4,1,0) + IF(C18&lt;1,1,0) + IF(C19&lt;50,1,0)</f>
        <v>1</v>
      </c>
    </row>
    <row r="80" spans="1:6">
      <c r="A80" s="248" t="s">
        <v>148</v>
      </c>
      <c r="B80" s="284"/>
      <c r="C80" s="285">
        <f>IF(C12&gt;17,1,0)</f>
        <v>0</v>
      </c>
    </row>
    <row r="81" spans="1:5">
      <c r="A81" s="248" t="s">
        <v>154</v>
      </c>
      <c r="B81" s="284"/>
      <c r="C81" s="285">
        <f>IF(C16&gt;70,1,0)</f>
        <v>0</v>
      </c>
    </row>
    <row r="82" spans="1:5">
      <c r="A82" s="248" t="s">
        <v>158</v>
      </c>
      <c r="B82" s="284"/>
      <c r="C82" s="285">
        <f>IF(C18&gt;5,1,0)</f>
        <v>0</v>
      </c>
    </row>
    <row r="83" spans="1:5">
      <c r="A83" s="248" t="s">
        <v>159</v>
      </c>
      <c r="B83" s="284"/>
      <c r="C83" s="285">
        <f>IF(C19&gt;600,1,0)</f>
        <v>0</v>
      </c>
    </row>
    <row r="84" spans="1:5">
      <c r="A84" s="248"/>
      <c r="B84" s="284"/>
      <c r="C84" s="285"/>
    </row>
    <row r="85" spans="1:5">
      <c r="A85" s="248" t="s">
        <v>186</v>
      </c>
      <c r="B85" s="284"/>
      <c r="C85" s="285">
        <f>IF(C38="positive",1.5,1)</f>
        <v>1</v>
      </c>
    </row>
    <row r="86" spans="1:5">
      <c r="A86" s="294" t="s">
        <v>226</v>
      </c>
      <c r="B86" s="284"/>
      <c r="C86" s="295">
        <f>(((C67+C68+C66+C65+C78)*2)/10)+1</f>
        <v>1</v>
      </c>
    </row>
    <row r="87" spans="1:5">
      <c r="A87" s="70"/>
      <c r="C87" s="276"/>
    </row>
    <row r="88" spans="1:5">
      <c r="A88" s="70" t="s">
        <v>228</v>
      </c>
      <c r="C88" s="284">
        <f>C3/C4</f>
        <v>3.5714285714285712</v>
      </c>
      <c r="D88" s="246" t="s">
        <v>229</v>
      </c>
      <c r="E88" s="247" t="s">
        <v>230</v>
      </c>
    </row>
    <row r="89" spans="1:5">
      <c r="A89" s="70"/>
      <c r="C89" s="276"/>
    </row>
    <row r="90" spans="1:5">
      <c r="A90" s="70"/>
      <c r="B90" s="284"/>
      <c r="C90" s="284"/>
    </row>
    <row r="91" spans="1:5">
      <c r="A91" s="70"/>
      <c r="B91" s="284"/>
      <c r="C91" s="276"/>
    </row>
    <row r="92" spans="1:5">
      <c r="A92" s="70"/>
      <c r="B92" s="284"/>
      <c r="C92" s="276"/>
    </row>
    <row r="93" spans="1:5">
      <c r="A93" s="70"/>
      <c r="B93" s="284"/>
      <c r="C93" s="276"/>
    </row>
    <row r="94" spans="1:5">
      <c r="A94" s="70"/>
      <c r="B94" s="284"/>
      <c r="C94" s="276"/>
    </row>
    <row r="95" spans="1:5">
      <c r="A95" s="70"/>
      <c r="B95" s="284"/>
      <c r="C95" s="276"/>
    </row>
    <row r="96" spans="1:5">
      <c r="A96" s="70"/>
      <c r="B96" s="284"/>
      <c r="C96" s="276"/>
    </row>
    <row r="97" spans="1:3">
      <c r="A97" s="70"/>
      <c r="B97" s="284"/>
      <c r="C97" s="276"/>
    </row>
    <row r="98" spans="1:3">
      <c r="A98" s="70"/>
      <c r="B98" s="284"/>
      <c r="C98" s="276"/>
    </row>
    <row r="99" spans="1:3">
      <c r="A99" s="70"/>
      <c r="C99" s="276"/>
    </row>
    <row r="100" spans="1:3">
      <c r="A100" s="70"/>
      <c r="C100" s="276"/>
    </row>
    <row r="101" spans="1:3">
      <c r="A101" s="70"/>
      <c r="C101" s="276"/>
    </row>
    <row r="102" spans="1:3">
      <c r="A102" s="70"/>
      <c r="C102" s="276"/>
    </row>
  </sheetData>
  <sheetProtection selectLockedCells="1"/>
  <conditionalFormatting sqref="G33:G34">
    <cfRule type="colorScale" priority="1">
      <colorScale>
        <cfvo type="min"/>
        <cfvo type="percentile" val="50"/>
        <cfvo type="max"/>
        <color rgb="FF5A8AC6"/>
        <color rgb="FFFCFCFF"/>
        <color rgb="FFF8696B"/>
      </colorScale>
    </cfRule>
  </conditionalFormatting>
  <conditionalFormatting sqref="I2:K2">
    <cfRule type="colorScale" priority="2">
      <colorScale>
        <cfvo type="min"/>
        <cfvo type="percentile" val="50"/>
        <cfvo type="max"/>
        <color rgb="FF63BE7B"/>
        <color rgb="FFFFEB84"/>
        <color rgb="FFF8696B"/>
      </colorScale>
    </cfRule>
  </conditionalFormatting>
  <dataValidations count="1">
    <dataValidation type="list" allowBlank="1" showInputMessage="1" showErrorMessage="1" sqref="C38:C40 C50:C52" xr:uid="{72E72676-BBF7-4978-A1EF-0012D66CB83A}">
      <formula1>$D$38:$F$38</formula1>
    </dataValidation>
  </dataValidations>
  <pageMargins left="0.7" right="0.7" top="0.75" bottom="0.75" header="0.3" footer="0.3"/>
  <pageSetup paperSize="9" scale="3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8773F-5B2F-460B-8325-AD33744237D8}">
  <dimension ref="A1"/>
  <sheetViews>
    <sheetView workbookViewId="0">
      <selection sqref="A1:A1048576"/>
    </sheetView>
  </sheetViews>
  <sheetFormatPr baseColWidth="10" defaultColWidth="11.53125" defaultRowHeight="14.25"/>
  <cols>
    <col min="1" max="1" width="11.53125" customWidth="1"/>
  </cols>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4"/>
  <dimension ref="A1:AU47"/>
  <sheetViews>
    <sheetView zoomScale="85" zoomScaleNormal="85" workbookViewId="0">
      <pane xSplit="2" ySplit="1" topLeftCell="N2" activePane="bottomRight" state="frozen"/>
      <selection pane="topRight" activeCell="C1" sqref="C1"/>
      <selection pane="bottomLeft" activeCell="A2" sqref="A2"/>
      <selection pane="bottomRight" activeCell="R2" sqref="R2"/>
    </sheetView>
  </sheetViews>
  <sheetFormatPr baseColWidth="10" defaultColWidth="10.86328125" defaultRowHeight="14.25"/>
  <cols>
    <col min="1" max="1" width="8.1328125" style="205" customWidth="1"/>
    <col min="2" max="2" width="36.796875" style="8" bestFit="1" customWidth="1"/>
    <col min="3" max="3" width="12.19921875" style="206" bestFit="1" customWidth="1"/>
    <col min="4" max="4" width="5.19921875" style="206" bestFit="1" customWidth="1"/>
    <col min="5" max="5" width="7.796875" style="206" customWidth="1"/>
    <col min="6" max="6" width="5.53125" style="203" bestFit="1" customWidth="1"/>
    <col min="7" max="7" width="8.53125" style="203" bestFit="1" customWidth="1"/>
    <col min="8" max="8" width="9.53125" style="204" bestFit="1" customWidth="1"/>
    <col min="9" max="9" width="6.796875" style="204" bestFit="1" customWidth="1"/>
    <col min="10" max="10" width="8.53125" style="204" customWidth="1"/>
    <col min="11" max="13" width="15.796875" style="204" customWidth="1"/>
    <col min="14" max="14" width="11.86328125" style="8" bestFit="1" customWidth="1"/>
    <col min="15" max="15" width="13.53125" style="8" bestFit="1" customWidth="1"/>
    <col min="16" max="16" width="11" style="8" bestFit="1" customWidth="1"/>
    <col min="17" max="17" width="34.53125" style="8" bestFit="1" customWidth="1"/>
    <col min="18" max="18" width="10.53125" style="32" bestFit="1" customWidth="1"/>
    <col min="19" max="19" width="13.53125" style="11" bestFit="1" customWidth="1"/>
    <col min="20" max="20" width="34.53125" style="8" bestFit="1" customWidth="1"/>
    <col min="21" max="21" width="10.53125" style="32" bestFit="1" customWidth="1"/>
    <col min="22" max="22" width="13.796875" style="32" bestFit="1" customWidth="1"/>
    <col min="23" max="23" width="21.796875" style="11" customWidth="1"/>
    <col min="24" max="16384" width="10.86328125" style="8"/>
  </cols>
  <sheetData>
    <row r="1" spans="1:47" ht="18">
      <c r="A1" s="196" t="s">
        <v>27</v>
      </c>
      <c r="B1" s="197" t="s">
        <v>55</v>
      </c>
      <c r="C1" s="1" t="s">
        <v>24</v>
      </c>
      <c r="D1" s="1" t="s">
        <v>25</v>
      </c>
      <c r="E1" s="1" t="s">
        <v>26</v>
      </c>
      <c r="F1" s="198" t="s">
        <v>20</v>
      </c>
      <c r="G1" s="2" t="s">
        <v>21</v>
      </c>
      <c r="H1" s="3" t="s">
        <v>22</v>
      </c>
      <c r="I1" s="3" t="s">
        <v>23</v>
      </c>
      <c r="J1" s="3" t="s">
        <v>100</v>
      </c>
      <c r="K1" s="9" t="s">
        <v>33</v>
      </c>
      <c r="L1" s="9" t="s">
        <v>57</v>
      </c>
      <c r="M1" s="9" t="s">
        <v>305</v>
      </c>
      <c r="N1" s="9" t="s">
        <v>28</v>
      </c>
      <c r="O1" s="9" t="s">
        <v>29</v>
      </c>
      <c r="P1" s="9" t="s">
        <v>30</v>
      </c>
      <c r="Q1" s="197" t="s">
        <v>815</v>
      </c>
      <c r="R1" s="361" t="s">
        <v>31</v>
      </c>
      <c r="S1" s="11" t="s">
        <v>32</v>
      </c>
      <c r="T1" s="197" t="s">
        <v>814</v>
      </c>
      <c r="U1" s="362" t="s">
        <v>72</v>
      </c>
      <c r="V1" s="32" t="s">
        <v>77</v>
      </c>
      <c r="W1" s="11" t="s">
        <v>244</v>
      </c>
      <c r="X1" s="25"/>
      <c r="Y1" s="33"/>
      <c r="Z1" s="33"/>
      <c r="AA1" s="33"/>
      <c r="AB1" s="33"/>
    </row>
    <row r="2" spans="1:47">
      <c r="A2" s="196">
        <f>'Import Question'!$F$6</f>
        <v>40</v>
      </c>
      <c r="B2" s="199" t="s">
        <v>54</v>
      </c>
      <c r="C2" s="5">
        <v>-4.8000000000000001E-2</v>
      </c>
      <c r="D2" s="5">
        <f>0.000710799200799209</f>
        <v>7.1079920079920899E-4</v>
      </c>
      <c r="E2" s="5">
        <f>0.0000126493506493506</f>
        <v>1.26493506493506E-5</v>
      </c>
      <c r="F2" s="7">
        <v>1</v>
      </c>
      <c r="G2" s="7">
        <v>0</v>
      </c>
      <c r="H2" s="7">
        <v>1.25</v>
      </c>
      <c r="I2" s="7">
        <v>0.8</v>
      </c>
      <c r="J2" s="7">
        <f>IF('Import Question'!$F$3="F",0,1)</f>
        <v>1</v>
      </c>
      <c r="K2" s="7">
        <f>IF('Import Question'!$F$7="AF",H2,IF('Import Question'!$F$7="AS",calculRISKS!I2,1))</f>
        <v>1</v>
      </c>
      <c r="L2" s="7">
        <f>IF('Import Question'!H14="Y",0,1)</f>
        <v>1</v>
      </c>
      <c r="M2" s="7">
        <f>IF('Import Question'!H62="Y",0.8,1)</f>
        <v>1</v>
      </c>
      <c r="N2" s="4">
        <f>'Import Question'!K$150</f>
        <v>1.5</v>
      </c>
      <c r="O2" s="4">
        <f>'Import Question'!J25</f>
        <v>1.2</v>
      </c>
      <c r="P2" s="4">
        <f>'Import Biologie'!H36</f>
        <v>3.3687500000000002E-2</v>
      </c>
      <c r="Q2" s="32">
        <f>($C2+($D2*($A2+5))+(($E2*(($A2+5)^2))))*$J2*$K2</f>
        <v>9.6008991008993683E-3</v>
      </c>
      <c r="R2" s="113">
        <f>IF(T2&lt;0.015,0.015,T2)</f>
        <v>1.4999999999999999E-2</v>
      </c>
      <c r="S2" s="113">
        <f>(MAX(P2,(IF(L2=0,1,0))))*J2</f>
        <v>3.3687500000000002E-2</v>
      </c>
      <c r="T2" s="32">
        <f t="shared" ref="T2:T7" si="0">($C2+($D2*$A2)+(($E2*($A2*$A2))))*$J2*$K2</f>
        <v>6.7092907092931864E-4</v>
      </c>
      <c r="U2" s="32">
        <f>MAX(IF(Q2&lt;0,0.015,Q2),R2)</f>
        <v>1.4999999999999999E-2</v>
      </c>
      <c r="V2" s="113">
        <f>MAX('Import Biologie'!J36,('Import Biologie'!J36*N2),S2)*J2</f>
        <v>7.0431250000000001E-2</v>
      </c>
      <c r="W2" s="113">
        <f>IF(L2=0,1,($N2*$P2*1.5*Z$10))*J2</f>
        <v>0.13097700000000001</v>
      </c>
      <c r="Y2" s="34" t="s">
        <v>98</v>
      </c>
      <c r="Z2" s="35" t="s">
        <v>54</v>
      </c>
      <c r="AA2" s="36" t="s">
        <v>35</v>
      </c>
      <c r="AB2" s="36" t="s">
        <v>36</v>
      </c>
      <c r="AC2" s="36" t="s">
        <v>37</v>
      </c>
      <c r="AD2" s="36" t="s">
        <v>38</v>
      </c>
      <c r="AE2" s="36" t="s">
        <v>39</v>
      </c>
      <c r="AF2" s="36" t="s">
        <v>40</v>
      </c>
      <c r="AG2" s="36" t="s">
        <v>41</v>
      </c>
      <c r="AH2" s="36" t="s">
        <v>42</v>
      </c>
      <c r="AI2" s="36" t="s">
        <v>43</v>
      </c>
      <c r="AJ2" s="36" t="s">
        <v>44</v>
      </c>
      <c r="AK2" s="36" t="s">
        <v>45</v>
      </c>
      <c r="AL2" s="36" t="s">
        <v>46</v>
      </c>
      <c r="AM2" s="36" t="s">
        <v>47</v>
      </c>
      <c r="AN2" s="36" t="s">
        <v>48</v>
      </c>
      <c r="AO2" s="36" t="s">
        <v>49</v>
      </c>
      <c r="AP2" s="36" t="s">
        <v>50</v>
      </c>
      <c r="AQ2" s="47" t="s">
        <v>51</v>
      </c>
      <c r="AR2" s="47" t="s">
        <v>52</v>
      </c>
      <c r="AS2" s="47" t="s">
        <v>97</v>
      </c>
      <c r="AT2" s="48" t="s">
        <v>96</v>
      </c>
      <c r="AU2" s="200" t="s">
        <v>612</v>
      </c>
    </row>
    <row r="3" spans="1:47">
      <c r="A3" s="196">
        <f>'Import Question'!$F$6</f>
        <v>40</v>
      </c>
      <c r="B3" s="16" t="s">
        <v>35</v>
      </c>
      <c r="C3" s="5">
        <v>-0.51776223776225105</v>
      </c>
      <c r="D3" s="5">
        <f>0.0177272727272731</f>
        <v>1.7727272727273102E-2</v>
      </c>
      <c r="E3" s="5">
        <v>-1.2167832167832501E-4</v>
      </c>
      <c r="F3" s="7">
        <v>1</v>
      </c>
      <c r="G3" s="7">
        <v>0</v>
      </c>
      <c r="H3" s="7">
        <v>0.8</v>
      </c>
      <c r="I3" s="7">
        <v>0.6</v>
      </c>
      <c r="J3" s="7">
        <f>IF('Import Question'!$F$3="F",0,1)</f>
        <v>1</v>
      </c>
      <c r="K3" s="7">
        <f>IF('Import Question'!$F$7="AF",H3,IF('Import Question'!$F$7="AS",calculRISKS!I3,1))</f>
        <v>1</v>
      </c>
      <c r="L3" s="7">
        <v>1</v>
      </c>
      <c r="M3" s="7">
        <v>1</v>
      </c>
      <c r="N3" s="4">
        <v>1</v>
      </c>
      <c r="O3" s="4">
        <f>'Import Question'!K25</f>
        <v>1.2</v>
      </c>
      <c r="P3" s="10">
        <f>IF('Import Question'!H125&gt;2,1.2,IF('Import Question'!H125&lt;1,0.8,1))</f>
        <v>1.2</v>
      </c>
      <c r="Q3" s="32">
        <f t="shared" ref="Q3:Q22" si="1">($C3+($D3*($A3+5))+(($E3*(($A3+5)^2))))*$J3*$K3</f>
        <v>3.3566433566430409E-2</v>
      </c>
      <c r="R3" s="113">
        <f t="shared" ref="R3:R22" si="2">IF(T3&lt;0,0.001,T3)</f>
        <v>1E-3</v>
      </c>
      <c r="S3" s="113">
        <f>(MAX((N3*O3*P3*R3),(IF(L3=0,1,0))))*J3</f>
        <v>1.4399999999999999E-3</v>
      </c>
      <c r="T3" s="32">
        <f t="shared" si="0"/>
        <v>-3.3566433566469822E-3</v>
      </c>
      <c r="U3" s="32">
        <f t="shared" ref="U3:U22" si="3">MAX(IF(Q3&lt;0,0.001,Q3),R3)</f>
        <v>3.3566433566430409E-2</v>
      </c>
      <c r="V3" s="113">
        <f>MAX(($N3*$O3*$P3*$U3),S3)</f>
        <v>4.8335664335659785E-2</v>
      </c>
      <c r="W3" s="32">
        <f>$N3*$P3*$U3*AA10</f>
        <v>6.9603356643350101E-2</v>
      </c>
      <c r="Y3" s="16" t="str">
        <f>'Import Question'!I18</f>
        <v>IMC</v>
      </c>
      <c r="Z3" s="16">
        <f>IF(SIMULATEUR!$L$3="N",'Import Question'!J18,1)</f>
        <v>1.2</v>
      </c>
      <c r="AA3" s="16">
        <f>IF(SIMULATEUR!$L$3="N",'Import Question'!K18,1)</f>
        <v>1.2</v>
      </c>
      <c r="AB3" s="16">
        <f>IF(SIMULATEUR!$L$3="N",'Import Question'!L18,1)</f>
        <v>1.2</v>
      </c>
      <c r="AC3" s="16">
        <f>IF(SIMULATEUR!$L$3="N",'Import Question'!M18,0.8)</f>
        <v>1.2</v>
      </c>
      <c r="AD3" s="16">
        <f>IF(SIMULATEUR!$L$3="N",'Import Question'!N18,1)</f>
        <v>0.8</v>
      </c>
      <c r="AE3" s="16">
        <f>IF(SIMULATEUR!$L$3="N",'Import Question'!O18,0.9)</f>
        <v>1.2</v>
      </c>
      <c r="AF3" s="16">
        <f>IF(SIMULATEUR!$L$3="N",'Import Question'!P18,0.8)</f>
        <v>1.2</v>
      </c>
      <c r="AG3" s="16">
        <f>IF(SIMULATEUR!$L$3="N",'Import Question'!Q18,1)</f>
        <v>1</v>
      </c>
      <c r="AH3" s="16">
        <f>IF(SIMULATEUR!$L$3="N",'Import Question'!R18,0.8)</f>
        <v>1.2</v>
      </c>
      <c r="AI3" s="16">
        <f>IF(SIMULATEUR!$L$3="N",'Import Question'!S18,0.8)</f>
        <v>2.5</v>
      </c>
      <c r="AJ3" s="16">
        <f>IF(SIMULATEUR!$L$3="N",'Import Question'!T18,0.8)</f>
        <v>2.5</v>
      </c>
      <c r="AK3" s="16">
        <f>IF(SIMULATEUR!$L$3="N",'Import Question'!U18,1)</f>
        <v>1</v>
      </c>
      <c r="AL3" s="16">
        <f>IF(SIMULATEUR!$L$3="N",'Import Question'!V18,1)</f>
        <v>1.2</v>
      </c>
      <c r="AM3" s="16">
        <f>IF(SIMULATEUR!$L$3="N",'Import Question'!W18,0.8)</f>
        <v>1.2</v>
      </c>
      <c r="AN3" s="16">
        <f>IF(SIMULATEUR!$L$3="N",'Import Question'!X18,0.8)</f>
        <v>2.5</v>
      </c>
      <c r="AO3" s="16">
        <f>IF(SIMULATEUR!$L$3="N",'Import Question'!Y18,1)</f>
        <v>1</v>
      </c>
      <c r="AP3" s="16">
        <f>IF(SIMULATEUR!$L$3="N",'Import Question'!Z18,1)</f>
        <v>1</v>
      </c>
      <c r="AQ3" s="16">
        <f>IF(SIMULATEUR!$L$3="N",'Import Question'!AA18,1)</f>
        <v>1</v>
      </c>
      <c r="AR3" s="16">
        <f>IF(SIMULATEUR!$L$3="N",'Import Question'!AB18,1)</f>
        <v>1</v>
      </c>
      <c r="AS3" s="16">
        <f>IF(SIMULATEUR!$L$3="N",'Import Question'!AC18,1)</f>
        <v>1.2</v>
      </c>
      <c r="AT3" s="16">
        <f>IF(SIMULATEUR!$L$3="N",'Import Question'!AD18,1)</f>
        <v>1</v>
      </c>
      <c r="AU3" s="16">
        <f>IF(SIMULATEUR!$L$3="N",'Import Question'!AE18,1)</f>
        <v>1</v>
      </c>
    </row>
    <row r="4" spans="1:47">
      <c r="A4" s="196">
        <f>'Import Question'!$F$6</f>
        <v>40</v>
      </c>
      <c r="B4" s="16" t="s">
        <v>36</v>
      </c>
      <c r="C4" s="5">
        <v>0.116225714285713</v>
      </c>
      <c r="D4" s="5">
        <f>-0.00573914285714281</f>
        <v>-5.7391428571428099E-3</v>
      </c>
      <c r="E4" s="5">
        <f>0.0000701428571428567</f>
        <v>7.0142857142856699E-5</v>
      </c>
      <c r="F4" s="7">
        <v>1</v>
      </c>
      <c r="G4" s="7">
        <v>0.92</v>
      </c>
      <c r="H4" s="7">
        <v>1.5</v>
      </c>
      <c r="I4" s="7">
        <v>1</v>
      </c>
      <c r="J4" s="7">
        <v>1</v>
      </c>
      <c r="K4" s="7">
        <f>IF('Import Question'!$F$7="AF",H4,IF('Import Question'!$F$7="AS",calculRISKS!I4,1))</f>
        <v>1</v>
      </c>
      <c r="L4" s="7">
        <v>1</v>
      </c>
      <c r="M4" s="7">
        <v>1</v>
      </c>
      <c r="N4" s="4">
        <v>1</v>
      </c>
      <c r="O4" s="4">
        <f>'Import Question'!L25</f>
        <v>1.44</v>
      </c>
      <c r="P4" s="4">
        <f>'Import Biologie'!F37</f>
        <v>1</v>
      </c>
      <c r="Q4" s="32">
        <f t="shared" si="1"/>
        <v>3.5714285713805971E-6</v>
      </c>
      <c r="R4" s="113">
        <f t="shared" si="2"/>
        <v>1E-3</v>
      </c>
      <c r="S4" s="32">
        <f>(N4*O4*P4*R4)</f>
        <v>1.4399999999999999E-3</v>
      </c>
      <c r="T4" s="32">
        <f t="shared" si="0"/>
        <v>-1.1114285714286798E-3</v>
      </c>
      <c r="U4" s="32">
        <f t="shared" si="3"/>
        <v>1E-3</v>
      </c>
      <c r="V4" s="113">
        <f>MAX($N4*$O4*$U4*$L4,S4)</f>
        <v>1.4399999999999999E-3</v>
      </c>
      <c r="W4" s="32">
        <f>$N4*$U4*AB10</f>
        <v>2.0736000000000001E-3</v>
      </c>
      <c r="Y4" s="16" t="str">
        <f>'Import Question'!I19</f>
        <v>Fumeur</v>
      </c>
      <c r="Z4" s="16">
        <f>IF(SIMULATEUR!$L$4="N",'Import Question'!J19,1)</f>
        <v>1</v>
      </c>
      <c r="AA4" s="16">
        <f>IF(SIMULATEUR!$L$4="N",'Import Question'!K19,1)</f>
        <v>1</v>
      </c>
      <c r="AB4" s="16">
        <f>IF(SIMULATEUR!$L$4="N",'Import Question'!L19,1)</f>
        <v>1.2</v>
      </c>
      <c r="AC4" s="16">
        <f>IF(SIMULATEUR!$L$4="N",'Import Question'!M19,1)</f>
        <v>1</v>
      </c>
      <c r="AD4" s="16">
        <f>IF(SIMULATEUR!$L$4="N",'Import Question'!N19,1)</f>
        <v>1.2</v>
      </c>
      <c r="AE4" s="16">
        <f>IF(SIMULATEUR!$L$4="N",'Import Question'!O19,1)</f>
        <v>1</v>
      </c>
      <c r="AF4" s="16">
        <f>IF(SIMULATEUR!$L$4="N",'Import Question'!P19,1)</f>
        <v>1</v>
      </c>
      <c r="AG4" s="16">
        <f>IF(SIMULATEUR!$L$4="N",'Import Question'!Q19,1)</f>
        <v>1</v>
      </c>
      <c r="AH4" s="16">
        <f>IF(SIMULATEUR!$L$4="N",'Import Question'!R19,1)</f>
        <v>1</v>
      </c>
      <c r="AI4" s="16">
        <f>IF(SIMULATEUR!$L$4="N",'Import Question'!S19,1)</f>
        <v>1</v>
      </c>
      <c r="AJ4" s="16">
        <f>IF(SIMULATEUR!$L$4="N",'Import Question'!T19,1)</f>
        <v>1</v>
      </c>
      <c r="AK4" s="16">
        <f>IF(SIMULATEUR!$L$4="N",'Import Question'!U19,1)</f>
        <v>1.2</v>
      </c>
      <c r="AL4" s="16">
        <f>IF(SIMULATEUR!$L$4="N",'Import Question'!V19,1)</f>
        <v>1.2</v>
      </c>
      <c r="AM4" s="16">
        <f>IF(SIMULATEUR!$L$4="N",'Import Question'!W19,1)</f>
        <v>1.2</v>
      </c>
      <c r="AN4" s="16">
        <f>IF(SIMULATEUR!$L$4="N",'Import Question'!X19,1)</f>
        <v>1.2</v>
      </c>
      <c r="AO4" s="325">
        <f>IF(SIMULATEUR!$L$4="N",'Import Question'!Y19,10)</f>
        <v>20</v>
      </c>
      <c r="AP4" s="16">
        <f>IF(SIMULATEUR!$L$4="N",'Import Question'!Z19,1)</f>
        <v>5</v>
      </c>
      <c r="AQ4" s="16">
        <f>IF(SIMULATEUR!$L$4="N",'Import Question'!AA19,1)</f>
        <v>1.2</v>
      </c>
      <c r="AR4" s="16">
        <f>IF(SIMULATEUR!$L$4="N",'Import Question'!AB19,1)</f>
        <v>1</v>
      </c>
      <c r="AS4" s="16">
        <f>IF(SIMULATEUR!$L$4="N",'Import Question'!AC19,1)</f>
        <v>1</v>
      </c>
      <c r="AT4" s="16">
        <f>IF(SIMULATEUR!$L$4="N",'Import Question'!AD19,1)</f>
        <v>1.2</v>
      </c>
      <c r="AU4" s="325">
        <f>IF(SIMULATEUR!$L$4="N",'Import Question'!AE19,10)</f>
        <v>20</v>
      </c>
    </row>
    <row r="5" spans="1:47">
      <c r="A5" s="196">
        <f>'Import Question'!$F$6</f>
        <v>40</v>
      </c>
      <c r="B5" s="16" t="s">
        <v>37</v>
      </c>
      <c r="C5" s="5">
        <v>-0.307999999999999</v>
      </c>
      <c r="D5" s="5">
        <f>0.0126</f>
        <v>1.26E-2</v>
      </c>
      <c r="E5" s="5">
        <f>-0.0000999999999999998</f>
        <v>-9.9999999999999802E-5</v>
      </c>
      <c r="F5" s="7">
        <v>1</v>
      </c>
      <c r="G5" s="7">
        <v>1</v>
      </c>
      <c r="H5" s="7">
        <v>1</v>
      </c>
      <c r="I5" s="7">
        <v>1</v>
      </c>
      <c r="J5" s="7">
        <v>1</v>
      </c>
      <c r="K5" s="7">
        <f>IF('Import Question'!$F$7="AF",H5,IF('Import Question'!$F$7="AS",calculRISKS!I5,1))</f>
        <v>1</v>
      </c>
      <c r="L5" s="112">
        <f>IF('Import Question'!H44="Y",2,1)</f>
        <v>1</v>
      </c>
      <c r="M5" s="7">
        <v>1</v>
      </c>
      <c r="N5" s="4">
        <f>'Import Question'!L$150</f>
        <v>0.9</v>
      </c>
      <c r="O5" s="4">
        <f>'Import Question'!M25</f>
        <v>1.2</v>
      </c>
      <c r="P5" s="4">
        <f>'Import Biologie'!H35</f>
        <v>2</v>
      </c>
      <c r="Q5" s="32">
        <f t="shared" si="1"/>
        <v>5.6500000000001355E-2</v>
      </c>
      <c r="R5" s="113">
        <f t="shared" si="2"/>
        <v>3.6000000000001336E-2</v>
      </c>
      <c r="S5" s="32">
        <f>IF((N5*O5*P5*R5*L5)&gt;1,1,(N5*O5*P5*R5*L5))</f>
        <v>7.7760000000002896E-2</v>
      </c>
      <c r="T5" s="32">
        <f t="shared" si="0"/>
        <v>3.6000000000001336E-2</v>
      </c>
      <c r="U5" s="32">
        <f t="shared" si="3"/>
        <v>5.6500000000001355E-2</v>
      </c>
      <c r="V5" s="113">
        <f>MAX($N5*$O5*$U5*$L5,S5)</f>
        <v>7.7760000000002896E-2</v>
      </c>
      <c r="W5" s="32">
        <f>$N5*$U5*$L5*AC10</f>
        <v>8.7868800000002106E-2</v>
      </c>
      <c r="Y5" s="16" t="str">
        <f>'Import Question'!I20</f>
        <v>Alcool</v>
      </c>
      <c r="Z5" s="16">
        <f>IF(SIMULATEUR!$L$5="Y",1,'Import Question'!J20)</f>
        <v>1</v>
      </c>
      <c r="AA5" s="16">
        <f>IF(SIMULATEUR!$L$5="Y",1,'Import Question'!K20)</f>
        <v>1</v>
      </c>
      <c r="AB5" s="16">
        <f>IF(SIMULATEUR!$L$5="Y",1,'Import Question'!L20)</f>
        <v>1</v>
      </c>
      <c r="AC5" s="16">
        <f>IF(SIMULATEUR!$L$5="Y",1,'Import Question'!M20)</f>
        <v>1</v>
      </c>
      <c r="AD5" s="16">
        <f>IF(SIMULATEUR!$L$5="Y",1,'Import Question'!N20)</f>
        <v>1</v>
      </c>
      <c r="AE5" s="16">
        <f>IF(SIMULATEUR!$L$5="Y",1,'Import Question'!O20)</f>
        <v>1.2</v>
      </c>
      <c r="AF5" s="16">
        <f>IF(SIMULATEUR!$L$5="Y",1,'Import Question'!P20)</f>
        <v>1.2</v>
      </c>
      <c r="AG5" s="16">
        <f>IF(SIMULATEUR!$L$5="Y",1,'Import Question'!Q20)</f>
        <v>1</v>
      </c>
      <c r="AH5" s="16">
        <f>IF(SIMULATEUR!$L$5="Y",1,'Import Question'!R20)</f>
        <v>1</v>
      </c>
      <c r="AI5" s="16">
        <f>IF(SIMULATEUR!$L$5="Y",1,'Import Question'!S20)</f>
        <v>1</v>
      </c>
      <c r="AJ5" s="16">
        <f>IF(SIMULATEUR!$L$5="Y",1,'Import Question'!T20)</f>
        <v>1</v>
      </c>
      <c r="AK5" s="16">
        <f>IF(SIMULATEUR!$L$5="Y",1,'Import Question'!U20)</f>
        <v>1</v>
      </c>
      <c r="AL5" s="16">
        <f>IF(SIMULATEUR!$L$5="Y",1,'Import Question'!V20)</f>
        <v>1</v>
      </c>
      <c r="AM5" s="16">
        <f>IF(SIMULATEUR!$L$5="Y",1,'Import Question'!W20)</f>
        <v>1</v>
      </c>
      <c r="AN5" s="16">
        <f>IF(SIMULATEUR!$L$5="Y",1,'Import Question'!X20)</f>
        <v>1</v>
      </c>
      <c r="AO5" s="16">
        <f>IF(SIMULATEUR!$L$5="Y",1,'Import Question'!Y20)</f>
        <v>1</v>
      </c>
      <c r="AP5" s="16">
        <f>IF(SIMULATEUR!$L$5="Y",1,'Import Question'!Z20)</f>
        <v>5</v>
      </c>
      <c r="AQ5" s="16">
        <f>IF(SIMULATEUR!$L$5="Y",1,'Import Question'!AA20)</f>
        <v>1</v>
      </c>
      <c r="AR5" s="16">
        <f>IF(SIMULATEUR!$L$5="Y",1,'Import Question'!AB20)</f>
        <v>1</v>
      </c>
      <c r="AS5" s="16">
        <f>IF(SIMULATEUR!$L$5="Y",1,'Import Question'!AC20)</f>
        <v>1</v>
      </c>
      <c r="AT5" s="16">
        <f>IF(SIMULATEUR!$L$5="Y",1,'Import Question'!AD20)</f>
        <v>1.2</v>
      </c>
      <c r="AU5" s="16">
        <f>IF(SIMULATEUR!$L$5="Y",1,'Import Question'!AE20)</f>
        <v>1</v>
      </c>
    </row>
    <row r="6" spans="1:47">
      <c r="A6" s="196">
        <f>'Import Question'!$F$6</f>
        <v>40</v>
      </c>
      <c r="B6" s="16" t="s">
        <v>38</v>
      </c>
      <c r="C6" s="5">
        <v>-1.38542857142852E-2</v>
      </c>
      <c r="D6" s="5">
        <f>0.0000558571428571242</f>
        <v>5.5857142857124199E-5</v>
      </c>
      <c r="E6" s="5">
        <f>0.0000066428571428573</f>
        <v>6.6428571428573E-6</v>
      </c>
      <c r="F6" s="7">
        <v>1</v>
      </c>
      <c r="G6" s="7">
        <v>3</v>
      </c>
      <c r="H6" s="7">
        <v>0.5</v>
      </c>
      <c r="I6" s="7">
        <v>0.8</v>
      </c>
      <c r="J6" s="7">
        <v>1</v>
      </c>
      <c r="K6" s="7">
        <f>IF('Import Question'!$F$7="AF",H6,IF('Import Question'!$F$7="AS",calculRISKS!I6,1))</f>
        <v>1</v>
      </c>
      <c r="L6" s="7">
        <v>1</v>
      </c>
      <c r="M6" s="7">
        <v>1</v>
      </c>
      <c r="N6" s="4">
        <v>1</v>
      </c>
      <c r="O6" s="4">
        <f>'Import Question'!N25</f>
        <v>0.96</v>
      </c>
      <c r="P6" s="4">
        <f>IF('Import Biologie'!H14&lt;30,1.2,1)</f>
        <v>1</v>
      </c>
      <c r="Q6" s="32">
        <f t="shared" si="1"/>
        <v>2.1110714285714222E-3</v>
      </c>
      <c r="R6" s="113">
        <f t="shared" si="2"/>
        <v>1E-3</v>
      </c>
      <c r="S6" s="32">
        <f>N6*O6*P6*R6*L6</f>
        <v>9.6000000000000002E-4</v>
      </c>
      <c r="T6" s="32">
        <f t="shared" si="0"/>
        <v>-9.9142857142855111E-4</v>
      </c>
      <c r="U6" s="32">
        <f t="shared" si="3"/>
        <v>2.1110714285714222E-3</v>
      </c>
      <c r="V6" s="113">
        <f>MAX(($N6*$O6*$U6*$L6*P6),S6)</f>
        <v>2.0266285714285654E-3</v>
      </c>
      <c r="W6" s="32">
        <f>$N6*$U6*AD10</f>
        <v>2.9183451428571338E-3</v>
      </c>
      <c r="Y6" s="16" t="str">
        <f>'Import Question'!I21</f>
        <v>Activité</v>
      </c>
      <c r="Z6" s="16">
        <f>IF(SIMULATEUR!$L$6="Y",'Import Question'!J21,1.2)</f>
        <v>1.2</v>
      </c>
      <c r="AA6" s="16">
        <f>IF(SIMULATEUR!$L$6="Y",'Import Question'!K21,1.2)</f>
        <v>1.2</v>
      </c>
      <c r="AB6" s="16">
        <f>IF(SIMULATEUR!$L$6="Y",'Import Question'!L21,1.2)</f>
        <v>1.2</v>
      </c>
      <c r="AC6" s="16">
        <f>IF(SIMULATEUR!$L$6="Y",'Import Question'!M21,1.2)</f>
        <v>1.2</v>
      </c>
      <c r="AD6" s="16">
        <f>IF(SIMULATEUR!$L$6="Y",'Import Question'!N21,1.2)</f>
        <v>1.2</v>
      </c>
      <c r="AE6" s="16">
        <f>IF(SIMULATEUR!$L$6="Y",'Import Question'!O21,1.2)</f>
        <v>1.2</v>
      </c>
      <c r="AF6" s="16">
        <f>IF(SIMULATEUR!$L$6="Y",'Import Question'!P21,1.2)</f>
        <v>1.2</v>
      </c>
      <c r="AG6" s="16">
        <f>IF(SIMULATEUR!$L$6="Y",'Import Question'!Q21,1.2)</f>
        <v>1.2</v>
      </c>
      <c r="AH6" s="16">
        <f>IF(SIMULATEUR!$L$6="Y",'Import Question'!R21,1.2)</f>
        <v>1.2</v>
      </c>
      <c r="AI6" s="16">
        <f>IF(SIMULATEUR!$L$6="Y",'Import Question'!S21,1.2)</f>
        <v>1.2</v>
      </c>
      <c r="AJ6" s="16">
        <f>IF(SIMULATEUR!$L$6="Y",'Import Question'!T21,1.2)</f>
        <v>1.2</v>
      </c>
      <c r="AK6" s="16">
        <f>IF(SIMULATEUR!$L$6="Y",'Import Question'!U21,1.2)</f>
        <v>1.2</v>
      </c>
      <c r="AL6" s="16">
        <f>IF(SIMULATEUR!$L$6="Y",'Import Question'!V21,1.2)</f>
        <v>1.2</v>
      </c>
      <c r="AM6" s="16">
        <f>IF(SIMULATEUR!$L$6="Y",'Import Question'!W21,1.2)</f>
        <v>1.2</v>
      </c>
      <c r="AN6" s="16">
        <f>IF(SIMULATEUR!$L$6="Y",'Import Question'!X21,1.2)</f>
        <v>1.2</v>
      </c>
      <c r="AO6" s="16">
        <f>IF(SIMULATEUR!$L$6="Y",'Import Question'!Y21,1.2)</f>
        <v>1.2</v>
      </c>
      <c r="AP6" s="16">
        <f>IF(SIMULATEUR!$L$6="Y",'Import Question'!Z21,1.2)</f>
        <v>1.2</v>
      </c>
      <c r="AQ6" s="16">
        <f>IF(SIMULATEUR!$L$6="Y",'Import Question'!AA21,1.2)</f>
        <v>1.2</v>
      </c>
      <c r="AR6" s="16">
        <f>IF(SIMULATEUR!$L$6="Y",'Import Question'!AB21,1.2)</f>
        <v>1.2</v>
      </c>
      <c r="AS6" s="16">
        <f>IF(SIMULATEUR!$L$6="Y",'Import Question'!AC21,1.2)</f>
        <v>1.2</v>
      </c>
      <c r="AT6" s="16">
        <f>IF(SIMULATEUR!$L$6="Y",'Import Question'!AD21,1.2)</f>
        <v>1.2</v>
      </c>
      <c r="AU6" s="16">
        <f>IF(SIMULATEUR!$L$6="Y",'Import Question'!AE21,1.2)</f>
        <v>1.2</v>
      </c>
    </row>
    <row r="7" spans="1:47">
      <c r="A7" s="196">
        <f>'Import Question'!$F$6</f>
        <v>40</v>
      </c>
      <c r="B7" s="201" t="s">
        <v>39</v>
      </c>
      <c r="C7" s="5">
        <v>6.5546184602425797E-2</v>
      </c>
      <c r="D7" s="5">
        <f>-0.00279089539624784</f>
        <v>-2.7908953962478399E-3</v>
      </c>
      <c r="E7" s="5">
        <f>0.000030133820973974</f>
        <v>3.0133820973974001E-5</v>
      </c>
      <c r="F7" s="7">
        <v>1</v>
      </c>
      <c r="G7" s="7">
        <v>1</v>
      </c>
      <c r="H7" s="7">
        <v>1</v>
      </c>
      <c r="I7" s="7">
        <v>1</v>
      </c>
      <c r="J7" s="7">
        <v>1</v>
      </c>
      <c r="K7" s="7">
        <f>IF('Import Question'!$F$7="AF",H7,IF('Import Question'!$F$7="AS",calculRISKS!I7,1))</f>
        <v>1</v>
      </c>
      <c r="L7" s="112">
        <f>IF('Import Question'!H17="Y",0,1)</f>
        <v>1</v>
      </c>
      <c r="M7" s="7">
        <f>IF('Import Question'!H74="Y",0.8,1)</f>
        <v>1</v>
      </c>
      <c r="N7" s="4">
        <f>'Import Question'!M$150</f>
        <v>0.9</v>
      </c>
      <c r="O7" s="4">
        <f>'Import Question'!O25</f>
        <v>1.44</v>
      </c>
      <c r="P7" s="4">
        <v>1</v>
      </c>
      <c r="Q7" s="32">
        <f t="shared" si="1"/>
        <v>9.7687924357034439E-4</v>
      </c>
      <c r="R7" s="113">
        <f t="shared" si="2"/>
        <v>2.124482310870604E-3</v>
      </c>
      <c r="S7" s="113">
        <f>MAX((N7*O7*P7*R7),(IF(L7=0,1,0)))</f>
        <v>2.7533290748883027E-3</v>
      </c>
      <c r="T7" s="32">
        <f t="shared" si="0"/>
        <v>2.124482310870604E-3</v>
      </c>
      <c r="U7" s="32">
        <f t="shared" si="3"/>
        <v>2.124482310870604E-3</v>
      </c>
      <c r="V7" s="113">
        <f>MAX(($N7*$O7*$U7*$L7),S7)</f>
        <v>2.7533290748883027E-3</v>
      </c>
      <c r="W7" s="113">
        <f>IF(L7=0,1,($N7*$U7*AE10))</f>
        <v>3.9647938678391559E-3</v>
      </c>
      <c r="Y7" s="16" t="str">
        <f>'Import Question'!I22</f>
        <v>Alimentation</v>
      </c>
      <c r="Z7" s="16">
        <f>IF(SIMULATEUR!$L$7="Y",'Import Question'!J22,1.2)</f>
        <v>1.2</v>
      </c>
      <c r="AA7" s="16">
        <f>IF(SIMULATEUR!$L$7="Y",'Import Question'!K22,1.2)</f>
        <v>1.2</v>
      </c>
      <c r="AB7" s="16">
        <f>IF(SIMULATEUR!$L$7="Y",'Import Question'!L22,1.2)</f>
        <v>1.2</v>
      </c>
      <c r="AC7" s="16">
        <f>IF(SIMULATEUR!$L$7="Y",'Import Question'!M22,1.2)</f>
        <v>1.2</v>
      </c>
      <c r="AD7" s="16">
        <f>IF(SIMULATEUR!$L$7="Y",'Import Question'!N22,1.2)</f>
        <v>1.2</v>
      </c>
      <c r="AE7" s="16">
        <f>IF(SIMULATEUR!$L$7="Y",'Import Question'!O22,1.2)</f>
        <v>1.2</v>
      </c>
      <c r="AF7" s="16">
        <f>IF(SIMULATEUR!$L$7="Y",'Import Question'!P22,1.2)</f>
        <v>1.2</v>
      </c>
      <c r="AG7" s="16">
        <f>IF(SIMULATEUR!$L$7="Y",'Import Question'!Q22,1.2)</f>
        <v>1.2</v>
      </c>
      <c r="AH7" s="16">
        <f>IF(SIMULATEUR!$L$7="Y",'Import Question'!R22,1.2)</f>
        <v>1.2</v>
      </c>
      <c r="AI7" s="16">
        <f>IF(SIMULATEUR!$L$7="Y",'Import Question'!S22,1.2)</f>
        <v>1.2</v>
      </c>
      <c r="AJ7" s="16">
        <f>IF(SIMULATEUR!$L$7="Y",'Import Question'!T22,1.2)</f>
        <v>1.2</v>
      </c>
      <c r="AK7" s="16">
        <f>IF(SIMULATEUR!$L$7="Y",'Import Question'!U22,1.2)</f>
        <v>1.2</v>
      </c>
      <c r="AL7" s="16">
        <f>IF(SIMULATEUR!$L$7="Y",'Import Question'!V22,1.2)</f>
        <v>1.2</v>
      </c>
      <c r="AM7" s="16">
        <f>IF(SIMULATEUR!$L$7="Y",'Import Question'!W22,1.2)</f>
        <v>1.2</v>
      </c>
      <c r="AN7" s="16">
        <f>IF(SIMULATEUR!$L$7="Y",'Import Question'!X22,1.2)</f>
        <v>1.2</v>
      </c>
      <c r="AO7" s="16">
        <f>IF(SIMULATEUR!$L$7="Y",'Import Question'!Y22,1.2)</f>
        <v>1.2</v>
      </c>
      <c r="AP7" s="16">
        <f>IF(SIMULATEUR!$L$7="Y",'Import Question'!Z22,1.2)</f>
        <v>1.2</v>
      </c>
      <c r="AQ7" s="16">
        <f>IF(SIMULATEUR!$L$7="Y",'Import Question'!AA22,1.2)</f>
        <v>1.2</v>
      </c>
      <c r="AR7" s="16">
        <f>IF(SIMULATEUR!$L$7="Y",'Import Question'!AB22,1.2)</f>
        <v>1.2</v>
      </c>
      <c r="AS7" s="16">
        <f>IF(SIMULATEUR!$L$7="Y",'Import Question'!AC22,1.2)</f>
        <v>1.2</v>
      </c>
      <c r="AT7" s="16">
        <f>IF(SIMULATEUR!$L$7="Y",'Import Question'!AD22,1.2)</f>
        <v>1.2</v>
      </c>
      <c r="AU7" s="16">
        <f>IF(SIMULATEUR!$L$7="Y",'Import Question'!AE22,1.2)</f>
        <v>1.2</v>
      </c>
    </row>
    <row r="8" spans="1:47">
      <c r="A8" s="196">
        <f>'Import Question'!$F$6</f>
        <v>40</v>
      </c>
      <c r="B8" s="202" t="s">
        <v>80</v>
      </c>
      <c r="C8" s="5">
        <v>0.22885714285714301</v>
      </c>
      <c r="D8" s="5">
        <f>0.000428571428571423</f>
        <v>4.2857142857142302E-4</v>
      </c>
      <c r="E8" s="5">
        <v>-2.85714285714285E-5</v>
      </c>
      <c r="F8" s="7">
        <v>1</v>
      </c>
      <c r="G8" s="7">
        <v>0.8</v>
      </c>
      <c r="H8" s="7">
        <v>1</v>
      </c>
      <c r="I8" s="7">
        <v>1</v>
      </c>
      <c r="J8" s="7">
        <v>1</v>
      </c>
      <c r="K8" s="7">
        <f>IF('Import Question'!$F$7="AF",H8,IF('Import Question'!$F$7="AS",calculRISKS!I8,1))</f>
        <v>1</v>
      </c>
      <c r="L8" s="7">
        <v>1</v>
      </c>
      <c r="M8" s="7">
        <v>1</v>
      </c>
      <c r="N8" s="4">
        <v>1</v>
      </c>
      <c r="O8" s="4">
        <f>'Import Question'!P25</f>
        <v>1.44</v>
      </c>
      <c r="P8" s="29">
        <f xml:space="preserve"> 1+(2.73877-0.7)/(1+10^(3.76923-'Import Biologie'!H30))</f>
        <v>1.0081821759468743</v>
      </c>
      <c r="Q8" s="32">
        <f t="shared" si="1"/>
        <v>0.19028571428571434</v>
      </c>
      <c r="R8" s="113">
        <f t="shared" si="2"/>
        <v>0.20028571428571434</v>
      </c>
      <c r="S8" s="32">
        <f>N8*O8*P8*R8*L8</f>
        <v>0.29077126162508943</v>
      </c>
      <c r="T8" s="32">
        <f t="shared" ref="T8:T22" si="4">($C8+($D8*$A8)+(($E8*($A8*$A8))))*$J8*$K8</f>
        <v>0.20028571428571434</v>
      </c>
      <c r="U8" s="32">
        <f t="shared" si="3"/>
        <v>0.20028571428571434</v>
      </c>
      <c r="V8" s="113">
        <f>MAX(($N8*$O8*$U8*$L8*P8),S8)</f>
        <v>0.29077126162508943</v>
      </c>
      <c r="W8" s="32">
        <f>$N8*$U8*AF10</f>
        <v>0.41531245714285725</v>
      </c>
      <c r="Y8" s="16" t="str">
        <f>'Import Question'!I23</f>
        <v>Soleil</v>
      </c>
      <c r="Z8" s="16">
        <f>'Import Question'!J23</f>
        <v>1</v>
      </c>
      <c r="AA8" s="16">
        <f>'Import Question'!K23</f>
        <v>1</v>
      </c>
      <c r="AB8" s="16">
        <f>'Import Question'!L23</f>
        <v>1</v>
      </c>
      <c r="AC8" s="16">
        <f>'Import Question'!M23</f>
        <v>1</v>
      </c>
      <c r="AD8" s="16">
        <f>'Import Question'!N23</f>
        <v>1</v>
      </c>
      <c r="AE8" s="16">
        <f>'Import Question'!O23</f>
        <v>1</v>
      </c>
      <c r="AF8" s="16">
        <f>'Import Question'!P23</f>
        <v>1</v>
      </c>
      <c r="AG8" s="16">
        <f>'Import Question'!Q23</f>
        <v>1</v>
      </c>
      <c r="AH8" s="16">
        <f>'Import Question'!R23</f>
        <v>1</v>
      </c>
      <c r="AI8" s="16">
        <f>'Import Question'!S23</f>
        <v>1</v>
      </c>
      <c r="AJ8" s="16">
        <f>'Import Question'!T23</f>
        <v>1</v>
      </c>
      <c r="AK8" s="16">
        <f>'Import Question'!U23</f>
        <v>1</v>
      </c>
      <c r="AL8" s="16">
        <f>'Import Question'!V23</f>
        <v>1</v>
      </c>
      <c r="AM8" s="16">
        <f>'Import Question'!W23</f>
        <v>1</v>
      </c>
      <c r="AN8" s="16">
        <f>'Import Question'!X23</f>
        <v>1</v>
      </c>
      <c r="AO8" s="16">
        <f>'Import Question'!Y23</f>
        <v>1</v>
      </c>
      <c r="AP8" s="16">
        <f>'Import Question'!Z23</f>
        <v>1</v>
      </c>
      <c r="AQ8" s="26">
        <f>'Import Question'!AA23</f>
        <v>1</v>
      </c>
      <c r="AR8" s="26">
        <f>'Import Question'!AB23</f>
        <v>1.44</v>
      </c>
      <c r="AS8" s="26">
        <f>'Import Question'!AC23</f>
        <v>1</v>
      </c>
      <c r="AT8" s="26">
        <f>'Import Question'!AD23</f>
        <v>1</v>
      </c>
      <c r="AU8" s="26">
        <f>'Import Question'!AE23</f>
        <v>1</v>
      </c>
    </row>
    <row r="9" spans="1:47">
      <c r="A9" s="196">
        <f>'Import Question'!$F$6</f>
        <v>40</v>
      </c>
      <c r="B9" s="16" t="s">
        <v>41</v>
      </c>
      <c r="C9" s="5">
        <f>-0.06</f>
        <v>-0.06</v>
      </c>
      <c r="D9" s="5">
        <f>0.002</f>
        <v>2E-3</v>
      </c>
      <c r="E9" s="5"/>
      <c r="F9" s="7">
        <v>1</v>
      </c>
      <c r="G9" s="7">
        <v>2</v>
      </c>
      <c r="H9" s="7">
        <v>1</v>
      </c>
      <c r="I9" s="7">
        <v>1</v>
      </c>
      <c r="J9" s="7">
        <v>1</v>
      </c>
      <c r="K9" s="7">
        <f>IF('Import Question'!$F$7="AF",H9,IF('Import Question'!$F$7="AS",calculRISKS!I9,1))</f>
        <v>1</v>
      </c>
      <c r="L9" s="7">
        <v>1</v>
      </c>
      <c r="M9" s="7">
        <v>1</v>
      </c>
      <c r="N9" s="4">
        <v>1</v>
      </c>
      <c r="O9" s="4">
        <v>1</v>
      </c>
      <c r="P9" s="112">
        <f>IF('Import Biologie'!H28&gt;10,2,(IF('Import Biologie'!H28=0,1,0)))</f>
        <v>0</v>
      </c>
      <c r="Q9" s="32">
        <f t="shared" si="1"/>
        <v>0.03</v>
      </c>
      <c r="R9" s="113">
        <f t="shared" si="2"/>
        <v>2.0000000000000004E-2</v>
      </c>
      <c r="S9" s="32">
        <f>N9*O9*P9*R9*L9</f>
        <v>0</v>
      </c>
      <c r="T9" s="32">
        <f t="shared" si="4"/>
        <v>2.0000000000000004E-2</v>
      </c>
      <c r="U9" s="32">
        <f t="shared" si="3"/>
        <v>0.03</v>
      </c>
      <c r="V9" s="113">
        <f>(MAX(($N9*$O9*$U9*$L9),S9))</f>
        <v>0.03</v>
      </c>
      <c r="W9" s="32">
        <f>$N9*$U9*AG10</f>
        <v>4.3199999999999995E-2</v>
      </c>
      <c r="Y9" s="16" t="str">
        <f>'Import Question'!I24</f>
        <v>Autres</v>
      </c>
      <c r="Z9" s="16">
        <f>'Import Question'!J24</f>
        <v>1</v>
      </c>
      <c r="AA9" s="16">
        <f>'Import Question'!K24</f>
        <v>1</v>
      </c>
      <c r="AB9" s="16">
        <f>'Import Question'!L24</f>
        <v>1</v>
      </c>
      <c r="AC9" s="16">
        <f>'Import Question'!M24</f>
        <v>1</v>
      </c>
      <c r="AD9" s="16">
        <f>IF(SIMULATEUR!L8="Y",0.8,'Import Question'!N24)</f>
        <v>1</v>
      </c>
      <c r="AE9" s="16">
        <f>'Import Question'!O24</f>
        <v>1</v>
      </c>
      <c r="AF9" s="16">
        <f>'Import Question'!P24</f>
        <v>1</v>
      </c>
      <c r="AG9" s="16">
        <f>'Import Question'!Q24</f>
        <v>1</v>
      </c>
      <c r="AH9" s="16">
        <f>'Import Question'!R24</f>
        <v>1</v>
      </c>
      <c r="AI9" s="16">
        <f>'Import Question'!S24</f>
        <v>1</v>
      </c>
      <c r="AJ9" s="16">
        <f>'Import Question'!T24</f>
        <v>1</v>
      </c>
      <c r="AK9" s="16">
        <f>'Import Question'!U24</f>
        <v>1</v>
      </c>
      <c r="AL9" s="16">
        <f>'Import Question'!V24</f>
        <v>1</v>
      </c>
      <c r="AM9" s="16">
        <f>'Import Question'!W24</f>
        <v>1.2</v>
      </c>
      <c r="AN9" s="16">
        <f>'Import Question'!X24</f>
        <v>1.2</v>
      </c>
      <c r="AO9" s="16">
        <f>'Import Question'!Y24</f>
        <v>1</v>
      </c>
      <c r="AP9" s="16">
        <f>'Import Question'!Z24</f>
        <v>1</v>
      </c>
      <c r="AQ9" s="26">
        <f>'Import Question'!AA24</f>
        <v>1</v>
      </c>
      <c r="AR9" s="26">
        <f>'Import Question'!AB24</f>
        <v>1</v>
      </c>
      <c r="AS9" s="26">
        <f>'Import Question'!AC24</f>
        <v>1</v>
      </c>
      <c r="AT9" s="26">
        <f>'Import Question'!AD24</f>
        <v>1</v>
      </c>
      <c r="AU9" s="26">
        <f>'Import Question'!AE24</f>
        <v>1</v>
      </c>
    </row>
    <row r="10" spans="1:47">
      <c r="A10" s="196">
        <f>'Import Question'!$F$6</f>
        <v>40</v>
      </c>
      <c r="B10" s="202" t="s">
        <v>42</v>
      </c>
      <c r="C10" s="6">
        <v>-0.4</v>
      </c>
      <c r="D10" s="6">
        <v>0.01</v>
      </c>
      <c r="E10" s="6"/>
      <c r="F10" s="7">
        <v>1</v>
      </c>
      <c r="G10" s="7">
        <v>0.8</v>
      </c>
      <c r="H10" s="7">
        <v>1</v>
      </c>
      <c r="I10" s="7">
        <v>1</v>
      </c>
      <c r="J10" s="7">
        <v>1</v>
      </c>
      <c r="K10" s="7">
        <f>IF('Import Question'!$F$7="AF",H10,IF('Import Question'!$F$7="AS",calculRISKS!I10,1))</f>
        <v>1</v>
      </c>
      <c r="L10" s="112">
        <f>IF('Import Question'!F98="Y",0,1)</f>
        <v>1</v>
      </c>
      <c r="M10" s="7">
        <v>1</v>
      </c>
      <c r="N10" s="4">
        <f>'Import Question'!N$150</f>
        <v>1.2</v>
      </c>
      <c r="O10" s="12">
        <f>'Import Question'!R25</f>
        <v>1.2</v>
      </c>
      <c r="P10" s="12">
        <f>'Import Biologie'!H33</f>
        <v>0</v>
      </c>
      <c r="Q10" s="32">
        <f t="shared" si="1"/>
        <v>4.9999999999999989E-2</v>
      </c>
      <c r="R10" s="113">
        <f t="shared" si="2"/>
        <v>0</v>
      </c>
      <c r="S10" s="113">
        <f>MAX((N10*O10*P10*R10),IF(L10=0,1,0))</f>
        <v>0</v>
      </c>
      <c r="T10" s="32">
        <f t="shared" si="4"/>
        <v>0</v>
      </c>
      <c r="U10" s="32">
        <f t="shared" si="3"/>
        <v>4.9999999999999989E-2</v>
      </c>
      <c r="V10" s="113">
        <f>MAX(($N10*$O10*$U10*$L10),S10)</f>
        <v>7.1999999999999981E-2</v>
      </c>
      <c r="W10" s="113">
        <f>IF(L10=0,1,($N10*$U10*AH10))</f>
        <v>0.10367999999999997</v>
      </c>
      <c r="Y10" s="37" t="str">
        <f>'Import Question'!I25</f>
        <v>MAX</v>
      </c>
      <c r="Z10" s="37">
        <f>Z3*Z4*Z5*Z6*Z7*Z8*Z9</f>
        <v>1.728</v>
      </c>
      <c r="AA10" s="37">
        <f t="shared" ref="AA10:AT10" si="5">AA3*AA4*AA5*AA6*AA7*AA8*AA9</f>
        <v>1.728</v>
      </c>
      <c r="AB10" s="37">
        <f t="shared" si="5"/>
        <v>2.0735999999999999</v>
      </c>
      <c r="AC10" s="37">
        <f t="shared" si="5"/>
        <v>1.728</v>
      </c>
      <c r="AD10" s="37">
        <f t="shared" si="5"/>
        <v>1.3823999999999999</v>
      </c>
      <c r="AE10" s="37">
        <f t="shared" si="5"/>
        <v>2.0735999999999999</v>
      </c>
      <c r="AF10" s="37">
        <f t="shared" si="5"/>
        <v>2.0735999999999999</v>
      </c>
      <c r="AG10" s="37">
        <f t="shared" si="5"/>
        <v>1.44</v>
      </c>
      <c r="AH10" s="37">
        <f t="shared" si="5"/>
        <v>1.728</v>
      </c>
      <c r="AI10" s="37">
        <f t="shared" si="5"/>
        <v>3.5999999999999996</v>
      </c>
      <c r="AJ10" s="37">
        <f t="shared" si="5"/>
        <v>3.5999999999999996</v>
      </c>
      <c r="AK10" s="37">
        <f t="shared" si="5"/>
        <v>1.728</v>
      </c>
      <c r="AL10" s="37">
        <f t="shared" si="5"/>
        <v>2.0735999999999999</v>
      </c>
      <c r="AM10" s="37">
        <f t="shared" si="5"/>
        <v>2.4883199999999999</v>
      </c>
      <c r="AN10" s="37">
        <f t="shared" si="5"/>
        <v>5.1839999999999993</v>
      </c>
      <c r="AO10" s="37">
        <f t="shared" si="5"/>
        <v>28.799999999999997</v>
      </c>
      <c r="AP10" s="37">
        <f t="shared" si="5"/>
        <v>36</v>
      </c>
      <c r="AQ10" s="37">
        <f t="shared" si="5"/>
        <v>1.728</v>
      </c>
      <c r="AR10" s="37">
        <f t="shared" si="5"/>
        <v>2.0735999999999999</v>
      </c>
      <c r="AS10" s="37">
        <f t="shared" si="5"/>
        <v>1.728</v>
      </c>
      <c r="AT10" s="37">
        <f t="shared" si="5"/>
        <v>2.0735999999999999</v>
      </c>
      <c r="AU10" s="37">
        <f t="shared" ref="AU10" si="6">AU3*AU4*AU5*AU6*AU7*AU8*AU9</f>
        <v>28.799999999999997</v>
      </c>
    </row>
    <row r="11" spans="1:47">
      <c r="A11" s="196">
        <f>'Import Question'!$F$6</f>
        <v>40</v>
      </c>
      <c r="B11" s="16" t="s">
        <v>43</v>
      </c>
      <c r="C11" s="6">
        <v>-3.6142857142856602E-2</v>
      </c>
      <c r="D11" s="6">
        <f>0.00117857142857141</f>
        <v>1.1785714285714099E-3</v>
      </c>
      <c r="E11" s="6">
        <f>-3.57142857142841E-06</f>
        <v>-3.57142857142841E-6</v>
      </c>
      <c r="F11" s="7">
        <v>1</v>
      </c>
      <c r="G11" s="7">
        <v>0.94</v>
      </c>
      <c r="H11" s="7">
        <v>1.3</v>
      </c>
      <c r="I11" s="7">
        <v>1</v>
      </c>
      <c r="J11" s="7">
        <v>1</v>
      </c>
      <c r="K11" s="7">
        <f>IF('Import Question'!$F$7="AF",H11,IF('Import Question'!$F$7="AS",calculRISKS!I11,1))</f>
        <v>1</v>
      </c>
      <c r="L11" s="112">
        <f>IF('Import Question'!F95="Y",0,1)</f>
        <v>1</v>
      </c>
      <c r="M11" s="7">
        <v>1</v>
      </c>
      <c r="N11" s="4">
        <f>'Import Question'!O$150</f>
        <v>0.9</v>
      </c>
      <c r="O11" s="4">
        <f>'Import Question'!S25</f>
        <v>2.5</v>
      </c>
      <c r="P11" s="12">
        <f>'Import Biologie'!H34</f>
        <v>0</v>
      </c>
      <c r="Q11" s="32">
        <f t="shared" si="1"/>
        <v>9.6607142857143107E-3</v>
      </c>
      <c r="R11" s="113">
        <f t="shared" si="2"/>
        <v>5.2857142857143389E-3</v>
      </c>
      <c r="S11" s="113">
        <f>MAX((N11*O11*P11*R11),(IF(L11=0,1,0)))</f>
        <v>0</v>
      </c>
      <c r="T11" s="32">
        <f t="shared" si="4"/>
        <v>5.2857142857143389E-3</v>
      </c>
      <c r="U11" s="32">
        <f t="shared" si="3"/>
        <v>9.6607142857143107E-3</v>
      </c>
      <c r="V11" s="113">
        <f>MAX(($N11*$O11*$U11*$L11),S11)</f>
        <v>2.17366071428572E-2</v>
      </c>
      <c r="W11" s="113">
        <f>IF($L11=0,1,($N11*$U11*AI10))</f>
        <v>3.1300714285714362E-2</v>
      </c>
    </row>
    <row r="12" spans="1:47">
      <c r="A12" s="196">
        <f>'Import Question'!$F$6</f>
        <v>40</v>
      </c>
      <c r="B12" s="16" t="s">
        <v>44</v>
      </c>
      <c r="C12" s="6">
        <v>-7.0714285714284397E-2</v>
      </c>
      <c r="D12" s="6">
        <f>0.0048928571428571</f>
        <v>4.8928571428570999E-3</v>
      </c>
      <c r="E12" s="6">
        <f>-0.0000178571428571425</f>
        <v>-1.7857142857142499E-5</v>
      </c>
      <c r="F12" s="7">
        <v>1</v>
      </c>
      <c r="G12" s="7">
        <v>1</v>
      </c>
      <c r="H12" s="7">
        <v>1.5</v>
      </c>
      <c r="I12" s="7">
        <v>1</v>
      </c>
      <c r="J12" s="7">
        <v>1</v>
      </c>
      <c r="K12" s="7">
        <f>IF('Import Question'!$F$7="AF",H12,IF('Import Question'!$F$7="AS",calculRISKS!I12,1))</f>
        <v>1</v>
      </c>
      <c r="L12" s="4">
        <v>1</v>
      </c>
      <c r="M12" s="7">
        <v>1</v>
      </c>
      <c r="N12" s="4">
        <v>1</v>
      </c>
      <c r="O12" s="4">
        <f>'Import Question'!T25</f>
        <v>2.5</v>
      </c>
      <c r="P12" s="12">
        <f>IF('Import Biologie'!H38&lt;3,0.5,(IF('Import Biologie'!H38&gt;4,2,1.5)))</f>
        <v>2</v>
      </c>
      <c r="Q12" s="32">
        <f t="shared" si="1"/>
        <v>0.11330357142857155</v>
      </c>
      <c r="R12" s="113">
        <f t="shared" si="2"/>
        <v>9.6428571428571613E-2</v>
      </c>
      <c r="S12" s="32">
        <f t="shared" ref="S12" si="7">N12*O12*P12*R12*L12</f>
        <v>0.48214285714285809</v>
      </c>
      <c r="T12" s="32">
        <f t="shared" si="4"/>
        <v>9.6428571428571613E-2</v>
      </c>
      <c r="U12" s="32">
        <f t="shared" si="3"/>
        <v>0.11330357142857155</v>
      </c>
      <c r="V12" s="113">
        <f>MAX(($N12*$O12*$U12*$L12*P12),S12)</f>
        <v>0.56651785714285774</v>
      </c>
      <c r="W12" s="32">
        <f>MIN($N12*$U12*P12*AJ10,V12)</f>
        <v>0.56651785714285774</v>
      </c>
    </row>
    <row r="13" spans="1:47">
      <c r="A13" s="196">
        <f>'Import Question'!$F$6</f>
        <v>40</v>
      </c>
      <c r="B13" s="16" t="s">
        <v>45</v>
      </c>
      <c r="C13" s="5">
        <v>0.02</v>
      </c>
      <c r="D13" s="5"/>
      <c r="E13" s="5"/>
      <c r="F13" s="7">
        <v>1</v>
      </c>
      <c r="G13" s="7">
        <v>1.2</v>
      </c>
      <c r="H13" s="7">
        <v>1</v>
      </c>
      <c r="I13" s="7">
        <v>1</v>
      </c>
      <c r="J13" s="7">
        <v>1</v>
      </c>
      <c r="K13" s="7">
        <f>IF('Import Question'!$F$7="AF",H13,IF('Import Question'!$F$7="AS",calculRISKS!I13,1))</f>
        <v>1</v>
      </c>
      <c r="L13" s="112">
        <f>IF('Import Question'!H47="Y",0,1)</f>
        <v>1</v>
      </c>
      <c r="M13" s="7">
        <v>1</v>
      </c>
      <c r="N13" s="4">
        <f>'Import Question'!P$150</f>
        <v>0.9</v>
      </c>
      <c r="O13" s="4">
        <f>'Import Question'!U25</f>
        <v>1.2</v>
      </c>
      <c r="P13" s="4">
        <f>IF('Import Question'!H53="N",1,1.2)</f>
        <v>1</v>
      </c>
      <c r="Q13" s="32">
        <f t="shared" si="1"/>
        <v>0.02</v>
      </c>
      <c r="R13" s="113">
        <f t="shared" si="2"/>
        <v>0.02</v>
      </c>
      <c r="S13" s="113">
        <f>MAX((N13*O13*P13*R13),(IF(L13=0,1,0)))</f>
        <v>2.1600000000000001E-2</v>
      </c>
      <c r="T13" s="32">
        <f t="shared" si="4"/>
        <v>0.02</v>
      </c>
      <c r="U13" s="32">
        <f t="shared" si="3"/>
        <v>0.02</v>
      </c>
      <c r="V13" s="113">
        <f>MAX(($N13*$O13*$U13*$L13),S13)</f>
        <v>2.1600000000000001E-2</v>
      </c>
      <c r="W13" s="113">
        <f>IF(L13=0,1,($N13*$U13*AK10))</f>
        <v>3.1104000000000003E-2</v>
      </c>
    </row>
    <row r="14" spans="1:47">
      <c r="A14" s="196">
        <f>'Import Question'!$F$6</f>
        <v>40</v>
      </c>
      <c r="B14" s="16" t="s">
        <v>46</v>
      </c>
      <c r="C14" s="5">
        <v>0.04</v>
      </c>
      <c r="D14" s="5"/>
      <c r="E14" s="5"/>
      <c r="F14" s="7">
        <v>1</v>
      </c>
      <c r="G14" s="7">
        <v>0.4</v>
      </c>
      <c r="H14" s="7">
        <v>0.3</v>
      </c>
      <c r="I14" s="7">
        <v>0.3</v>
      </c>
      <c r="J14" s="7">
        <v>1</v>
      </c>
      <c r="K14" s="7">
        <f>IF('Import Question'!$F$7="AF",H14,IF('Import Question'!$F$7="AS",calculRISKS!I14,1))</f>
        <v>1</v>
      </c>
      <c r="L14" s="112">
        <f>IF('Import Question'!H35="Y",0,1)</f>
        <v>1</v>
      </c>
      <c r="M14" s="7">
        <v>1</v>
      </c>
      <c r="N14" s="4">
        <f>'Import Question'!Q$150</f>
        <v>1.2</v>
      </c>
      <c r="O14" s="4">
        <f>'Import Question'!V25</f>
        <v>1.44</v>
      </c>
      <c r="P14" s="4">
        <v>1</v>
      </c>
      <c r="Q14" s="32">
        <f t="shared" si="1"/>
        <v>0.04</v>
      </c>
      <c r="R14" s="113">
        <f t="shared" si="2"/>
        <v>0.04</v>
      </c>
      <c r="S14" s="113">
        <f>MAX((N14*O14*P14*R14),(IF(L14=0,1,0)))</f>
        <v>6.9120000000000001E-2</v>
      </c>
      <c r="T14" s="32">
        <f t="shared" si="4"/>
        <v>0.04</v>
      </c>
      <c r="U14" s="32">
        <f t="shared" si="3"/>
        <v>0.04</v>
      </c>
      <c r="V14" s="113">
        <f>(MAX(($N14*$O14*$U14*$L14),S14))</f>
        <v>6.9120000000000001E-2</v>
      </c>
      <c r="W14" s="113">
        <f>IF(L14=0,1,($N14*$U14*AL10))</f>
        <v>9.9532799999999991E-2</v>
      </c>
    </row>
    <row r="15" spans="1:47">
      <c r="A15" s="196">
        <f>'Import Question'!$F$6</f>
        <v>40</v>
      </c>
      <c r="B15" s="16" t="s">
        <v>47</v>
      </c>
      <c r="C15" s="5">
        <v>9.4515746493517599E-2</v>
      </c>
      <c r="D15" s="5">
        <v>-4.6575542823482597E-3</v>
      </c>
      <c r="E15" s="5">
        <v>6.4542448496534202E-5</v>
      </c>
      <c r="F15" s="7">
        <v>1</v>
      </c>
      <c r="G15" s="7">
        <v>0.95</v>
      </c>
      <c r="H15" s="7">
        <v>1</v>
      </c>
      <c r="I15" s="7">
        <v>1</v>
      </c>
      <c r="J15" s="7">
        <v>1</v>
      </c>
      <c r="K15" s="7">
        <f>IF('Import Question'!$F$7="AF",H15,IF('Import Question'!$F$7="AS",calculRISKS!I15,1))</f>
        <v>1</v>
      </c>
      <c r="L15" s="112">
        <f>IF('Import Question'!H41="Y",0,1)</f>
        <v>1</v>
      </c>
      <c r="M15" s="7">
        <v>1</v>
      </c>
      <c r="N15" s="4">
        <f>'Import Question'!R$150</f>
        <v>1.2</v>
      </c>
      <c r="O15" s="4">
        <f>'Import Question'!W25</f>
        <v>1.728</v>
      </c>
      <c r="P15" s="4">
        <f>P16/3</f>
        <v>1.9277396666666665E-2</v>
      </c>
      <c r="Q15" s="32">
        <f t="shared" si="1"/>
        <v>1.5624261993327671E-2</v>
      </c>
      <c r="R15" s="113">
        <f t="shared" si="2"/>
        <v>1.1481492794041925E-2</v>
      </c>
      <c r="S15" s="113">
        <f>MAX((S16/3),(IF(L15=0,1,0)))</f>
        <v>2.3132875999999997E-2</v>
      </c>
      <c r="T15" s="32">
        <f t="shared" si="4"/>
        <v>1.1481492794041925E-2</v>
      </c>
      <c r="U15" s="32">
        <f t="shared" si="3"/>
        <v>1.5624261993327671E-2</v>
      </c>
      <c r="V15" s="113">
        <f>MAX(($V16/3),S15)</f>
        <v>3.2174875999999998E-2</v>
      </c>
      <c r="W15" s="113">
        <f>IF(L15=0,1,($V16/3))</f>
        <v>3.2174875999999998E-2</v>
      </c>
    </row>
    <row r="16" spans="1:47">
      <c r="A16" s="196">
        <f>'Import Question'!$F$6</f>
        <v>40</v>
      </c>
      <c r="B16" s="16" t="s">
        <v>48</v>
      </c>
      <c r="C16" s="5"/>
      <c r="D16" s="5"/>
      <c r="E16" s="5"/>
      <c r="F16" s="7">
        <v>1</v>
      </c>
      <c r="G16" s="7">
        <v>0.5</v>
      </c>
      <c r="H16" s="7">
        <v>1</v>
      </c>
      <c r="I16" s="7">
        <v>1</v>
      </c>
      <c r="J16" s="7">
        <v>1</v>
      </c>
      <c r="K16" s="7">
        <f>IF('Import Question'!$F$7="AF",H16,IF('Import Question'!$F$7="AS",calculRISKS!I16,1))</f>
        <v>1</v>
      </c>
      <c r="L16" s="112">
        <f>IF('Import Question'!H41="Y",0,1)</f>
        <v>1</v>
      </c>
      <c r="M16" s="7">
        <f>IF('Import Question'!H71="Y",0.8,1)</f>
        <v>1</v>
      </c>
      <c r="N16" s="4">
        <f>MAX('Import Question'!S$150,IF('Import Biologie'!H10&gt;0.3,1.2,1))</f>
        <v>1.2</v>
      </c>
      <c r="O16" s="4">
        <f>'Import Question'!X25</f>
        <v>3.5999999999999996</v>
      </c>
      <c r="P16" s="4">
        <f>'Import Biologie'!H31</f>
        <v>5.7832189999999999E-2</v>
      </c>
      <c r="Q16" s="32">
        <f>(($C16+($D16*($A16+5))+(($E16*(($A16+5)^2))))*$J16*$K16)+$R16</f>
        <v>1.78787878787878E-2</v>
      </c>
      <c r="R16" s="113">
        <f>IF(T16&lt;0,0.01,T16)</f>
        <v>1.78787878787878E-2</v>
      </c>
      <c r="S16" s="113">
        <f>MAX((P16*N16),(IF(L16=0,1,0)))</f>
        <v>6.939862799999999E-2</v>
      </c>
      <c r="T16" s="32">
        <f xml:space="preserve"> (-0.154969696969697+0.00432121212121212*$A16)*$J16*$K16</f>
        <v>1.78787878787878E-2</v>
      </c>
      <c r="U16" s="32">
        <f>MAX(IF(Q16&lt;0,0.01,Q16),R16)</f>
        <v>1.78787878787878E-2</v>
      </c>
      <c r="V16" s="113">
        <f>MAX(('Import Biologie'!J31*N16),S16)</f>
        <v>9.6524627999999987E-2</v>
      </c>
      <c r="W16" s="113">
        <f>IF(L16=0,1,(V16*AN10))</f>
        <v>0.50038367155199981</v>
      </c>
    </row>
    <row r="17" spans="1:23">
      <c r="A17" s="196">
        <f>'Import Question'!$F$6</f>
        <v>40</v>
      </c>
      <c r="B17" s="201" t="s">
        <v>49</v>
      </c>
      <c r="C17" s="5">
        <v>9.1456090629207995E-2</v>
      </c>
      <c r="D17" s="5">
        <f>-0.00368968864614031</f>
        <v>-3.6896886461403101E-3</v>
      </c>
      <c r="E17" s="5">
        <f>0.0000367445520814403</f>
        <v>3.6744552081440303E-5</v>
      </c>
      <c r="F17" s="7">
        <v>1</v>
      </c>
      <c r="G17" s="7">
        <v>0.68</v>
      </c>
      <c r="H17" s="7">
        <v>1</v>
      </c>
      <c r="I17" s="7">
        <v>1</v>
      </c>
      <c r="J17" s="7">
        <v>1</v>
      </c>
      <c r="K17" s="7">
        <f>IF('Import Question'!$F$7="AF",H17,IF('Import Question'!$F$7="AS",calculRISKS!I17,1))</f>
        <v>1</v>
      </c>
      <c r="L17" s="112">
        <f>IF('Import Question'!H23="Y",0,1)</f>
        <v>1</v>
      </c>
      <c r="M17" s="7">
        <f>IF('Import Question'!H59="Y",0.8,1)</f>
        <v>1</v>
      </c>
      <c r="N17" s="4">
        <v>1</v>
      </c>
      <c r="O17" s="4">
        <f>'Import Question'!Y25</f>
        <v>20</v>
      </c>
      <c r="P17" s="4">
        <v>1</v>
      </c>
      <c r="Q17" s="32">
        <f t="shared" si="1"/>
        <v>-1.7218048218933801E-4</v>
      </c>
      <c r="R17" s="113">
        <f t="shared" si="2"/>
        <v>2.6598281139000798E-3</v>
      </c>
      <c r="S17" s="113">
        <f>(MAX((N17*O17*P17*R17),(IF(L17=0,1,0))))/10</f>
        <v>5.3196562278001597E-3</v>
      </c>
      <c r="T17" s="32">
        <f t="shared" si="4"/>
        <v>2.6598281139000798E-3</v>
      </c>
      <c r="U17" s="32">
        <f t="shared" si="3"/>
        <v>2.6598281139000798E-3</v>
      </c>
      <c r="V17" s="113">
        <f>(MAX(($N17*$O17*$U17*$L17),S17))/10</f>
        <v>5.3196562278001597E-3</v>
      </c>
      <c r="W17" s="113">
        <f>(IF(L17=0,1,($N17*$U17*AO10)))/10</f>
        <v>7.6603049680322288E-3</v>
      </c>
    </row>
    <row r="18" spans="1:23">
      <c r="A18" s="196">
        <f>'Import Question'!$F$6</f>
        <v>40</v>
      </c>
      <c r="B18" s="201" t="s">
        <v>50</v>
      </c>
      <c r="C18" s="5">
        <v>-2.7423955339312398E-3</v>
      </c>
      <c r="D18" s="5">
        <f>-0.000200376142790573</f>
        <v>-2.0037614279057301E-4</v>
      </c>
      <c r="E18" s="5">
        <f>7.72972860283012E-06</f>
        <v>7.7297286028301195E-6</v>
      </c>
      <c r="F18" s="7">
        <v>1</v>
      </c>
      <c r="G18" s="7">
        <v>0.27</v>
      </c>
      <c r="H18" s="7">
        <v>1</v>
      </c>
      <c r="I18" s="7">
        <v>1</v>
      </c>
      <c r="J18" s="7">
        <v>1</v>
      </c>
      <c r="K18" s="7">
        <f>IF('Import Question'!$F$7="AF",H18,IF('Import Question'!$F$7="AS",calculRISKS!I18,1))</f>
        <v>1</v>
      </c>
      <c r="L18" s="112">
        <f>IF('Import Question'!H29="Y",0,1)</f>
        <v>1</v>
      </c>
      <c r="M18" s="7">
        <v>1</v>
      </c>
      <c r="N18" s="4">
        <v>1</v>
      </c>
      <c r="O18" s="4">
        <f>'Import Question'!Z25</f>
        <v>25</v>
      </c>
      <c r="P18" s="4">
        <v>1</v>
      </c>
      <c r="Q18" s="32">
        <f t="shared" si="1"/>
        <v>3.8933784612239664E-3</v>
      </c>
      <c r="R18" s="113">
        <f t="shared" si="2"/>
        <v>1.6101245189740314E-3</v>
      </c>
      <c r="S18" s="113">
        <f>(MAX((N18*O18*P18*R18),(IF(L18=0,1,0))))/10</f>
        <v>4.0253112974350785E-3</v>
      </c>
      <c r="T18" s="32">
        <f t="shared" si="4"/>
        <v>1.6101245189740314E-3</v>
      </c>
      <c r="U18" s="32">
        <f t="shared" si="3"/>
        <v>3.8933784612239664E-3</v>
      </c>
      <c r="V18" s="113">
        <f>(MAX(($N18*$O18*$P18*$U18*$L18),S18))/10</f>
        <v>9.7334461530599152E-3</v>
      </c>
      <c r="W18" s="113">
        <f>IF(L18=0,1,($N18*$P18*$U18*AP10))</f>
        <v>0.14016162460406278</v>
      </c>
    </row>
    <row r="19" spans="1:23">
      <c r="A19" s="196">
        <f>'Import Question'!$F$6</f>
        <v>40</v>
      </c>
      <c r="B19" s="16" t="s">
        <v>51</v>
      </c>
      <c r="C19" s="5">
        <v>0.06</v>
      </c>
      <c r="D19" s="5"/>
      <c r="E19" s="5"/>
      <c r="F19" s="13">
        <v>1</v>
      </c>
      <c r="G19" s="7">
        <v>1.1000000000000001</v>
      </c>
      <c r="H19" s="7">
        <v>1</v>
      </c>
      <c r="I19" s="7">
        <v>1</v>
      </c>
      <c r="J19" s="7">
        <v>1</v>
      </c>
      <c r="K19" s="7">
        <f>IF('Import Question'!$F$7="AF",H19,IF('Import Question'!$F$7="AS",calculRISKS!I19,1))</f>
        <v>1</v>
      </c>
      <c r="L19" s="7">
        <f>IF('Import Question'!H50="Y",0,1)</f>
        <v>1</v>
      </c>
      <c r="M19" s="7">
        <v>1</v>
      </c>
      <c r="N19" s="4">
        <f>'Import Question'!T$150</f>
        <v>1.2</v>
      </c>
      <c r="O19" s="4">
        <f>'Import Question'!AA25</f>
        <v>1.2</v>
      </c>
      <c r="P19" s="4">
        <v>1</v>
      </c>
      <c r="Q19" s="32">
        <f t="shared" si="1"/>
        <v>0.06</v>
      </c>
      <c r="R19" s="113">
        <f t="shared" si="2"/>
        <v>0.06</v>
      </c>
      <c r="S19" s="32">
        <f t="shared" ref="S19:S21" si="8">MAX((N19*O19*P19*R19),(IF(L19=0,1,0)))</f>
        <v>8.6399999999999991E-2</v>
      </c>
      <c r="T19" s="32">
        <f t="shared" si="4"/>
        <v>0.06</v>
      </c>
      <c r="U19" s="32">
        <f t="shared" si="3"/>
        <v>0.06</v>
      </c>
      <c r="V19" s="113">
        <f>MAX(($N19*$O19*$U19*$L19),S19)</f>
        <v>8.6399999999999991E-2</v>
      </c>
      <c r="W19" s="113">
        <f>IF(L19=0,1,($N19*$U19*AQ10))</f>
        <v>0.12441599999999998</v>
      </c>
    </row>
    <row r="20" spans="1:23">
      <c r="A20" s="196">
        <f>'Import Question'!$F$6</f>
        <v>40</v>
      </c>
      <c r="B20" s="201" t="s">
        <v>52</v>
      </c>
      <c r="C20" s="5">
        <v>1.6220396466750199E-2</v>
      </c>
      <c r="D20" s="5">
        <f>-0.000493949673365258</f>
        <v>-4.9394967336525801E-4</v>
      </c>
      <c r="E20" s="5">
        <f>4.35923721975401E-06</f>
        <v>4.3592372197540102E-6</v>
      </c>
      <c r="F20" s="7">
        <v>1</v>
      </c>
      <c r="G20" s="7">
        <v>1</v>
      </c>
      <c r="H20" s="7">
        <v>1</v>
      </c>
      <c r="I20" s="7">
        <v>1</v>
      </c>
      <c r="J20" s="7">
        <v>1</v>
      </c>
      <c r="K20" s="7">
        <f>IF('Import Question'!$F$7="AF",H20,IF('Import Question'!$F$7="AS",calculRISKS!I20,1))</f>
        <v>1</v>
      </c>
      <c r="L20" s="112">
        <f>IF('Import Question'!H20="Y",0,1)</f>
        <v>1</v>
      </c>
      <c r="M20" s="7">
        <v>1</v>
      </c>
      <c r="N20" s="4">
        <f>'Import Question'!U$150</f>
        <v>0.9</v>
      </c>
      <c r="O20" s="4">
        <f>'Import Question'!AB25</f>
        <v>1.44</v>
      </c>
      <c r="P20" s="4">
        <v>1</v>
      </c>
      <c r="Q20" s="32">
        <f t="shared" si="1"/>
        <v>2.8201165353154596E-3</v>
      </c>
      <c r="R20" s="113">
        <f t="shared" si="2"/>
        <v>3.437189083746294E-3</v>
      </c>
      <c r="S20" s="113">
        <f t="shared" si="8"/>
        <v>4.4545970525351969E-3</v>
      </c>
      <c r="T20" s="32">
        <f t="shared" si="4"/>
        <v>3.437189083746294E-3</v>
      </c>
      <c r="U20" s="32">
        <f t="shared" si="3"/>
        <v>3.437189083746294E-3</v>
      </c>
      <c r="V20" s="113">
        <f>MAX(($N20*$O20*$U20*$L20),S20)</f>
        <v>4.4545970525351969E-3</v>
      </c>
      <c r="W20" s="113">
        <f>IF(L20=0,1,($N20*$U20*AR10))</f>
        <v>6.4146197556506834E-3</v>
      </c>
    </row>
    <row r="21" spans="1:23">
      <c r="A21" s="196">
        <f>'Import Question'!$F$6</f>
        <v>40</v>
      </c>
      <c r="B21" s="201" t="s">
        <v>53</v>
      </c>
      <c r="C21" s="5">
        <v>4.50002597402595E-2</v>
      </c>
      <c r="D21" s="5">
        <f>-0.00273747186147185</f>
        <v>-2.73747186147185E-3</v>
      </c>
      <c r="E21" s="5">
        <v>4.1290043290043201E-5</v>
      </c>
      <c r="F21" s="7">
        <v>0.01</v>
      </c>
      <c r="G21" s="7">
        <v>1</v>
      </c>
      <c r="H21" s="7">
        <v>0.8</v>
      </c>
      <c r="I21" s="7">
        <v>0.6</v>
      </c>
      <c r="J21" s="7">
        <f>IF('Import Question'!$F$3="H",0.01,1)</f>
        <v>0.01</v>
      </c>
      <c r="K21" s="7">
        <f>IF('Import Question'!$F$7="AF",H21,IF('Import Question'!$F$7="AS",calculRISKS!I21,1))</f>
        <v>1</v>
      </c>
      <c r="L21" s="112">
        <f>IF('Import Question'!H26="Y",0,1)</f>
        <v>1</v>
      </c>
      <c r="M21" s="7">
        <f>IF('Import Question'!H65="Y",0.8,1)</f>
        <v>1</v>
      </c>
      <c r="N21" s="4">
        <f>'Import Question'!V$150</f>
        <v>0.9</v>
      </c>
      <c r="O21" s="4">
        <f>'Import Question'!AC25</f>
        <v>1.2</v>
      </c>
      <c r="P21" s="4">
        <v>1</v>
      </c>
      <c r="Q21" s="32">
        <f t="shared" si="1"/>
        <v>5.4263636363637429E-5</v>
      </c>
      <c r="R21" s="113">
        <f t="shared" si="2"/>
        <v>1.5654545454546059E-5</v>
      </c>
      <c r="S21" s="113">
        <f t="shared" si="8"/>
        <v>1.6906909090909746E-5</v>
      </c>
      <c r="T21" s="32">
        <f t="shared" si="4"/>
        <v>1.5654545454546059E-5</v>
      </c>
      <c r="U21" s="32">
        <f t="shared" si="3"/>
        <v>5.4263636363637429E-5</v>
      </c>
      <c r="V21" s="113">
        <f>MAX(($N21*$O21*$U21*$L21),S21)</f>
        <v>5.8604727272728426E-5</v>
      </c>
      <c r="W21" s="113">
        <f>IF(L21=0,1,($N21*$U21*AS10))</f>
        <v>8.4390807272728926E-5</v>
      </c>
    </row>
    <row r="22" spans="1:23">
      <c r="A22" s="196">
        <f>'Import Question'!$F$6</f>
        <v>40</v>
      </c>
      <c r="B22" s="16" t="s">
        <v>608</v>
      </c>
      <c r="C22" s="112">
        <v>3.6911486561970901E-2</v>
      </c>
      <c r="D22" s="112">
        <f>-0.00157457925283427</f>
        <v>-1.57457925283427E-3</v>
      </c>
      <c r="E22" s="112">
        <f>0.0000167532085580737</f>
        <v>1.6753208558073701E-5</v>
      </c>
      <c r="F22" s="203">
        <v>1</v>
      </c>
      <c r="G22" s="203">
        <v>0.4</v>
      </c>
      <c r="H22" s="204">
        <v>1</v>
      </c>
      <c r="I22" s="204">
        <v>1</v>
      </c>
      <c r="J22" s="204">
        <v>1</v>
      </c>
      <c r="K22" s="7">
        <f>IF('Import Question'!$F$7="AF",H22,IF('Import Question'!$F$7="AS",calculRISKS!I22,1))</f>
        <v>1</v>
      </c>
      <c r="L22" s="204">
        <v>1</v>
      </c>
      <c r="M22" s="204">
        <v>1</v>
      </c>
      <c r="N22" s="8">
        <f>'Import Question'!W150</f>
        <v>0.9</v>
      </c>
      <c r="O22" s="8">
        <f>'Import Question'!AE25</f>
        <v>20</v>
      </c>
      <c r="P22" s="206">
        <f>'Import Biologie'!H47</f>
        <v>1</v>
      </c>
      <c r="Q22" s="32">
        <f t="shared" si="1"/>
        <v>-1.9332485471999783E-5</v>
      </c>
      <c r="R22" s="113">
        <f t="shared" si="2"/>
        <v>7.334501415180196E-4</v>
      </c>
      <c r="S22" s="113">
        <f>(MAX((N22*O22*P22*R22),(IF(L22=0,1,0))))/10</f>
        <v>1.3202102547324353E-3</v>
      </c>
      <c r="T22" s="32">
        <f t="shared" si="4"/>
        <v>7.334501415180196E-4</v>
      </c>
      <c r="U22" s="32">
        <f t="shared" si="3"/>
        <v>1E-3</v>
      </c>
      <c r="V22" s="113">
        <f>(MAX(($N22*$O22*$U22*$L22),S22))/10</f>
        <v>1.8000000000000002E-3</v>
      </c>
      <c r="W22" s="113">
        <f>(IF(L22=0,1,($N22*$U22*AU10)))/10</f>
        <v>2.5919999999999997E-3</v>
      </c>
    </row>
    <row r="23" spans="1:23">
      <c r="B23" s="8" t="s">
        <v>816</v>
      </c>
    </row>
    <row r="24" spans="1:23">
      <c r="B24" s="8" t="s">
        <v>817</v>
      </c>
      <c r="P24" s="32"/>
    </row>
    <row r="25" spans="1:23">
      <c r="B25" s="8" t="s">
        <v>818</v>
      </c>
      <c r="S25" s="358"/>
    </row>
    <row r="26" spans="1:23">
      <c r="B26" s="8" t="s">
        <v>819</v>
      </c>
      <c r="M26" s="199" t="s">
        <v>54</v>
      </c>
      <c r="N26" s="206">
        <f>N2</f>
        <v>1.5</v>
      </c>
      <c r="O26" s="206">
        <f t="shared" ref="O26:O46" si="9">O2</f>
        <v>1.2</v>
      </c>
      <c r="Q26" s="8">
        <f>N26*O26</f>
        <v>1.7999999999999998</v>
      </c>
    </row>
    <row r="27" spans="1:23">
      <c r="B27" s="8" t="s">
        <v>820</v>
      </c>
      <c r="M27" s="16" t="s">
        <v>35</v>
      </c>
      <c r="N27" s="206">
        <f t="shared" ref="N27" si="10">N3</f>
        <v>1</v>
      </c>
      <c r="O27" s="206">
        <f t="shared" si="9"/>
        <v>1.2</v>
      </c>
      <c r="P27" s="206"/>
      <c r="Q27" s="8">
        <f t="shared" ref="Q27:Q46" si="11">N27*O27</f>
        <v>1.2</v>
      </c>
    </row>
    <row r="28" spans="1:23">
      <c r="B28" s="8" t="s">
        <v>821</v>
      </c>
      <c r="M28" s="16" t="s">
        <v>36</v>
      </c>
      <c r="N28" s="206">
        <f t="shared" ref="N28" si="12">N4</f>
        <v>1</v>
      </c>
      <c r="O28" s="206">
        <f t="shared" si="9"/>
        <v>1.44</v>
      </c>
      <c r="P28" s="206"/>
      <c r="Q28" s="8">
        <f t="shared" si="11"/>
        <v>1.44</v>
      </c>
    </row>
    <row r="29" spans="1:23">
      <c r="B29" s="8" t="s">
        <v>822</v>
      </c>
      <c r="M29" s="16" t="s">
        <v>37</v>
      </c>
      <c r="N29" s="206">
        <f t="shared" ref="N29" si="13">N5</f>
        <v>0.9</v>
      </c>
      <c r="O29" s="206">
        <f t="shared" si="9"/>
        <v>1.2</v>
      </c>
      <c r="P29" s="206"/>
      <c r="Q29" s="8">
        <f t="shared" si="11"/>
        <v>1.08</v>
      </c>
    </row>
    <row r="30" spans="1:23">
      <c r="B30" s="8" t="s">
        <v>823</v>
      </c>
      <c r="M30" s="16" t="s">
        <v>38</v>
      </c>
      <c r="N30" s="206">
        <f t="shared" ref="N30" si="14">N6</f>
        <v>1</v>
      </c>
      <c r="O30" s="206">
        <f t="shared" si="9"/>
        <v>0.96</v>
      </c>
      <c r="P30" s="206"/>
      <c r="Q30" s="8">
        <f t="shared" si="11"/>
        <v>0.96</v>
      </c>
    </row>
    <row r="31" spans="1:23">
      <c r="B31" s="8" t="s">
        <v>824</v>
      </c>
      <c r="M31" s="201" t="s">
        <v>39</v>
      </c>
      <c r="N31" s="206">
        <f t="shared" ref="N31" si="15">N7</f>
        <v>0.9</v>
      </c>
      <c r="O31" s="206">
        <f t="shared" si="9"/>
        <v>1.44</v>
      </c>
      <c r="P31" s="206"/>
      <c r="Q31" s="8">
        <f t="shared" si="11"/>
        <v>1.296</v>
      </c>
    </row>
    <row r="32" spans="1:23">
      <c r="M32" s="202" t="s">
        <v>80</v>
      </c>
      <c r="N32" s="206">
        <f t="shared" ref="N32" si="16">N8</f>
        <v>1</v>
      </c>
      <c r="O32" s="206">
        <f t="shared" si="9"/>
        <v>1.44</v>
      </c>
      <c r="P32" s="206"/>
      <c r="Q32" s="8">
        <f t="shared" si="11"/>
        <v>1.44</v>
      </c>
    </row>
    <row r="33" spans="13:17">
      <c r="M33" s="16" t="s">
        <v>41</v>
      </c>
      <c r="N33" s="206">
        <f t="shared" ref="N33" si="17">N9</f>
        <v>1</v>
      </c>
      <c r="O33" s="206">
        <f t="shared" si="9"/>
        <v>1</v>
      </c>
      <c r="P33" s="206"/>
      <c r="Q33" s="8">
        <f t="shared" si="11"/>
        <v>1</v>
      </c>
    </row>
    <row r="34" spans="13:17">
      <c r="M34" s="202" t="s">
        <v>42</v>
      </c>
      <c r="N34" s="206">
        <f t="shared" ref="N34" si="18">N10</f>
        <v>1.2</v>
      </c>
      <c r="O34" s="206">
        <f t="shared" si="9"/>
        <v>1.2</v>
      </c>
      <c r="P34" s="206"/>
      <c r="Q34" s="8">
        <f t="shared" si="11"/>
        <v>1.44</v>
      </c>
    </row>
    <row r="35" spans="13:17">
      <c r="M35" s="16" t="s">
        <v>43</v>
      </c>
      <c r="N35" s="206">
        <f t="shared" ref="N35" si="19">N11</f>
        <v>0.9</v>
      </c>
      <c r="O35" s="206">
        <f t="shared" si="9"/>
        <v>2.5</v>
      </c>
      <c r="P35" s="206"/>
      <c r="Q35" s="8">
        <f t="shared" si="11"/>
        <v>2.25</v>
      </c>
    </row>
    <row r="36" spans="13:17">
      <c r="M36" s="16" t="s">
        <v>44</v>
      </c>
      <c r="N36" s="206">
        <f t="shared" ref="N36" si="20">N12</f>
        <v>1</v>
      </c>
      <c r="O36" s="206">
        <f t="shared" si="9"/>
        <v>2.5</v>
      </c>
      <c r="P36" s="206"/>
      <c r="Q36" s="8">
        <f t="shared" si="11"/>
        <v>2.5</v>
      </c>
    </row>
    <row r="37" spans="13:17">
      <c r="M37" s="16" t="s">
        <v>45</v>
      </c>
      <c r="N37" s="206">
        <f t="shared" ref="N37" si="21">N13</f>
        <v>0.9</v>
      </c>
      <c r="O37" s="206">
        <f t="shared" si="9"/>
        <v>1.2</v>
      </c>
      <c r="P37" s="206"/>
      <c r="Q37" s="8">
        <f t="shared" si="11"/>
        <v>1.08</v>
      </c>
    </row>
    <row r="38" spans="13:17">
      <c r="M38" s="16" t="s">
        <v>46</v>
      </c>
      <c r="N38" s="206">
        <f t="shared" ref="N38" si="22">N14</f>
        <v>1.2</v>
      </c>
      <c r="O38" s="206">
        <f t="shared" si="9"/>
        <v>1.44</v>
      </c>
      <c r="P38" s="206"/>
      <c r="Q38" s="8">
        <f t="shared" si="11"/>
        <v>1.728</v>
      </c>
    </row>
    <row r="39" spans="13:17">
      <c r="M39" s="16" t="s">
        <v>47</v>
      </c>
      <c r="N39" s="206">
        <f t="shared" ref="N39" si="23">N15</f>
        <v>1.2</v>
      </c>
      <c r="O39" s="206">
        <f t="shared" si="9"/>
        <v>1.728</v>
      </c>
      <c r="P39" s="206"/>
      <c r="Q39" s="8">
        <f t="shared" si="11"/>
        <v>2.0735999999999999</v>
      </c>
    </row>
    <row r="40" spans="13:17">
      <c r="M40" s="16" t="s">
        <v>48</v>
      </c>
      <c r="N40" s="206">
        <f t="shared" ref="N40" si="24">N16</f>
        <v>1.2</v>
      </c>
      <c r="O40" s="206">
        <f t="shared" si="9"/>
        <v>3.5999999999999996</v>
      </c>
      <c r="P40" s="206"/>
      <c r="Q40" s="8">
        <f t="shared" si="11"/>
        <v>4.3199999999999994</v>
      </c>
    </row>
    <row r="41" spans="13:17">
      <c r="M41" s="201" t="s">
        <v>49</v>
      </c>
      <c r="N41" s="206">
        <f t="shared" ref="N41" si="25">N17</f>
        <v>1</v>
      </c>
      <c r="O41" s="206">
        <f t="shared" si="9"/>
        <v>20</v>
      </c>
      <c r="P41" s="206"/>
      <c r="Q41" s="8">
        <f t="shared" si="11"/>
        <v>20</v>
      </c>
    </row>
    <row r="42" spans="13:17">
      <c r="M42" s="201" t="s">
        <v>50</v>
      </c>
      <c r="N42" s="206">
        <f t="shared" ref="N42" si="26">N18</f>
        <v>1</v>
      </c>
      <c r="O42" s="206">
        <f t="shared" si="9"/>
        <v>25</v>
      </c>
      <c r="P42" s="206"/>
      <c r="Q42" s="8">
        <f t="shared" si="11"/>
        <v>25</v>
      </c>
    </row>
    <row r="43" spans="13:17">
      <c r="M43" s="16" t="s">
        <v>51</v>
      </c>
      <c r="N43" s="206">
        <f t="shared" ref="N43" si="27">N19</f>
        <v>1.2</v>
      </c>
      <c r="O43" s="206">
        <f t="shared" si="9"/>
        <v>1.2</v>
      </c>
      <c r="P43" s="206"/>
      <c r="Q43" s="8">
        <f t="shared" si="11"/>
        <v>1.44</v>
      </c>
    </row>
    <row r="44" spans="13:17">
      <c r="M44" s="201" t="s">
        <v>52</v>
      </c>
      <c r="N44" s="206">
        <f t="shared" ref="N44" si="28">N20</f>
        <v>0.9</v>
      </c>
      <c r="O44" s="206">
        <f t="shared" si="9"/>
        <v>1.44</v>
      </c>
      <c r="P44" s="206"/>
      <c r="Q44" s="8">
        <f t="shared" si="11"/>
        <v>1.296</v>
      </c>
    </row>
    <row r="45" spans="13:17">
      <c r="M45" s="201" t="s">
        <v>53</v>
      </c>
      <c r="N45" s="206">
        <f t="shared" ref="N45" si="29">N21</f>
        <v>0.9</v>
      </c>
      <c r="O45" s="206">
        <f t="shared" si="9"/>
        <v>1.2</v>
      </c>
      <c r="P45" s="206"/>
      <c r="Q45" s="8">
        <f t="shared" si="11"/>
        <v>1.08</v>
      </c>
    </row>
    <row r="46" spans="13:17">
      <c r="M46" s="16" t="s">
        <v>608</v>
      </c>
      <c r="N46" s="206">
        <f t="shared" ref="N46" si="30">N22</f>
        <v>0.9</v>
      </c>
      <c r="O46" s="206">
        <f t="shared" si="9"/>
        <v>20</v>
      </c>
      <c r="P46" s="206"/>
      <c r="Q46" s="8">
        <f t="shared" si="11"/>
        <v>18</v>
      </c>
    </row>
    <row r="47" spans="13:17">
      <c r="M47"/>
      <c r="N47" s="206"/>
      <c r="O47" s="206"/>
      <c r="P47" s="206"/>
    </row>
  </sheetData>
  <conditionalFormatting sqref="B1">
    <cfRule type="iconSet" priority="80">
      <iconSet reverse="1">
        <cfvo type="percent" val="0"/>
        <cfvo type="percent" val="33"/>
        <cfvo type="percent" val="67"/>
      </iconSet>
    </cfRule>
  </conditionalFormatting>
  <conditionalFormatting sqref="B12">
    <cfRule type="colorScale" priority="79">
      <colorScale>
        <cfvo type="min"/>
        <cfvo type="percentile" val="50"/>
        <cfvo type="max"/>
        <color rgb="FF5A8AC6"/>
        <color rgb="FFFCFCFF"/>
        <color rgb="FFF8696B"/>
      </colorScale>
    </cfRule>
  </conditionalFormatting>
  <conditionalFormatting sqref="B13:B18 B3:B11">
    <cfRule type="colorScale" priority="1139">
      <colorScale>
        <cfvo type="min"/>
        <cfvo type="percentile" val="50"/>
        <cfvo type="max"/>
        <color rgb="FF5A8AC6"/>
        <color rgb="FFFCFCFF"/>
        <color rgb="FFF8696B"/>
      </colorScale>
    </cfRule>
  </conditionalFormatting>
  <conditionalFormatting sqref="B19">
    <cfRule type="colorScale" priority="78">
      <colorScale>
        <cfvo type="min"/>
        <cfvo type="percentile" val="50"/>
        <cfvo type="max"/>
        <color rgb="FF5A8AC6"/>
        <color rgb="FFFCFCFF"/>
        <color rgb="FFF8696B"/>
      </colorScale>
    </cfRule>
  </conditionalFormatting>
  <conditionalFormatting sqref="B20">
    <cfRule type="colorScale" priority="77">
      <colorScale>
        <cfvo type="min"/>
        <cfvo type="percentile" val="50"/>
        <cfvo type="max"/>
        <color rgb="FF5A8AC6"/>
        <color rgb="FFFCFCFF"/>
        <color rgb="FFF8696B"/>
      </colorScale>
    </cfRule>
  </conditionalFormatting>
  <conditionalFormatting sqref="B21">
    <cfRule type="iconSet" priority="76">
      <iconSet reverse="1">
        <cfvo type="percent" val="0"/>
        <cfvo type="percent" val="33"/>
        <cfvo type="percent" val="67"/>
      </iconSet>
    </cfRule>
  </conditionalFormatting>
  <conditionalFormatting sqref="C1:E1">
    <cfRule type="iconSet" priority="488">
      <iconSet reverse="1">
        <cfvo type="percent" val="0"/>
        <cfvo type="percent" val="33"/>
        <cfvo type="percent" val="67"/>
      </iconSet>
    </cfRule>
  </conditionalFormatting>
  <conditionalFormatting sqref="F22:G1048576 F1:G1">
    <cfRule type="colorScale" priority="1106">
      <colorScale>
        <cfvo type="min"/>
        <cfvo type="percentile" val="50"/>
        <cfvo type="max"/>
        <color rgb="FF63BE7B"/>
        <color rgb="FFFFEB84"/>
        <color rgb="FFF8696B"/>
      </colorScale>
    </cfRule>
  </conditionalFormatting>
  <conditionalFormatting sqref="F2:M21">
    <cfRule type="colorScale" priority="1151">
      <colorScale>
        <cfvo type="min"/>
        <cfvo type="percentile" val="50"/>
        <cfvo type="max"/>
        <color rgb="FF63BE7B"/>
        <color rgb="FFFFEB84"/>
        <color rgb="FFF8696B"/>
      </colorScale>
    </cfRule>
  </conditionalFormatting>
  <conditionalFormatting sqref="H22:M25 H1:M1 H48:M1048576 H26:L47">
    <cfRule type="colorScale" priority="102">
      <colorScale>
        <cfvo type="min"/>
        <cfvo type="percentile" val="50"/>
        <cfvo type="max"/>
        <color rgb="FF5A8AC6"/>
        <color rgb="FFFCFCFF"/>
        <color rgb="FFF8696B"/>
      </colorScale>
    </cfRule>
  </conditionalFormatting>
  <conditionalFormatting sqref="K22">
    <cfRule type="colorScale" priority="38">
      <colorScale>
        <cfvo type="min"/>
        <cfvo type="percentile" val="50"/>
        <cfvo type="max"/>
        <color rgb="FF63BE7B"/>
        <color rgb="FFFFEB84"/>
        <color rgb="FFF8696B"/>
      </colorScale>
    </cfRule>
  </conditionalFormatting>
  <conditionalFormatting sqref="K1:M25 K48:M1048576 K26:L47">
    <cfRule type="colorScale" priority="99">
      <colorScale>
        <cfvo type="min"/>
        <cfvo type="percentile" val="50"/>
        <cfvo type="max"/>
        <color rgb="FFF8696B"/>
        <color rgb="FFFCFCFF"/>
        <color rgb="FF5A8AC6"/>
      </colorScale>
    </cfRule>
  </conditionalFormatting>
  <conditionalFormatting sqref="M36">
    <cfRule type="colorScale" priority="4">
      <colorScale>
        <cfvo type="min"/>
        <cfvo type="percentile" val="50"/>
        <cfvo type="max"/>
        <color rgb="FF5A8AC6"/>
        <color rgb="FFFCFCFF"/>
        <color rgb="FFF8696B"/>
      </colorScale>
    </cfRule>
  </conditionalFormatting>
  <conditionalFormatting sqref="M37:M42 M27:M35">
    <cfRule type="colorScale" priority="5">
      <colorScale>
        <cfvo type="min"/>
        <cfvo type="percentile" val="50"/>
        <cfvo type="max"/>
        <color rgb="FF5A8AC6"/>
        <color rgb="FFFCFCFF"/>
        <color rgb="FFF8696B"/>
      </colorScale>
    </cfRule>
  </conditionalFormatting>
  <conditionalFormatting sqref="M43">
    <cfRule type="colorScale" priority="3">
      <colorScale>
        <cfvo type="min"/>
        <cfvo type="percentile" val="50"/>
        <cfvo type="max"/>
        <color rgb="FF5A8AC6"/>
        <color rgb="FFFCFCFF"/>
        <color rgb="FFF8696B"/>
      </colorScale>
    </cfRule>
  </conditionalFormatting>
  <conditionalFormatting sqref="M44">
    <cfRule type="colorScale" priority="2">
      <colorScale>
        <cfvo type="min"/>
        <cfvo type="percentile" val="50"/>
        <cfvo type="max"/>
        <color rgb="FF5A8AC6"/>
        <color rgb="FFFCFCFF"/>
        <color rgb="FFF8696B"/>
      </colorScale>
    </cfRule>
  </conditionalFormatting>
  <conditionalFormatting sqref="M45">
    <cfRule type="iconSet" priority="1">
      <iconSet reverse="1">
        <cfvo type="percent" val="0"/>
        <cfvo type="percent" val="33"/>
        <cfvo type="percent" val="67"/>
      </iconSet>
    </cfRule>
  </conditionalFormatting>
  <conditionalFormatting sqref="N1:P1048576">
    <cfRule type="colorScale" priority="94">
      <colorScale>
        <cfvo type="min"/>
        <cfvo type="percentile" val="50"/>
        <cfvo type="max"/>
        <color rgb="FF63BE7B"/>
        <color rgb="FFFFEB84"/>
        <color rgb="FFF8696B"/>
      </colorScale>
    </cfRule>
  </conditionalFormatting>
  <conditionalFormatting sqref="Q1">
    <cfRule type="iconSet" priority="86">
      <iconSet reverse="1">
        <cfvo type="percent" val="0"/>
        <cfvo type="percent" val="33"/>
        <cfvo type="percent" val="67"/>
      </iconSet>
    </cfRule>
  </conditionalFormatting>
  <conditionalFormatting sqref="Q2:Q15 Q17:Q22">
    <cfRule type="colorScale" priority="18">
      <colorScale>
        <cfvo type="min"/>
        <cfvo type="percentile" val="50"/>
        <cfvo type="max"/>
        <color rgb="FF63BE7B"/>
        <color rgb="FFFCFCFF"/>
        <color rgb="FFF8696B"/>
      </colorScale>
    </cfRule>
    <cfRule type="colorScale" priority="19">
      <colorScale>
        <cfvo type="min"/>
        <cfvo type="percentile" val="50"/>
        <cfvo type="max"/>
        <color rgb="FF63BE7B"/>
        <color rgb="FFFCFCFF"/>
        <color rgb="FFF8696B"/>
      </colorScale>
    </cfRule>
  </conditionalFormatting>
  <conditionalFormatting sqref="Q16">
    <cfRule type="colorScale" priority="16">
      <colorScale>
        <cfvo type="min"/>
        <cfvo type="percentile" val="50"/>
        <cfvo type="max"/>
        <color rgb="FF63BE7B"/>
        <color rgb="FFFCFCFF"/>
        <color rgb="FFF8696B"/>
      </colorScale>
    </cfRule>
    <cfRule type="colorScale" priority="17">
      <colorScale>
        <cfvo type="min"/>
        <cfvo type="percentile" val="50"/>
        <cfvo type="max"/>
        <color rgb="FF63BE7B"/>
        <color rgb="FFFCFCFF"/>
        <color rgb="FFF8696B"/>
      </colorScale>
    </cfRule>
  </conditionalFormatting>
  <conditionalFormatting sqref="R1">
    <cfRule type="colorScale" priority="126">
      <colorScale>
        <cfvo type="min"/>
        <cfvo type="percentile" val="50"/>
        <cfvo type="max"/>
        <color rgb="FF63BE7B"/>
        <color rgb="FFFFEB84"/>
        <color rgb="FFF8696B"/>
      </colorScale>
    </cfRule>
  </conditionalFormatting>
  <conditionalFormatting sqref="R1:R1048576">
    <cfRule type="colorScale" priority="105">
      <colorScale>
        <cfvo type="min"/>
        <cfvo type="percentile" val="50"/>
        <cfvo type="max"/>
        <color rgb="FF63BE7B"/>
        <color rgb="FFFCFCFF"/>
        <color rgb="FFF8696B"/>
      </colorScale>
    </cfRule>
  </conditionalFormatting>
  <conditionalFormatting sqref="R2:R22 U2:U22">
    <cfRule type="colorScale" priority="1146">
      <colorScale>
        <cfvo type="min"/>
        <cfvo type="percentile" val="50"/>
        <cfvo type="max"/>
        <color rgb="FF63BE7B"/>
        <color rgb="FFFCFCFF"/>
        <color rgb="FFF8696B"/>
      </colorScale>
    </cfRule>
  </conditionalFormatting>
  <conditionalFormatting sqref="R2:R22">
    <cfRule type="colorScale" priority="1144">
      <colorScale>
        <cfvo type="min"/>
        <cfvo type="max"/>
        <color rgb="FFFCFCFF"/>
        <color rgb="FFF8696B"/>
      </colorScale>
    </cfRule>
  </conditionalFormatting>
  <conditionalFormatting sqref="S1">
    <cfRule type="colorScale" priority="107">
      <colorScale>
        <cfvo type="min"/>
        <cfvo type="percentile" val="50"/>
        <cfvo type="max"/>
        <color rgb="FF63BE7B"/>
        <color rgb="FFFFEB84"/>
        <color rgb="FFF8696B"/>
      </colorScale>
    </cfRule>
  </conditionalFormatting>
  <conditionalFormatting sqref="S1:S1048576">
    <cfRule type="dataBar" priority="96">
      <dataBar>
        <cfvo type="min"/>
        <cfvo type="max"/>
        <color rgb="FFFFB628"/>
      </dataBar>
      <extLst>
        <ext xmlns:x14="http://schemas.microsoft.com/office/spreadsheetml/2009/9/main" uri="{B025F937-C7B1-47D3-B67F-A62EFF666E3E}">
          <x14:id>{04752A11-54FF-4EBD-B7D7-B3B7940B5ECB}</x14:id>
        </ext>
      </extLst>
    </cfRule>
  </conditionalFormatting>
  <conditionalFormatting sqref="T3">
    <cfRule type="colorScale" priority="34">
      <colorScale>
        <cfvo type="min"/>
        <cfvo type="percentile" val="50"/>
        <cfvo type="max"/>
        <color rgb="FF63BE7B"/>
        <color rgb="FFFCFCFF"/>
        <color rgb="FFF8696B"/>
      </colorScale>
    </cfRule>
    <cfRule type="colorScale" priority="33">
      <colorScale>
        <cfvo type="min"/>
        <cfvo type="max"/>
        <color rgb="FFFCFCFF"/>
        <color rgb="FFF8696B"/>
      </colorScale>
    </cfRule>
    <cfRule type="colorScale" priority="32">
      <colorScale>
        <cfvo type="min"/>
        <cfvo type="percentile" val="50"/>
        <cfvo type="max"/>
        <color rgb="FF63BE7B"/>
        <color rgb="FFFCFCFF"/>
        <color rgb="FFF8696B"/>
      </colorScale>
    </cfRule>
  </conditionalFormatting>
  <conditionalFormatting sqref="T4">
    <cfRule type="colorScale" priority="30">
      <colorScale>
        <cfvo type="min"/>
        <cfvo type="max"/>
        <color rgb="FFFCFCFF"/>
        <color rgb="FFF8696B"/>
      </colorScale>
    </cfRule>
    <cfRule type="colorScale" priority="29">
      <colorScale>
        <cfvo type="min"/>
        <cfvo type="percentile" val="50"/>
        <cfvo type="max"/>
        <color rgb="FF63BE7B"/>
        <color rgb="FFFCFCFF"/>
        <color rgb="FFF8696B"/>
      </colorScale>
    </cfRule>
    <cfRule type="colorScale" priority="31">
      <colorScale>
        <cfvo type="min"/>
        <cfvo type="percentile" val="50"/>
        <cfvo type="max"/>
        <color rgb="FF63BE7B"/>
        <color rgb="FFFCFCFF"/>
        <color rgb="FFF8696B"/>
      </colorScale>
    </cfRule>
  </conditionalFormatting>
  <conditionalFormatting sqref="T5">
    <cfRule type="colorScale" priority="28">
      <colorScale>
        <cfvo type="min"/>
        <cfvo type="percentile" val="50"/>
        <cfvo type="max"/>
        <color rgb="FF63BE7B"/>
        <color rgb="FFFCFCFF"/>
        <color rgb="FFF8696B"/>
      </colorScale>
    </cfRule>
    <cfRule type="colorScale" priority="27">
      <colorScale>
        <cfvo type="min"/>
        <cfvo type="max"/>
        <color rgb="FFFCFCFF"/>
        <color rgb="FFF8696B"/>
      </colorScale>
    </cfRule>
    <cfRule type="colorScale" priority="26">
      <colorScale>
        <cfvo type="min"/>
        <cfvo type="percentile" val="50"/>
        <cfvo type="max"/>
        <color rgb="FF63BE7B"/>
        <color rgb="FFFCFCFF"/>
        <color rgb="FFF8696B"/>
      </colorScale>
    </cfRule>
  </conditionalFormatting>
  <conditionalFormatting sqref="T6:T15 T17:T22">
    <cfRule type="colorScale" priority="25">
      <colorScale>
        <cfvo type="min"/>
        <cfvo type="percentile" val="50"/>
        <cfvo type="max"/>
        <color rgb="FF63BE7B"/>
        <color rgb="FFFCFCFF"/>
        <color rgb="FFF8696B"/>
      </colorScale>
    </cfRule>
    <cfRule type="colorScale" priority="24">
      <colorScale>
        <cfvo type="min"/>
        <cfvo type="max"/>
        <color rgb="FFFCFCFF"/>
        <color rgb="FFF8696B"/>
      </colorScale>
    </cfRule>
    <cfRule type="colorScale" priority="23">
      <colorScale>
        <cfvo type="min"/>
        <cfvo type="percentile" val="50"/>
        <cfvo type="max"/>
        <color rgb="FF63BE7B"/>
        <color rgb="FFFCFCFF"/>
        <color rgb="FFF8696B"/>
      </colorScale>
    </cfRule>
  </conditionalFormatting>
  <conditionalFormatting sqref="T16">
    <cfRule type="colorScale" priority="20">
      <colorScale>
        <cfvo type="min"/>
        <cfvo type="percentile" val="50"/>
        <cfvo type="max"/>
        <color rgb="FF63BE7B"/>
        <color rgb="FFFCFCFF"/>
        <color rgb="FFF8696B"/>
      </colorScale>
    </cfRule>
    <cfRule type="colorScale" priority="21">
      <colorScale>
        <cfvo type="min"/>
        <cfvo type="max"/>
        <color rgb="FFFCFCFF"/>
        <color rgb="FFF8696B"/>
      </colorScale>
    </cfRule>
    <cfRule type="colorScale" priority="22">
      <colorScale>
        <cfvo type="min"/>
        <cfvo type="percentile" val="50"/>
        <cfvo type="max"/>
        <color rgb="FF63BE7B"/>
        <color rgb="FFFCFCFF"/>
        <color rgb="FFF8696B"/>
      </colorScale>
    </cfRule>
  </conditionalFormatting>
  <conditionalFormatting sqref="U1:U1048576">
    <cfRule type="colorScale" priority="106">
      <colorScale>
        <cfvo type="min"/>
        <cfvo type="percentile" val="50"/>
        <cfvo type="max"/>
        <color rgb="FF63BE7B"/>
        <color rgb="FFFCFCFF"/>
        <color rgb="FFF8696B"/>
      </colorScale>
    </cfRule>
  </conditionalFormatting>
  <conditionalFormatting sqref="V1:V1048576">
    <cfRule type="dataBar" priority="95">
      <dataBar>
        <cfvo type="min"/>
        <cfvo type="max"/>
        <color rgb="FF008AEF"/>
      </dataBar>
      <extLst>
        <ext xmlns:x14="http://schemas.microsoft.com/office/spreadsheetml/2009/9/main" uri="{B025F937-C7B1-47D3-B67F-A62EFF666E3E}">
          <x14:id>{9F019558-EAE2-43F8-ACE3-FD53FF79E7F6}</x14:id>
        </ext>
      </extLst>
    </cfRule>
  </conditionalFormatting>
  <conditionalFormatting sqref="W1:W1048576">
    <cfRule type="dataBar" priority="47">
      <dataBar>
        <cfvo type="min"/>
        <cfvo type="max"/>
        <color rgb="FF008AEF"/>
      </dataBar>
      <extLst>
        <ext xmlns:x14="http://schemas.microsoft.com/office/spreadsheetml/2009/9/main" uri="{B025F937-C7B1-47D3-B67F-A62EFF666E3E}">
          <x14:id>{078CFDEC-A5A7-4504-B4FD-3DED17D3E9A7}</x14:id>
        </ext>
      </extLst>
    </cfRule>
  </conditionalFormatting>
  <conditionalFormatting sqref="AJ2">
    <cfRule type="colorScale" priority="45">
      <colorScale>
        <cfvo type="min"/>
        <cfvo type="percentile" val="50"/>
        <cfvo type="max"/>
        <color rgb="FF5A8AC6"/>
        <color rgb="FFFCFCFF"/>
        <color rgb="FFF8696B"/>
      </colorScale>
    </cfRule>
  </conditionalFormatting>
  <conditionalFormatting sqref="AK2:AP2 AA2:AI2">
    <cfRule type="colorScale" priority="46">
      <colorScale>
        <cfvo type="min"/>
        <cfvo type="percentile" val="50"/>
        <cfvo type="max"/>
        <color rgb="FF5A8AC6"/>
        <color rgb="FFFCFCFF"/>
        <color rgb="FFF8696B"/>
      </colorScale>
    </cfRule>
  </conditionalFormatting>
  <conditionalFormatting sqref="AQ2">
    <cfRule type="colorScale" priority="41">
      <colorScale>
        <cfvo type="min"/>
        <cfvo type="percentile" val="50"/>
        <cfvo type="max"/>
        <color rgb="FF5A8AC6"/>
        <color rgb="FFFCFCFF"/>
        <color rgb="FFF8696B"/>
      </colorScale>
    </cfRule>
  </conditionalFormatting>
  <conditionalFormatting sqref="AR2">
    <cfRule type="colorScale" priority="40">
      <colorScale>
        <cfvo type="min"/>
        <cfvo type="percentile" val="50"/>
        <cfvo type="max"/>
        <color rgb="FF5A8AC6"/>
        <color rgb="FFFCFCFF"/>
        <color rgb="FFF8696B"/>
      </colorScale>
    </cfRule>
  </conditionalFormatting>
  <conditionalFormatting sqref="AS2">
    <cfRule type="iconSet" priority="39">
      <iconSet reverse="1">
        <cfvo type="percent" val="0"/>
        <cfvo type="percent" val="33"/>
        <cfvo type="percent" val="67"/>
      </iconSet>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dataBar" id="{04752A11-54FF-4EBD-B7D7-B3B7940B5ECB}">
            <x14:dataBar minLength="0" maxLength="100" border="1" negativeBarBorderColorSameAsPositive="0">
              <x14:cfvo type="autoMin"/>
              <x14:cfvo type="autoMax"/>
              <x14:borderColor rgb="FFFFB628"/>
              <x14:negativeFillColor rgb="FFFF0000"/>
              <x14:negativeBorderColor rgb="FFFF0000"/>
              <x14:axisColor rgb="FF000000"/>
            </x14:dataBar>
          </x14:cfRule>
          <xm:sqref>S1:S1048576</xm:sqref>
        </x14:conditionalFormatting>
        <x14:conditionalFormatting xmlns:xm="http://schemas.microsoft.com/office/excel/2006/main">
          <x14:cfRule type="dataBar" id="{9F019558-EAE2-43F8-ACE3-FD53FF79E7F6}">
            <x14:dataBar minLength="0" maxLength="100" border="1" negativeBarBorderColorSameAsPositive="0">
              <x14:cfvo type="autoMin"/>
              <x14:cfvo type="autoMax"/>
              <x14:borderColor rgb="FF008AEF"/>
              <x14:negativeFillColor rgb="FFFF0000"/>
              <x14:negativeBorderColor rgb="FFFF0000"/>
              <x14:axisColor rgb="FF000000"/>
            </x14:dataBar>
          </x14:cfRule>
          <xm:sqref>V1:V1048576</xm:sqref>
        </x14:conditionalFormatting>
        <x14:conditionalFormatting xmlns:xm="http://schemas.microsoft.com/office/excel/2006/main">
          <x14:cfRule type="dataBar" id="{078CFDEC-A5A7-4504-B4FD-3DED17D3E9A7}">
            <x14:dataBar minLength="0" maxLength="100" border="1" negativeBarBorderColorSameAsPositive="0">
              <x14:cfvo type="autoMin"/>
              <x14:cfvo type="autoMax"/>
              <x14:borderColor rgb="FF008AEF"/>
              <x14:negativeFillColor rgb="FFFF0000"/>
              <x14:negativeBorderColor rgb="FFFF0000"/>
              <x14:axisColor rgb="FF000000"/>
            </x14:dataBar>
          </x14:cfRule>
          <xm:sqref>W1:W1048576</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8B751-3EA4-4576-AFC2-8AF610145E12}">
  <sheetPr codeName="Feuil6"/>
  <dimension ref="C2:Y48"/>
  <sheetViews>
    <sheetView tabSelected="1" topLeftCell="F9" zoomScale="75" zoomScaleNormal="75" zoomScaleSheetLayoutView="75" workbookViewId="0">
      <selection activeCell="M20" sqref="M20"/>
    </sheetView>
  </sheetViews>
  <sheetFormatPr baseColWidth="10" defaultColWidth="11.53125" defaultRowHeight="14.25"/>
  <cols>
    <col min="8" max="8" width="15.265625" style="360" customWidth="1"/>
    <col min="9" max="10" width="10.86328125" style="15"/>
    <col min="11" max="11" width="14.46484375" style="15" customWidth="1"/>
    <col min="13" max="13" width="15.796875" customWidth="1"/>
    <col min="14" max="14" width="11.53125" style="15"/>
    <col min="17" max="17" width="16.46484375" customWidth="1"/>
  </cols>
  <sheetData>
    <row r="2" spans="7:25" ht="21">
      <c r="G2" s="327" t="s">
        <v>55</v>
      </c>
      <c r="H2" s="359" t="s">
        <v>34</v>
      </c>
      <c r="I2" s="328" t="s">
        <v>56</v>
      </c>
      <c r="J2" s="328" t="s">
        <v>81</v>
      </c>
      <c r="K2" s="328" t="s">
        <v>614</v>
      </c>
      <c r="R2" t="s">
        <v>783</v>
      </c>
      <c r="W2" s="326"/>
      <c r="X2" s="22"/>
      <c r="Y2" s="23"/>
    </row>
    <row r="3" spans="7:25" ht="21">
      <c r="G3" s="329" t="s">
        <v>54</v>
      </c>
      <c r="H3" s="357">
        <f>calculRISKS!R2</f>
        <v>1.4999999999999999E-2</v>
      </c>
      <c r="I3" s="330">
        <f>calculRISKS!S2</f>
        <v>3.3687500000000002E-2</v>
      </c>
      <c r="J3" s="330">
        <f>calculRISKS!V2</f>
        <v>7.0431250000000001E-2</v>
      </c>
      <c r="K3" s="357">
        <f>(MAX(I3,J3)-(H3+(H3*0.1)))</f>
        <v>5.393125E-2</v>
      </c>
      <c r="M3" s="331" t="s">
        <v>92</v>
      </c>
      <c r="N3" s="29"/>
      <c r="O3" s="334">
        <v>-5</v>
      </c>
      <c r="Q3" s="329" t="s">
        <v>54</v>
      </c>
      <c r="R3" s="336">
        <f>MIN(I3:J3)/H3</f>
        <v>2.2458333333333336</v>
      </c>
      <c r="S3">
        <v>1.2</v>
      </c>
      <c r="T3" s="29">
        <f>IF(R3&gt;3,3,R3)</f>
        <v>2.2458333333333336</v>
      </c>
      <c r="U3" s="29">
        <v>2.2000000000000002</v>
      </c>
      <c r="V3" s="29">
        <v>3</v>
      </c>
      <c r="W3" s="21" t="s">
        <v>784</v>
      </c>
      <c r="X3" s="21" t="s">
        <v>786</v>
      </c>
      <c r="Y3" s="21" t="s">
        <v>785</v>
      </c>
    </row>
    <row r="4" spans="7:25" ht="21">
      <c r="G4" s="332" t="s">
        <v>35</v>
      </c>
      <c r="H4" s="357">
        <f>calculRISKS!R3</f>
        <v>1E-3</v>
      </c>
      <c r="I4" s="330">
        <f>calculRISKS!S3</f>
        <v>1.4399999999999999E-3</v>
      </c>
      <c r="J4" s="330">
        <f>calculRISKS!V3</f>
        <v>4.8335664335659785E-2</v>
      </c>
      <c r="K4" s="357">
        <f t="shared" ref="K4:K23" si="0">MAX(I4,J4)-(H4+(H4*0.1))</f>
        <v>4.7235664335659788E-2</v>
      </c>
      <c r="M4" s="331" t="s">
        <v>93</v>
      </c>
      <c r="N4" s="29"/>
      <c r="O4" s="334"/>
      <c r="Q4" s="332" t="s">
        <v>35</v>
      </c>
      <c r="R4" s="336">
        <f t="shared" ref="R4:R23" si="1">MIN(I4:J4)/H4</f>
        <v>1.44</v>
      </c>
      <c r="S4">
        <v>1.2</v>
      </c>
      <c r="T4" s="29">
        <f t="shared" ref="T4:T23" si="2">IF(R4&gt;3,3,R4)</f>
        <v>1.44</v>
      </c>
      <c r="U4" s="29">
        <v>2.2000000000000002</v>
      </c>
      <c r="V4" s="29">
        <v>3</v>
      </c>
      <c r="W4" s="21" t="s">
        <v>784</v>
      </c>
      <c r="X4" s="21" t="s">
        <v>786</v>
      </c>
      <c r="Y4" s="21" t="s">
        <v>785</v>
      </c>
    </row>
    <row r="5" spans="7:25" ht="21">
      <c r="G5" s="332" t="s">
        <v>36</v>
      </c>
      <c r="H5" s="357">
        <f>calculRISKS!R4</f>
        <v>1E-3</v>
      </c>
      <c r="I5" s="330">
        <f>calculRISKS!S4</f>
        <v>1.4399999999999999E-3</v>
      </c>
      <c r="J5" s="330">
        <f>calculRISKS!V4</f>
        <v>1.4399999999999999E-3</v>
      </c>
      <c r="K5" s="357">
        <f t="shared" si="0"/>
        <v>3.3999999999999981E-4</v>
      </c>
      <c r="M5" s="331" t="s">
        <v>94</v>
      </c>
      <c r="N5" s="29"/>
      <c r="O5" s="334">
        <v>5</v>
      </c>
      <c r="Q5" s="332" t="s">
        <v>36</v>
      </c>
      <c r="R5" s="336">
        <f t="shared" si="1"/>
        <v>1.44</v>
      </c>
      <c r="S5">
        <v>1.2</v>
      </c>
      <c r="T5" s="29">
        <f t="shared" si="2"/>
        <v>1.44</v>
      </c>
      <c r="U5" s="29">
        <v>2.2000000000000002</v>
      </c>
      <c r="V5" s="29">
        <v>3</v>
      </c>
      <c r="W5" s="21" t="s">
        <v>784</v>
      </c>
      <c r="X5" s="21" t="s">
        <v>786</v>
      </c>
      <c r="Y5" s="21" t="s">
        <v>785</v>
      </c>
    </row>
    <row r="6" spans="7:25" ht="21">
      <c r="G6" s="332" t="s">
        <v>37</v>
      </c>
      <c r="H6" s="357">
        <f>calculRISKS!R5</f>
        <v>3.6000000000001336E-2</v>
      </c>
      <c r="I6" s="330">
        <f>calculRISKS!S5</f>
        <v>7.7760000000002896E-2</v>
      </c>
      <c r="J6" s="330">
        <f>calculRISKS!V5</f>
        <v>7.7760000000002896E-2</v>
      </c>
      <c r="K6" s="357">
        <f t="shared" si="0"/>
        <v>3.8160000000001429E-2</v>
      </c>
      <c r="M6" s="331" t="s">
        <v>95</v>
      </c>
      <c r="N6" s="29"/>
      <c r="O6" s="334">
        <v>20</v>
      </c>
      <c r="Q6" s="332" t="s">
        <v>37</v>
      </c>
      <c r="R6" s="336">
        <f t="shared" si="1"/>
        <v>2.16</v>
      </c>
      <c r="S6">
        <v>1.2</v>
      </c>
      <c r="T6" s="29">
        <f t="shared" si="2"/>
        <v>2.16</v>
      </c>
      <c r="U6" s="29">
        <v>2.2000000000000002</v>
      </c>
      <c r="V6" s="29">
        <v>3</v>
      </c>
      <c r="W6" s="21" t="s">
        <v>784</v>
      </c>
      <c r="X6" s="21" t="s">
        <v>786</v>
      </c>
      <c r="Y6" s="21" t="s">
        <v>785</v>
      </c>
    </row>
    <row r="7" spans="7:25" ht="21">
      <c r="G7" s="332" t="s">
        <v>38</v>
      </c>
      <c r="H7" s="357">
        <f>calculRISKS!R6</f>
        <v>1E-3</v>
      </c>
      <c r="I7" s="330">
        <f>calculRISKS!S6</f>
        <v>9.6000000000000002E-4</v>
      </c>
      <c r="J7" s="330">
        <f>calculRISKS!V6</f>
        <v>2.0266285714285654E-3</v>
      </c>
      <c r="K7" s="357">
        <f t="shared" si="0"/>
        <v>9.2662857142856536E-4</v>
      </c>
      <c r="N7" s="29"/>
      <c r="Q7" s="332" t="s">
        <v>38</v>
      </c>
      <c r="R7" s="336">
        <f t="shared" si="1"/>
        <v>0.96</v>
      </c>
      <c r="S7">
        <v>1.2</v>
      </c>
      <c r="T7" s="29">
        <f t="shared" si="2"/>
        <v>0.96</v>
      </c>
      <c r="U7" s="29">
        <v>2.2000000000000002</v>
      </c>
      <c r="V7" s="29">
        <v>3</v>
      </c>
      <c r="W7" s="21" t="s">
        <v>784</v>
      </c>
      <c r="X7" s="21" t="s">
        <v>786</v>
      </c>
      <c r="Y7" s="21" t="s">
        <v>785</v>
      </c>
    </row>
    <row r="8" spans="7:25" ht="21">
      <c r="G8" s="332" t="s">
        <v>39</v>
      </c>
      <c r="H8" s="357">
        <f>calculRISKS!R7</f>
        <v>2.124482310870604E-3</v>
      </c>
      <c r="I8" s="330">
        <f>calculRISKS!S7</f>
        <v>2.7533290748883027E-3</v>
      </c>
      <c r="J8" s="330">
        <f>calculRISKS!V7</f>
        <v>2.7533290748883027E-3</v>
      </c>
      <c r="K8" s="357">
        <f t="shared" si="0"/>
        <v>4.163985329306381E-4</v>
      </c>
      <c r="N8" s="29"/>
      <c r="Q8" s="332" t="s">
        <v>39</v>
      </c>
      <c r="R8" s="336">
        <f t="shared" si="1"/>
        <v>1.296</v>
      </c>
      <c r="S8">
        <v>1.2</v>
      </c>
      <c r="T8" s="29">
        <f t="shared" si="2"/>
        <v>1.296</v>
      </c>
      <c r="U8" s="29">
        <v>2.2000000000000002</v>
      </c>
      <c r="V8" s="29">
        <v>3</v>
      </c>
      <c r="W8" s="21" t="s">
        <v>784</v>
      </c>
      <c r="X8" s="21" t="s">
        <v>786</v>
      </c>
      <c r="Y8" s="21" t="s">
        <v>785</v>
      </c>
    </row>
    <row r="9" spans="7:25" ht="21">
      <c r="G9" s="332" t="s">
        <v>252</v>
      </c>
      <c r="H9" s="357">
        <f>calculRISKS!R8</f>
        <v>0.20028571428571434</v>
      </c>
      <c r="I9" s="330">
        <f>calculRISKS!S8</f>
        <v>0.29077126162508943</v>
      </c>
      <c r="J9" s="330">
        <f>calculRISKS!V8</f>
        <v>0.29077126162508943</v>
      </c>
      <c r="K9" s="357">
        <f t="shared" si="0"/>
        <v>7.0456975910803632E-2</v>
      </c>
      <c r="N9" s="29"/>
      <c r="Q9" s="332" t="s">
        <v>252</v>
      </c>
      <c r="R9" s="336">
        <f t="shared" si="1"/>
        <v>1.4517823333634989</v>
      </c>
      <c r="S9">
        <v>1.2</v>
      </c>
      <c r="T9" s="29">
        <f t="shared" si="2"/>
        <v>1.4517823333634989</v>
      </c>
      <c r="U9" s="29">
        <v>2.2000000000000002</v>
      </c>
      <c r="V9" s="29">
        <v>3</v>
      </c>
      <c r="W9" s="21" t="s">
        <v>784</v>
      </c>
      <c r="X9" s="21" t="s">
        <v>786</v>
      </c>
      <c r="Y9" s="21" t="s">
        <v>785</v>
      </c>
    </row>
    <row r="10" spans="7:25" ht="21">
      <c r="G10" s="332" t="s">
        <v>41</v>
      </c>
      <c r="H10" s="357">
        <f>calculRISKS!R9</f>
        <v>2.0000000000000004E-2</v>
      </c>
      <c r="I10" s="330">
        <f>calculRISKS!S9</f>
        <v>0</v>
      </c>
      <c r="J10" s="330">
        <f>calculRISKS!V9</f>
        <v>0.03</v>
      </c>
      <c r="K10" s="357">
        <f t="shared" si="0"/>
        <v>7.9999999999999932E-3</v>
      </c>
      <c r="N10" s="29"/>
      <c r="Q10" s="332" t="s">
        <v>41</v>
      </c>
      <c r="R10" s="336">
        <f t="shared" si="1"/>
        <v>0</v>
      </c>
      <c r="S10">
        <v>1.2</v>
      </c>
      <c r="T10" s="29">
        <f t="shared" si="2"/>
        <v>0</v>
      </c>
      <c r="U10" s="29">
        <v>2.2000000000000002</v>
      </c>
      <c r="V10" s="29">
        <v>3</v>
      </c>
      <c r="W10" s="21" t="s">
        <v>784</v>
      </c>
      <c r="X10" s="21" t="s">
        <v>786</v>
      </c>
      <c r="Y10" s="21" t="s">
        <v>785</v>
      </c>
    </row>
    <row r="11" spans="7:25" ht="21">
      <c r="G11" s="332" t="s">
        <v>42</v>
      </c>
      <c r="H11" s="357">
        <f>calculRISKS!R10</f>
        <v>0</v>
      </c>
      <c r="I11" s="330">
        <f>calculRISKS!S10</f>
        <v>0</v>
      </c>
      <c r="J11" s="330">
        <f>calculRISKS!V10</f>
        <v>7.1999999999999981E-2</v>
      </c>
      <c r="K11" s="357">
        <f t="shared" si="0"/>
        <v>7.1999999999999981E-2</v>
      </c>
      <c r="N11" s="29"/>
      <c r="Q11" s="332" t="s">
        <v>42</v>
      </c>
      <c r="R11" s="336" t="e">
        <f t="shared" si="1"/>
        <v>#DIV/0!</v>
      </c>
      <c r="S11">
        <v>1.2</v>
      </c>
      <c r="T11" s="29" t="e">
        <f t="shared" si="2"/>
        <v>#DIV/0!</v>
      </c>
      <c r="U11" s="29">
        <v>2.2000000000000002</v>
      </c>
      <c r="V11" s="29">
        <v>3</v>
      </c>
      <c r="W11" s="21" t="s">
        <v>784</v>
      </c>
      <c r="X11" s="21" t="s">
        <v>786</v>
      </c>
      <c r="Y11" s="21" t="s">
        <v>785</v>
      </c>
    </row>
    <row r="12" spans="7:25" ht="21">
      <c r="G12" s="332" t="s">
        <v>251</v>
      </c>
      <c r="H12" s="357">
        <f>calculRISKS!R11</f>
        <v>5.2857142857143389E-3</v>
      </c>
      <c r="I12" s="330">
        <f>calculRISKS!S11</f>
        <v>0</v>
      </c>
      <c r="J12" s="330">
        <f>calculRISKS!V11</f>
        <v>2.17366071428572E-2</v>
      </c>
      <c r="K12" s="357">
        <f t="shared" si="0"/>
        <v>1.5922321428571428E-2</v>
      </c>
      <c r="N12" s="29"/>
      <c r="Q12" s="332" t="s">
        <v>251</v>
      </c>
      <c r="R12" s="336">
        <f t="shared" si="1"/>
        <v>0</v>
      </c>
      <c r="S12">
        <v>1.2</v>
      </c>
      <c r="T12" s="29">
        <f t="shared" si="2"/>
        <v>0</v>
      </c>
      <c r="U12" s="29">
        <v>2.2000000000000002</v>
      </c>
      <c r="V12" s="29">
        <v>3</v>
      </c>
      <c r="W12" s="21" t="s">
        <v>784</v>
      </c>
      <c r="X12" s="21" t="s">
        <v>786</v>
      </c>
      <c r="Y12" s="21" t="s">
        <v>785</v>
      </c>
    </row>
    <row r="13" spans="7:25" ht="21">
      <c r="G13" s="332" t="s">
        <v>44</v>
      </c>
      <c r="H13" s="357">
        <f>calculRISKS!R12</f>
        <v>9.6428571428571613E-2</v>
      </c>
      <c r="I13" s="330">
        <f>calculRISKS!S12</f>
        <v>0.48214285714285809</v>
      </c>
      <c r="J13" s="330">
        <f>calculRISKS!V12</f>
        <v>0.56651785714285774</v>
      </c>
      <c r="K13" s="357">
        <f t="shared" si="0"/>
        <v>0.46044642857142898</v>
      </c>
      <c r="N13" s="29"/>
      <c r="Q13" s="332" t="s">
        <v>44</v>
      </c>
      <c r="R13" s="336">
        <f t="shared" si="1"/>
        <v>5</v>
      </c>
      <c r="S13">
        <v>1.2</v>
      </c>
      <c r="T13" s="29">
        <f t="shared" si="2"/>
        <v>3</v>
      </c>
      <c r="U13" s="29">
        <v>2.2000000000000002</v>
      </c>
      <c r="V13" s="29">
        <v>3</v>
      </c>
      <c r="W13" s="21" t="s">
        <v>784</v>
      </c>
      <c r="X13" s="21" t="s">
        <v>786</v>
      </c>
      <c r="Y13" s="21" t="s">
        <v>785</v>
      </c>
    </row>
    <row r="14" spans="7:25" ht="21">
      <c r="G14" s="332" t="s">
        <v>45</v>
      </c>
      <c r="H14" s="357">
        <f>calculRISKS!R13</f>
        <v>0.02</v>
      </c>
      <c r="I14" s="330">
        <f>calculRISKS!S13</f>
        <v>2.1600000000000001E-2</v>
      </c>
      <c r="J14" s="330">
        <f>calculRISKS!V13</f>
        <v>2.1600000000000001E-2</v>
      </c>
      <c r="K14" s="357">
        <f t="shared" si="0"/>
        <v>-3.9999999999999758E-4</v>
      </c>
      <c r="N14" s="29"/>
      <c r="Q14" s="332" t="s">
        <v>45</v>
      </c>
      <c r="R14" s="336">
        <f t="shared" si="1"/>
        <v>1.08</v>
      </c>
      <c r="S14">
        <v>1.2</v>
      </c>
      <c r="T14" s="29">
        <f t="shared" si="2"/>
        <v>1.08</v>
      </c>
      <c r="U14" s="29">
        <v>2.2000000000000002</v>
      </c>
      <c r="V14" s="29">
        <v>3</v>
      </c>
      <c r="W14" s="21" t="s">
        <v>784</v>
      </c>
      <c r="X14" s="21" t="s">
        <v>786</v>
      </c>
      <c r="Y14" s="21" t="s">
        <v>785</v>
      </c>
    </row>
    <row r="15" spans="7:25" ht="21">
      <c r="G15" s="332" t="s">
        <v>46</v>
      </c>
      <c r="H15" s="357">
        <f>calculRISKS!R14</f>
        <v>0.04</v>
      </c>
      <c r="I15" s="330">
        <f>calculRISKS!S14</f>
        <v>6.9120000000000001E-2</v>
      </c>
      <c r="J15" s="330">
        <f>calculRISKS!V14</f>
        <v>6.9120000000000001E-2</v>
      </c>
      <c r="K15" s="357">
        <f t="shared" si="0"/>
        <v>2.5120000000000003E-2</v>
      </c>
      <c r="N15" s="29"/>
      <c r="Q15" s="332" t="s">
        <v>46</v>
      </c>
      <c r="R15" s="336">
        <f t="shared" si="1"/>
        <v>1.728</v>
      </c>
      <c r="S15">
        <v>1.2</v>
      </c>
      <c r="T15" s="29">
        <f t="shared" si="2"/>
        <v>1.728</v>
      </c>
      <c r="U15" s="29">
        <v>2.2000000000000002</v>
      </c>
      <c r="V15" s="29">
        <v>3</v>
      </c>
      <c r="W15" s="21" t="s">
        <v>784</v>
      </c>
      <c r="X15" s="21" t="s">
        <v>786</v>
      </c>
      <c r="Y15" s="21" t="s">
        <v>785</v>
      </c>
    </row>
    <row r="16" spans="7:25" ht="21">
      <c r="G16" s="332" t="s">
        <v>47</v>
      </c>
      <c r="H16" s="357">
        <f>calculRISKS!R15</f>
        <v>1.1481492794041925E-2</v>
      </c>
      <c r="I16" s="330">
        <f>calculRISKS!S15</f>
        <v>2.3132875999999997E-2</v>
      </c>
      <c r="J16" s="330">
        <f>calculRISKS!V15</f>
        <v>3.2174875999999998E-2</v>
      </c>
      <c r="K16" s="357">
        <f t="shared" si="0"/>
        <v>1.9545233926553881E-2</v>
      </c>
      <c r="N16" s="29"/>
      <c r="Q16" s="332" t="s">
        <v>47</v>
      </c>
      <c r="R16" s="336">
        <f t="shared" si="1"/>
        <v>2.014796892265116</v>
      </c>
      <c r="S16">
        <v>1.2</v>
      </c>
      <c r="T16" s="29">
        <f t="shared" si="2"/>
        <v>2.014796892265116</v>
      </c>
      <c r="U16" s="29">
        <v>2.2000000000000002</v>
      </c>
      <c r="V16" s="29">
        <v>3</v>
      </c>
      <c r="W16" s="21" t="s">
        <v>784</v>
      </c>
      <c r="X16" s="21" t="s">
        <v>786</v>
      </c>
      <c r="Y16" s="21" t="s">
        <v>785</v>
      </c>
    </row>
    <row r="17" spans="3:25" ht="21">
      <c r="G17" s="332" t="s">
        <v>48</v>
      </c>
      <c r="H17" s="357">
        <f>calculRISKS!R16</f>
        <v>1.78787878787878E-2</v>
      </c>
      <c r="I17" s="330">
        <f>calculRISKS!S16</f>
        <v>6.939862799999999E-2</v>
      </c>
      <c r="J17" s="330">
        <f>calculRISKS!V16</f>
        <v>9.6524627999999987E-2</v>
      </c>
      <c r="K17" s="357">
        <f t="shared" si="0"/>
        <v>7.6857961333333405E-2</v>
      </c>
      <c r="N17" s="29"/>
      <c r="Q17" s="332" t="s">
        <v>48</v>
      </c>
      <c r="R17" s="336">
        <f t="shared" si="1"/>
        <v>3.881618176271203</v>
      </c>
      <c r="S17">
        <v>1.2</v>
      </c>
      <c r="T17" s="29">
        <f t="shared" si="2"/>
        <v>3</v>
      </c>
      <c r="U17" s="29">
        <v>2.2000000000000002</v>
      </c>
      <c r="V17" s="29">
        <v>3</v>
      </c>
      <c r="W17" s="21" t="s">
        <v>784</v>
      </c>
      <c r="X17" s="21" t="s">
        <v>786</v>
      </c>
      <c r="Y17" s="21" t="s">
        <v>785</v>
      </c>
    </row>
    <row r="18" spans="3:25" ht="21">
      <c r="G18" s="332" t="s">
        <v>49</v>
      </c>
      <c r="H18" s="357">
        <f>calculRISKS!R17</f>
        <v>2.6598281139000798E-3</v>
      </c>
      <c r="I18" s="330">
        <f>calculRISKS!S17</f>
        <v>5.3196562278001597E-3</v>
      </c>
      <c r="J18" s="330">
        <f>calculRISKS!V17</f>
        <v>5.3196562278001597E-3</v>
      </c>
      <c r="K18" s="357">
        <f t="shared" si="0"/>
        <v>2.393845302510072E-3</v>
      </c>
      <c r="N18" s="29"/>
      <c r="Q18" s="332" t="s">
        <v>49</v>
      </c>
      <c r="R18" s="336">
        <f t="shared" si="1"/>
        <v>2</v>
      </c>
      <c r="S18">
        <v>1.2</v>
      </c>
      <c r="T18" s="29">
        <f t="shared" si="2"/>
        <v>2</v>
      </c>
      <c r="U18" s="29">
        <v>2.2000000000000002</v>
      </c>
      <c r="V18" s="29">
        <v>3</v>
      </c>
      <c r="W18" s="21" t="s">
        <v>784</v>
      </c>
      <c r="X18" s="21" t="s">
        <v>786</v>
      </c>
      <c r="Y18" s="21" t="s">
        <v>785</v>
      </c>
    </row>
    <row r="19" spans="3:25" ht="21">
      <c r="G19" s="332" t="s">
        <v>50</v>
      </c>
      <c r="H19" s="357">
        <f>calculRISKS!R18</f>
        <v>1.6101245189740314E-3</v>
      </c>
      <c r="I19" s="330">
        <f>calculRISKS!S18</f>
        <v>4.0253112974350785E-3</v>
      </c>
      <c r="J19" s="330">
        <f>calculRISKS!V18</f>
        <v>9.7334461530599152E-3</v>
      </c>
      <c r="K19" s="357">
        <f t="shared" si="0"/>
        <v>7.9623091821884803E-3</v>
      </c>
      <c r="N19" s="29"/>
      <c r="Q19" s="332" t="s">
        <v>50</v>
      </c>
      <c r="R19" s="336">
        <f t="shared" si="1"/>
        <v>2.5</v>
      </c>
      <c r="S19">
        <v>1.2</v>
      </c>
      <c r="T19" s="29">
        <f t="shared" si="2"/>
        <v>2.5</v>
      </c>
      <c r="U19" s="29">
        <v>2.2000000000000002</v>
      </c>
      <c r="V19" s="29">
        <v>3</v>
      </c>
      <c r="W19" s="21" t="s">
        <v>784</v>
      </c>
      <c r="X19" s="21" t="s">
        <v>786</v>
      </c>
      <c r="Y19" s="21" t="s">
        <v>785</v>
      </c>
    </row>
    <row r="20" spans="3:25" ht="21">
      <c r="G20" s="332" t="s">
        <v>51</v>
      </c>
      <c r="H20" s="357">
        <f>calculRISKS!R19</f>
        <v>0.06</v>
      </c>
      <c r="I20" s="330">
        <f>calculRISKS!S19</f>
        <v>8.6399999999999991E-2</v>
      </c>
      <c r="J20" s="330">
        <f>calculRISKS!V19</f>
        <v>8.6399999999999991E-2</v>
      </c>
      <c r="K20" s="357">
        <f t="shared" si="0"/>
        <v>2.0399999999999988E-2</v>
      </c>
      <c r="N20" s="29"/>
      <c r="Q20" s="332" t="s">
        <v>51</v>
      </c>
      <c r="R20" s="336">
        <f t="shared" si="1"/>
        <v>1.44</v>
      </c>
      <c r="S20">
        <v>1.2</v>
      </c>
      <c r="T20" s="29">
        <f t="shared" si="2"/>
        <v>1.44</v>
      </c>
      <c r="U20" s="29">
        <v>2.2000000000000002</v>
      </c>
      <c r="V20" s="29">
        <v>3</v>
      </c>
      <c r="W20" s="21" t="s">
        <v>784</v>
      </c>
      <c r="X20" s="21" t="s">
        <v>786</v>
      </c>
      <c r="Y20" s="21" t="s">
        <v>785</v>
      </c>
    </row>
    <row r="21" spans="3:25" ht="21">
      <c r="G21" s="332" t="s">
        <v>52</v>
      </c>
      <c r="H21" s="357">
        <f>calculRISKS!R20</f>
        <v>3.437189083746294E-3</v>
      </c>
      <c r="I21" s="330">
        <f>calculRISKS!S20</f>
        <v>4.4545970525351969E-3</v>
      </c>
      <c r="J21" s="330">
        <f>calculRISKS!V20</f>
        <v>4.4545970525351969E-3</v>
      </c>
      <c r="K21" s="357">
        <f t="shared" si="0"/>
        <v>6.736890604142733E-4</v>
      </c>
      <c r="N21" s="29"/>
      <c r="Q21" s="332" t="s">
        <v>52</v>
      </c>
      <c r="R21" s="336">
        <f t="shared" si="1"/>
        <v>1.296</v>
      </c>
      <c r="S21">
        <v>1.2</v>
      </c>
      <c r="T21" s="29">
        <f t="shared" si="2"/>
        <v>1.296</v>
      </c>
      <c r="U21" s="29">
        <v>2.2000000000000002</v>
      </c>
      <c r="V21" s="29">
        <v>3</v>
      </c>
      <c r="W21" s="21" t="s">
        <v>784</v>
      </c>
      <c r="X21" s="21" t="s">
        <v>786</v>
      </c>
      <c r="Y21" s="21" t="s">
        <v>785</v>
      </c>
    </row>
    <row r="22" spans="3:25" ht="21">
      <c r="G22" s="332" t="s">
        <v>97</v>
      </c>
      <c r="H22" s="357">
        <f>calculRISKS!R21</f>
        <v>1.5654545454546059E-5</v>
      </c>
      <c r="I22" s="330">
        <f>calculRISKS!S21</f>
        <v>1.6906909090909746E-5</v>
      </c>
      <c r="J22" s="330">
        <f>calculRISKS!V21</f>
        <v>5.8604727272728426E-5</v>
      </c>
      <c r="K22" s="357">
        <f t="shared" si="0"/>
        <v>4.1384727272727761E-5</v>
      </c>
      <c r="N22" s="29"/>
      <c r="Q22" s="332" t="s">
        <v>97</v>
      </c>
      <c r="R22" s="336">
        <f t="shared" si="1"/>
        <v>1.08</v>
      </c>
      <c r="S22">
        <v>1.2</v>
      </c>
      <c r="T22" s="29">
        <f t="shared" si="2"/>
        <v>1.08</v>
      </c>
      <c r="U22" s="29">
        <v>2.2000000000000002</v>
      </c>
      <c r="V22" s="29">
        <v>3</v>
      </c>
      <c r="W22" s="21" t="s">
        <v>784</v>
      </c>
      <c r="X22" s="21" t="s">
        <v>786</v>
      </c>
      <c r="Y22" s="21" t="s">
        <v>785</v>
      </c>
    </row>
    <row r="23" spans="3:25" ht="21">
      <c r="G23" s="333" t="s">
        <v>613</v>
      </c>
      <c r="H23" s="357">
        <f>calculRISKS!R22</f>
        <v>7.334501415180196E-4</v>
      </c>
      <c r="I23" s="330">
        <f>calculRISKS!S22</f>
        <v>1.3202102547324353E-3</v>
      </c>
      <c r="J23" s="330">
        <f>calculRISKS!V22</f>
        <v>1.8000000000000002E-3</v>
      </c>
      <c r="K23" s="357">
        <f t="shared" si="0"/>
        <v>9.9320484433017861E-4</v>
      </c>
      <c r="N23" s="29"/>
      <c r="Q23" s="333" t="s">
        <v>613</v>
      </c>
      <c r="R23" s="336">
        <f t="shared" si="1"/>
        <v>1.8</v>
      </c>
      <c r="S23">
        <v>1.2</v>
      </c>
      <c r="T23" s="29">
        <f t="shared" si="2"/>
        <v>1.8</v>
      </c>
      <c r="U23" s="29">
        <v>2.2000000000000002</v>
      </c>
      <c r="V23" s="29">
        <v>3</v>
      </c>
      <c r="W23" s="21" t="s">
        <v>784</v>
      </c>
      <c r="X23" s="21" t="s">
        <v>786</v>
      </c>
      <c r="Y23" s="21" t="s">
        <v>785</v>
      </c>
    </row>
    <row r="25" spans="3:25">
      <c r="C25" s="21"/>
    </row>
    <row r="27" spans="3:25">
      <c r="I27" s="9" t="s">
        <v>28</v>
      </c>
      <c r="J27" s="9" t="s">
        <v>29</v>
      </c>
      <c r="K27" s="367" t="s">
        <v>825</v>
      </c>
      <c r="L27" s="368" t="s">
        <v>826</v>
      </c>
    </row>
    <row r="28" spans="3:25" ht="21">
      <c r="G28" s="363" t="s">
        <v>54</v>
      </c>
      <c r="I28" s="29">
        <f>calculRISKS!N2</f>
        <v>1.5</v>
      </c>
      <c r="J28" s="29">
        <f>calculRISKS!O2</f>
        <v>1.2</v>
      </c>
      <c r="K28" s="29">
        <f>MAX(I28:J28)</f>
        <v>1.5</v>
      </c>
      <c r="L28" s="29">
        <f>IF(K28&gt;2.5,2.5,K28)</f>
        <v>1.5</v>
      </c>
    </row>
    <row r="29" spans="3:25" ht="21">
      <c r="G29" s="364" t="s">
        <v>35</v>
      </c>
      <c r="I29" s="29">
        <f>calculRISKS!N3</f>
        <v>1</v>
      </c>
      <c r="J29" s="29">
        <f>calculRISKS!O3</f>
        <v>1.2</v>
      </c>
      <c r="K29" s="29">
        <f t="shared" ref="K29:K48" si="3">MAX(I29:J29)</f>
        <v>1.2</v>
      </c>
      <c r="L29" s="29">
        <f t="shared" ref="L29:L48" si="4">IF(K29&gt;2.5,2.5,K29)</f>
        <v>1.2</v>
      </c>
    </row>
    <row r="30" spans="3:25" ht="21">
      <c r="G30" s="364" t="s">
        <v>36</v>
      </c>
      <c r="I30" s="29">
        <f>calculRISKS!N4</f>
        <v>1</v>
      </c>
      <c r="J30" s="29">
        <f>calculRISKS!O4</f>
        <v>1.44</v>
      </c>
      <c r="K30" s="29">
        <f t="shared" si="3"/>
        <v>1.44</v>
      </c>
      <c r="L30" s="29">
        <f t="shared" si="4"/>
        <v>1.44</v>
      </c>
    </row>
    <row r="31" spans="3:25" ht="21">
      <c r="G31" s="364" t="s">
        <v>37</v>
      </c>
      <c r="I31" s="29">
        <f>calculRISKS!N5</f>
        <v>0.9</v>
      </c>
      <c r="J31" s="29">
        <f>calculRISKS!O5</f>
        <v>1.2</v>
      </c>
      <c r="K31" s="29">
        <f t="shared" si="3"/>
        <v>1.2</v>
      </c>
      <c r="L31" s="29">
        <f t="shared" si="4"/>
        <v>1.2</v>
      </c>
    </row>
    <row r="32" spans="3:25" ht="21">
      <c r="G32" s="364" t="s">
        <v>38</v>
      </c>
      <c r="I32" s="29">
        <f>calculRISKS!N6</f>
        <v>1</v>
      </c>
      <c r="J32" s="29">
        <f>calculRISKS!O6</f>
        <v>0.96</v>
      </c>
      <c r="K32" s="29">
        <f t="shared" si="3"/>
        <v>1</v>
      </c>
      <c r="L32" s="29">
        <f t="shared" si="4"/>
        <v>1</v>
      </c>
    </row>
    <row r="33" spans="7:12" ht="21">
      <c r="G33" s="365" t="s">
        <v>39</v>
      </c>
      <c r="I33" s="29">
        <f>calculRISKS!N7</f>
        <v>0.9</v>
      </c>
      <c r="J33" s="29">
        <f>calculRISKS!O7</f>
        <v>1.44</v>
      </c>
      <c r="K33" s="29">
        <f t="shared" si="3"/>
        <v>1.44</v>
      </c>
      <c r="L33" s="29">
        <f t="shared" si="4"/>
        <v>1.44</v>
      </c>
    </row>
    <row r="34" spans="7:12" ht="21">
      <c r="G34" s="366" t="s">
        <v>80</v>
      </c>
      <c r="I34" s="29">
        <f>calculRISKS!N8</f>
        <v>1</v>
      </c>
      <c r="J34" s="29">
        <f>calculRISKS!O8</f>
        <v>1.44</v>
      </c>
      <c r="K34" s="29">
        <f t="shared" si="3"/>
        <v>1.44</v>
      </c>
      <c r="L34" s="29">
        <f t="shared" si="4"/>
        <v>1.44</v>
      </c>
    </row>
    <row r="35" spans="7:12" ht="21">
      <c r="G35" s="364" t="s">
        <v>41</v>
      </c>
      <c r="I35" s="29">
        <f>calculRISKS!N9</f>
        <v>1</v>
      </c>
      <c r="J35" s="29">
        <f>calculRISKS!O9</f>
        <v>1</v>
      </c>
      <c r="K35" s="29">
        <f t="shared" si="3"/>
        <v>1</v>
      </c>
      <c r="L35" s="29">
        <f t="shared" si="4"/>
        <v>1</v>
      </c>
    </row>
    <row r="36" spans="7:12" ht="21">
      <c r="G36" s="366" t="s">
        <v>42</v>
      </c>
      <c r="I36" s="29">
        <f>calculRISKS!N10</f>
        <v>1.2</v>
      </c>
      <c r="J36" s="29">
        <f>calculRISKS!O10</f>
        <v>1.2</v>
      </c>
      <c r="K36" s="29">
        <f t="shared" si="3"/>
        <v>1.2</v>
      </c>
      <c r="L36" s="29">
        <f t="shared" si="4"/>
        <v>1.2</v>
      </c>
    </row>
    <row r="37" spans="7:12" ht="21">
      <c r="G37" s="364" t="s">
        <v>43</v>
      </c>
      <c r="I37" s="29">
        <f>calculRISKS!N11</f>
        <v>0.9</v>
      </c>
      <c r="J37" s="29">
        <f>calculRISKS!O11</f>
        <v>2.5</v>
      </c>
      <c r="K37" s="29">
        <f t="shared" si="3"/>
        <v>2.5</v>
      </c>
      <c r="L37" s="29">
        <f t="shared" si="4"/>
        <v>2.5</v>
      </c>
    </row>
    <row r="38" spans="7:12" ht="21">
      <c r="G38" s="364" t="s">
        <v>44</v>
      </c>
      <c r="I38" s="29">
        <f>calculRISKS!N12</f>
        <v>1</v>
      </c>
      <c r="J38" s="29">
        <f>calculRISKS!O12</f>
        <v>2.5</v>
      </c>
      <c r="K38" s="29">
        <f t="shared" si="3"/>
        <v>2.5</v>
      </c>
      <c r="L38" s="29">
        <f t="shared" si="4"/>
        <v>2.5</v>
      </c>
    </row>
    <row r="39" spans="7:12" ht="21">
      <c r="G39" s="364" t="s">
        <v>45</v>
      </c>
      <c r="I39" s="29">
        <f>calculRISKS!N13</f>
        <v>0.9</v>
      </c>
      <c r="J39" s="29">
        <f>calculRISKS!O13</f>
        <v>1.2</v>
      </c>
      <c r="K39" s="29">
        <f t="shared" si="3"/>
        <v>1.2</v>
      </c>
      <c r="L39" s="29">
        <f t="shared" si="4"/>
        <v>1.2</v>
      </c>
    </row>
    <row r="40" spans="7:12" ht="21">
      <c r="G40" s="364" t="s">
        <v>46</v>
      </c>
      <c r="I40" s="29">
        <f>calculRISKS!N14</f>
        <v>1.2</v>
      </c>
      <c r="J40" s="29">
        <f>calculRISKS!O14</f>
        <v>1.44</v>
      </c>
      <c r="K40" s="29">
        <f t="shared" si="3"/>
        <v>1.44</v>
      </c>
      <c r="L40" s="29">
        <f t="shared" si="4"/>
        <v>1.44</v>
      </c>
    </row>
    <row r="41" spans="7:12" ht="21">
      <c r="G41" s="364" t="s">
        <v>47</v>
      </c>
      <c r="I41" s="29">
        <f>calculRISKS!N15</f>
        <v>1.2</v>
      </c>
      <c r="J41" s="29">
        <f>calculRISKS!O15</f>
        <v>1.728</v>
      </c>
      <c r="K41" s="29">
        <f t="shared" si="3"/>
        <v>1.728</v>
      </c>
      <c r="L41" s="29">
        <f t="shared" si="4"/>
        <v>1.728</v>
      </c>
    </row>
    <row r="42" spans="7:12" ht="21">
      <c r="G42" s="364" t="s">
        <v>48</v>
      </c>
      <c r="I42" s="29">
        <f>calculRISKS!N16</f>
        <v>1.2</v>
      </c>
      <c r="J42" s="29">
        <f>calculRISKS!O16</f>
        <v>3.5999999999999996</v>
      </c>
      <c r="K42" s="29">
        <f t="shared" si="3"/>
        <v>3.5999999999999996</v>
      </c>
      <c r="L42" s="29">
        <f t="shared" si="4"/>
        <v>2.5</v>
      </c>
    </row>
    <row r="43" spans="7:12" ht="21">
      <c r="G43" s="365" t="s">
        <v>49</v>
      </c>
      <c r="I43" s="29">
        <f>calculRISKS!N17</f>
        <v>1</v>
      </c>
      <c r="J43" s="29">
        <f>calculRISKS!O17</f>
        <v>20</v>
      </c>
      <c r="K43" s="29">
        <f t="shared" si="3"/>
        <v>20</v>
      </c>
      <c r="L43" s="29">
        <f t="shared" si="4"/>
        <v>2.5</v>
      </c>
    </row>
    <row r="44" spans="7:12" ht="21">
      <c r="G44" s="365" t="s">
        <v>50</v>
      </c>
      <c r="I44" s="29">
        <f>calculRISKS!N18</f>
        <v>1</v>
      </c>
      <c r="J44" s="29">
        <f>calculRISKS!O18</f>
        <v>25</v>
      </c>
      <c r="K44" s="29">
        <f t="shared" si="3"/>
        <v>25</v>
      </c>
      <c r="L44" s="29">
        <f t="shared" si="4"/>
        <v>2.5</v>
      </c>
    </row>
    <row r="45" spans="7:12" ht="21">
      <c r="G45" s="364" t="s">
        <v>51</v>
      </c>
      <c r="I45" s="29">
        <f>calculRISKS!N19</f>
        <v>1.2</v>
      </c>
      <c r="J45" s="29">
        <f>calculRISKS!O19</f>
        <v>1.2</v>
      </c>
      <c r="K45" s="29">
        <f t="shared" si="3"/>
        <v>1.2</v>
      </c>
      <c r="L45" s="29">
        <f t="shared" si="4"/>
        <v>1.2</v>
      </c>
    </row>
    <row r="46" spans="7:12" ht="21">
      <c r="G46" s="365" t="s">
        <v>52</v>
      </c>
      <c r="I46" s="29">
        <f>calculRISKS!N20</f>
        <v>0.9</v>
      </c>
      <c r="J46" s="29">
        <f>calculRISKS!O20</f>
        <v>1.44</v>
      </c>
      <c r="K46" s="29">
        <f t="shared" si="3"/>
        <v>1.44</v>
      </c>
      <c r="L46" s="29">
        <f t="shared" si="4"/>
        <v>1.44</v>
      </c>
    </row>
    <row r="47" spans="7:12" ht="21">
      <c r="G47" s="365" t="s">
        <v>53</v>
      </c>
      <c r="I47" s="29">
        <f>calculRISKS!N21</f>
        <v>0.9</v>
      </c>
      <c r="J47" s="29">
        <f>calculRISKS!O21</f>
        <v>1.2</v>
      </c>
      <c r="K47" s="29">
        <f t="shared" si="3"/>
        <v>1.2</v>
      </c>
      <c r="L47" s="29">
        <f t="shared" si="4"/>
        <v>1.2</v>
      </c>
    </row>
    <row r="48" spans="7:12" ht="21">
      <c r="G48" s="364" t="s">
        <v>608</v>
      </c>
      <c r="I48" s="29">
        <f>calculRISKS!N22</f>
        <v>0.9</v>
      </c>
      <c r="J48" s="29">
        <f>calculRISKS!O22</f>
        <v>20</v>
      </c>
      <c r="K48" s="29">
        <f t="shared" si="3"/>
        <v>20</v>
      </c>
      <c r="L48" s="29">
        <f t="shared" si="4"/>
        <v>2.5</v>
      </c>
    </row>
  </sheetData>
  <conditionalFormatting sqref="G2">
    <cfRule type="iconSet" priority="45">
      <iconSet reverse="1">
        <cfvo type="percent" val="0"/>
        <cfvo type="percent" val="33"/>
        <cfvo type="percent" val="67"/>
      </iconSet>
    </cfRule>
  </conditionalFormatting>
  <conditionalFormatting sqref="G13">
    <cfRule type="colorScale" priority="44">
      <colorScale>
        <cfvo type="min"/>
        <cfvo type="percentile" val="50"/>
        <cfvo type="max"/>
        <color rgb="FF5A8AC6"/>
        <color rgb="FFFCFCFF"/>
        <color rgb="FFF8696B"/>
      </colorScale>
    </cfRule>
  </conditionalFormatting>
  <conditionalFormatting sqref="G14:G19 G4:G12">
    <cfRule type="colorScale" priority="1133">
      <colorScale>
        <cfvo type="min"/>
        <cfvo type="percentile" val="50"/>
        <cfvo type="max"/>
        <color rgb="FF5A8AC6"/>
        <color rgb="FFFCFCFF"/>
        <color rgb="FFF8696B"/>
      </colorScale>
    </cfRule>
  </conditionalFormatting>
  <conditionalFormatting sqref="G20">
    <cfRule type="colorScale" priority="43">
      <colorScale>
        <cfvo type="min"/>
        <cfvo type="percentile" val="50"/>
        <cfvo type="max"/>
        <color rgb="FF5A8AC6"/>
        <color rgb="FFFCFCFF"/>
        <color rgb="FFF8696B"/>
      </colorScale>
    </cfRule>
  </conditionalFormatting>
  <conditionalFormatting sqref="G21">
    <cfRule type="colorScale" priority="42">
      <colorScale>
        <cfvo type="min"/>
        <cfvo type="percentile" val="50"/>
        <cfvo type="max"/>
        <color rgb="FF5A8AC6"/>
        <color rgb="FFFCFCFF"/>
        <color rgb="FFF8696B"/>
      </colorScale>
    </cfRule>
  </conditionalFormatting>
  <conditionalFormatting sqref="G22">
    <cfRule type="iconSet" priority="41">
      <iconSet reverse="1">
        <cfvo type="percent" val="0"/>
        <cfvo type="percent" val="33"/>
        <cfvo type="percent" val="67"/>
      </iconSet>
    </cfRule>
  </conditionalFormatting>
  <conditionalFormatting sqref="G38">
    <cfRule type="colorScale" priority="5">
      <colorScale>
        <cfvo type="min"/>
        <cfvo type="percentile" val="50"/>
        <cfvo type="max"/>
        <color rgb="FF5A8AC6"/>
        <color rgb="FFFCFCFF"/>
        <color rgb="FFF8696B"/>
      </colorScale>
    </cfRule>
  </conditionalFormatting>
  <conditionalFormatting sqref="G39:G44 G29:G37">
    <cfRule type="colorScale" priority="6">
      <colorScale>
        <cfvo type="min"/>
        <cfvo type="percentile" val="50"/>
        <cfvo type="max"/>
        <color rgb="FF5A8AC6"/>
        <color rgb="FFFCFCFF"/>
        <color rgb="FFF8696B"/>
      </colorScale>
    </cfRule>
  </conditionalFormatting>
  <conditionalFormatting sqref="G45">
    <cfRule type="colorScale" priority="4">
      <colorScale>
        <cfvo type="min"/>
        <cfvo type="percentile" val="50"/>
        <cfvo type="max"/>
        <color rgb="FF5A8AC6"/>
        <color rgb="FFFCFCFF"/>
        <color rgb="FFF8696B"/>
      </colorScale>
    </cfRule>
  </conditionalFormatting>
  <conditionalFormatting sqref="G46">
    <cfRule type="colorScale" priority="3">
      <colorScale>
        <cfvo type="min"/>
        <cfvo type="percentile" val="50"/>
        <cfvo type="max"/>
        <color rgb="FF5A8AC6"/>
        <color rgb="FFFCFCFF"/>
        <color rgb="FFF8696B"/>
      </colorScale>
    </cfRule>
  </conditionalFormatting>
  <conditionalFormatting sqref="G47">
    <cfRule type="iconSet" priority="2">
      <iconSet reverse="1">
        <cfvo type="percent" val="0"/>
        <cfvo type="percent" val="33"/>
        <cfvo type="percent" val="67"/>
      </iconSet>
    </cfRule>
  </conditionalFormatting>
  <conditionalFormatting sqref="H3:H23">
    <cfRule type="dataBar" priority="19">
      <dataBar>
        <cfvo type="min"/>
        <cfvo type="max"/>
        <color rgb="FFFF555A"/>
      </dataBar>
      <extLst>
        <ext xmlns:x14="http://schemas.microsoft.com/office/spreadsheetml/2009/9/main" uri="{B025F937-C7B1-47D3-B67F-A62EFF666E3E}">
          <x14:id>{1AA915E5-6E13-41E5-A168-D547C41C6ACC}</x14:id>
        </ext>
      </extLst>
    </cfRule>
  </conditionalFormatting>
  <conditionalFormatting sqref="H23">
    <cfRule type="dataBar" priority="25">
      <dataBar>
        <cfvo type="min"/>
        <cfvo type="max"/>
        <color rgb="FFD6007B"/>
      </dataBar>
      <extLst>
        <ext xmlns:x14="http://schemas.microsoft.com/office/spreadsheetml/2009/9/main" uri="{B025F937-C7B1-47D3-B67F-A62EFF666E3E}">
          <x14:id>{1FD12A1D-39BC-4C93-92C3-7434FA32AB89}</x14:id>
        </ext>
      </extLst>
    </cfRule>
  </conditionalFormatting>
  <conditionalFormatting sqref="H3:I3">
    <cfRule type="dataBar" priority="20">
      <dataBar>
        <cfvo type="min"/>
        <cfvo type="max"/>
        <color rgb="FFFF555A"/>
      </dataBar>
      <extLst>
        <ext xmlns:x14="http://schemas.microsoft.com/office/spreadsheetml/2009/9/main" uri="{B025F937-C7B1-47D3-B67F-A62EFF666E3E}">
          <x14:id>{CB1807FC-3940-4B33-A715-E93E8A0B55EC}</x14:id>
        </ext>
      </extLst>
    </cfRule>
  </conditionalFormatting>
  <conditionalFormatting sqref="H3:J22">
    <cfRule type="dataBar" priority="1136">
      <dataBar>
        <cfvo type="min"/>
        <cfvo type="max"/>
        <color rgb="FFD6007B"/>
      </dataBar>
      <extLst>
        <ext xmlns:x14="http://schemas.microsoft.com/office/spreadsheetml/2009/9/main" uri="{B025F937-C7B1-47D3-B67F-A62EFF666E3E}">
          <x14:id>{62FC2EB5-DE83-4C2F-9E93-DDE0F9C2377D}</x14:id>
        </ext>
      </extLst>
    </cfRule>
  </conditionalFormatting>
  <conditionalFormatting sqref="I3:I23">
    <cfRule type="dataBar" priority="18">
      <dataBar>
        <cfvo type="min"/>
        <cfvo type="max"/>
        <color rgb="FF008AEF"/>
      </dataBar>
      <extLst>
        <ext xmlns:x14="http://schemas.microsoft.com/office/spreadsheetml/2009/9/main" uri="{B025F937-C7B1-47D3-B67F-A62EFF666E3E}">
          <x14:id>{FA04E9A5-F8D2-469E-8C9A-E96559BA2F91}</x14:id>
        </ext>
      </extLst>
    </cfRule>
  </conditionalFormatting>
  <conditionalFormatting sqref="I23">
    <cfRule type="dataBar" priority="24">
      <dataBar>
        <cfvo type="min"/>
        <cfvo type="max"/>
        <color rgb="FFD6007B"/>
      </dataBar>
      <extLst>
        <ext xmlns:x14="http://schemas.microsoft.com/office/spreadsheetml/2009/9/main" uri="{B025F937-C7B1-47D3-B67F-A62EFF666E3E}">
          <x14:id>{A0AD603D-66FC-47A7-BB80-F7B80B8B65A8}</x14:id>
        </ext>
      </extLst>
    </cfRule>
  </conditionalFormatting>
  <conditionalFormatting sqref="I27:J27">
    <cfRule type="colorScale" priority="1">
      <colorScale>
        <cfvo type="min"/>
        <cfvo type="percentile" val="50"/>
        <cfvo type="max"/>
        <color rgb="FF63BE7B"/>
        <color rgb="FFFFEB84"/>
        <color rgb="FFF8696B"/>
      </colorScale>
    </cfRule>
  </conditionalFormatting>
  <conditionalFormatting sqref="J2:J23">
    <cfRule type="dataBar" priority="17">
      <dataBar>
        <cfvo type="min"/>
        <cfvo type="max"/>
        <color rgb="FFD6007B"/>
      </dataBar>
      <extLst>
        <ext xmlns:x14="http://schemas.microsoft.com/office/spreadsheetml/2009/9/main" uri="{B025F937-C7B1-47D3-B67F-A62EFF666E3E}">
          <x14:id>{3B8AF376-8769-46ED-8330-8BD7E7804BA4}</x14:id>
        </ext>
      </extLst>
    </cfRule>
  </conditionalFormatting>
  <conditionalFormatting sqref="J3:J23">
    <cfRule type="dataBar" priority="27">
      <dataBar>
        <cfvo type="min"/>
        <cfvo type="max"/>
        <color rgb="FFFF555A"/>
      </dataBar>
      <extLst>
        <ext xmlns:x14="http://schemas.microsoft.com/office/spreadsheetml/2009/9/main" uri="{B025F937-C7B1-47D3-B67F-A62EFF666E3E}">
          <x14:id>{B80FAE06-C9FC-4982-9EEA-C55E88B2CC20}</x14:id>
        </ext>
      </extLst>
    </cfRule>
  </conditionalFormatting>
  <conditionalFormatting sqref="J23">
    <cfRule type="dataBar" priority="23">
      <dataBar>
        <cfvo type="min"/>
        <cfvo type="max"/>
        <color rgb="FFD6007B"/>
      </dataBar>
      <extLst>
        <ext xmlns:x14="http://schemas.microsoft.com/office/spreadsheetml/2009/9/main" uri="{B025F937-C7B1-47D3-B67F-A62EFF666E3E}">
          <x14:id>{929C66FD-2664-4843-86D8-8AF85AE5E28F}</x14:id>
        </ext>
      </extLst>
    </cfRule>
  </conditionalFormatting>
  <conditionalFormatting sqref="K3:K23">
    <cfRule type="colorScale" priority="29">
      <colorScale>
        <cfvo type="num" val="-0.05"/>
        <cfvo type="num" val="0.05"/>
        <cfvo type="num" val="0.2"/>
        <color rgb="FF0070C0"/>
        <color rgb="FFFFEB84"/>
        <color rgb="FFFF0000"/>
      </colorScale>
    </cfRule>
  </conditionalFormatting>
  <conditionalFormatting sqref="N1:N1048576">
    <cfRule type="colorScale" priority="7">
      <colorScale>
        <cfvo type="min"/>
        <cfvo type="percentile" val="50"/>
        <cfvo type="max"/>
        <color rgb="FF63BE7B"/>
        <color rgb="FFFFEB84"/>
        <color rgb="FFF8696B"/>
      </colorScale>
    </cfRule>
  </conditionalFormatting>
  <conditionalFormatting sqref="Q13">
    <cfRule type="colorScale" priority="15">
      <colorScale>
        <cfvo type="min"/>
        <cfvo type="percentile" val="50"/>
        <cfvo type="max"/>
        <color rgb="FF5A8AC6"/>
        <color rgb="FFFCFCFF"/>
        <color rgb="FFF8696B"/>
      </colorScale>
    </cfRule>
  </conditionalFormatting>
  <conditionalFormatting sqref="Q14:Q19 Q4:Q12">
    <cfRule type="colorScale" priority="16">
      <colorScale>
        <cfvo type="min"/>
        <cfvo type="percentile" val="50"/>
        <cfvo type="max"/>
        <color rgb="FF5A8AC6"/>
        <color rgb="FFFCFCFF"/>
        <color rgb="FFF8696B"/>
      </colorScale>
    </cfRule>
  </conditionalFormatting>
  <conditionalFormatting sqref="Q20">
    <cfRule type="colorScale" priority="14">
      <colorScale>
        <cfvo type="min"/>
        <cfvo type="percentile" val="50"/>
        <cfvo type="max"/>
        <color rgb="FF5A8AC6"/>
        <color rgb="FFFCFCFF"/>
        <color rgb="FFF8696B"/>
      </colorScale>
    </cfRule>
  </conditionalFormatting>
  <conditionalFormatting sqref="Q21">
    <cfRule type="colorScale" priority="13">
      <colorScale>
        <cfvo type="min"/>
        <cfvo type="percentile" val="50"/>
        <cfvo type="max"/>
        <color rgb="FF5A8AC6"/>
        <color rgb="FFFCFCFF"/>
        <color rgb="FFF8696B"/>
      </colorScale>
    </cfRule>
  </conditionalFormatting>
  <conditionalFormatting sqref="Q22">
    <cfRule type="iconSet" priority="12">
      <iconSet reverse="1">
        <cfvo type="percent" val="0"/>
        <cfvo type="percent" val="33"/>
        <cfvo type="percent" val="67"/>
      </iconSet>
    </cfRule>
  </conditionalFormatting>
  <conditionalFormatting sqref="R1 R3:R1048576">
    <cfRule type="cellIs" dxfId="61" priority="8" operator="greaterThan">
      <formula>2.2</formula>
    </cfRule>
  </conditionalFormatting>
  <conditionalFormatting sqref="R3:R23">
    <cfRule type="cellIs" dxfId="60" priority="9" operator="between">
      <formula>1.2</formula>
      <formula>2.2</formula>
    </cfRule>
  </conditionalFormatting>
  <pageMargins left="0.7" right="0.7" top="0.75" bottom="0.75" header="0.3" footer="0.3"/>
  <pageSetup paperSize="9" scale="82" orientation="landscape" r:id="rId1"/>
  <colBreaks count="1" manualBreakCount="1">
    <brk id="14" max="1048575" man="1"/>
  </colBreaks>
  <drawing r:id="rId2"/>
  <extLst>
    <ext xmlns:x14="http://schemas.microsoft.com/office/spreadsheetml/2009/9/main" uri="{78C0D931-6437-407d-A8EE-F0AAD7539E65}">
      <x14:conditionalFormattings>
        <x14:conditionalFormatting xmlns:xm="http://schemas.microsoft.com/office/excel/2006/main">
          <x14:cfRule type="dataBar" id="{1AA915E5-6E13-41E5-A168-D547C41C6ACC}">
            <x14:dataBar minLength="0" maxLength="100" gradient="0">
              <x14:cfvo type="autoMin"/>
              <x14:cfvo type="autoMax"/>
              <x14:negativeFillColor rgb="FFFF0000"/>
              <x14:axisColor rgb="FF000000"/>
            </x14:dataBar>
          </x14:cfRule>
          <xm:sqref>H3:H23</xm:sqref>
        </x14:conditionalFormatting>
        <x14:conditionalFormatting xmlns:xm="http://schemas.microsoft.com/office/excel/2006/main">
          <x14:cfRule type="dataBar" id="{1FD12A1D-39BC-4C93-92C3-7434FA32AB89}">
            <x14:dataBar minLength="0" maxLength="100" gradient="0">
              <x14:cfvo type="autoMin"/>
              <x14:cfvo type="autoMax"/>
              <x14:negativeFillColor rgb="FFFF0000"/>
              <x14:axisColor rgb="FF000000"/>
            </x14:dataBar>
          </x14:cfRule>
          <xm:sqref>H23</xm:sqref>
        </x14:conditionalFormatting>
        <x14:conditionalFormatting xmlns:xm="http://schemas.microsoft.com/office/excel/2006/main">
          <x14:cfRule type="dataBar" id="{CB1807FC-3940-4B33-A715-E93E8A0B55EC}">
            <x14:dataBar minLength="0" maxLength="100" border="1" negativeBarBorderColorSameAsPositive="0">
              <x14:cfvo type="autoMin"/>
              <x14:cfvo type="autoMax"/>
              <x14:borderColor rgb="FFFF555A"/>
              <x14:negativeFillColor rgb="FFFF0000"/>
              <x14:negativeBorderColor rgb="FFFF0000"/>
              <x14:axisColor rgb="FF000000"/>
            </x14:dataBar>
          </x14:cfRule>
          <xm:sqref>H3:I3</xm:sqref>
        </x14:conditionalFormatting>
        <x14:conditionalFormatting xmlns:xm="http://schemas.microsoft.com/office/excel/2006/main">
          <x14:cfRule type="dataBar" id="{62FC2EB5-DE83-4C2F-9E93-DDE0F9C2377D}">
            <x14:dataBar minLength="0" maxLength="100" gradient="0">
              <x14:cfvo type="autoMin"/>
              <x14:cfvo type="autoMax"/>
              <x14:negativeFillColor rgb="FFFF0000"/>
              <x14:axisColor rgb="FF000000"/>
            </x14:dataBar>
          </x14:cfRule>
          <xm:sqref>H3:J22</xm:sqref>
        </x14:conditionalFormatting>
        <x14:conditionalFormatting xmlns:xm="http://schemas.microsoft.com/office/excel/2006/main">
          <x14:cfRule type="dataBar" id="{FA04E9A5-F8D2-469E-8C9A-E96559BA2F91}">
            <x14:dataBar minLength="0" maxLength="100" gradient="0">
              <x14:cfvo type="autoMin"/>
              <x14:cfvo type="autoMax"/>
              <x14:negativeFillColor rgb="FFFF0000"/>
              <x14:axisColor rgb="FF000000"/>
            </x14:dataBar>
          </x14:cfRule>
          <xm:sqref>I3:I23</xm:sqref>
        </x14:conditionalFormatting>
        <x14:conditionalFormatting xmlns:xm="http://schemas.microsoft.com/office/excel/2006/main">
          <x14:cfRule type="dataBar" id="{A0AD603D-66FC-47A7-BB80-F7B80B8B65A8}">
            <x14:dataBar minLength="0" maxLength="100" gradient="0">
              <x14:cfvo type="autoMin"/>
              <x14:cfvo type="autoMax"/>
              <x14:negativeFillColor rgb="FFFF0000"/>
              <x14:axisColor rgb="FF000000"/>
            </x14:dataBar>
          </x14:cfRule>
          <xm:sqref>I23</xm:sqref>
        </x14:conditionalFormatting>
        <x14:conditionalFormatting xmlns:xm="http://schemas.microsoft.com/office/excel/2006/main">
          <x14:cfRule type="dataBar" id="{3B8AF376-8769-46ED-8330-8BD7E7804BA4}">
            <x14:dataBar minLength="0" maxLength="100" gradient="0">
              <x14:cfvo type="autoMin"/>
              <x14:cfvo type="autoMax"/>
              <x14:negativeFillColor rgb="FFFF0000"/>
              <x14:axisColor rgb="FF000000"/>
            </x14:dataBar>
          </x14:cfRule>
          <xm:sqref>J2:J23</xm:sqref>
        </x14:conditionalFormatting>
        <x14:conditionalFormatting xmlns:xm="http://schemas.microsoft.com/office/excel/2006/main">
          <x14:cfRule type="dataBar" id="{B80FAE06-C9FC-4982-9EEA-C55E88B2CC20}">
            <x14:dataBar minLength="0" maxLength="100" border="1" negativeBarBorderColorSameAsPositive="0">
              <x14:cfvo type="autoMin"/>
              <x14:cfvo type="autoMax"/>
              <x14:borderColor rgb="FFFF555A"/>
              <x14:negativeFillColor rgb="FFFF0000"/>
              <x14:negativeBorderColor rgb="FFFF0000"/>
              <x14:axisColor rgb="FF000000"/>
            </x14:dataBar>
          </x14:cfRule>
          <xm:sqref>J3:J23</xm:sqref>
        </x14:conditionalFormatting>
        <x14:conditionalFormatting xmlns:xm="http://schemas.microsoft.com/office/excel/2006/main">
          <x14:cfRule type="dataBar" id="{929C66FD-2664-4843-86D8-8AF85AE5E28F}">
            <x14:dataBar minLength="0" maxLength="100" gradient="0">
              <x14:cfvo type="autoMin"/>
              <x14:cfvo type="autoMax"/>
              <x14:negativeFillColor rgb="FFFF0000"/>
              <x14:axisColor rgb="FF000000"/>
            </x14:dataBar>
          </x14:cfRule>
          <xm:sqref>J23</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48571-2A71-4440-ACFB-DEC2D9C6D01A}">
  <sheetPr codeName="Feuil10">
    <pageSetUpPr fitToPage="1"/>
  </sheetPr>
  <dimension ref="A1:H106"/>
  <sheetViews>
    <sheetView zoomScale="66" zoomScaleNormal="50" workbookViewId="0">
      <pane xSplit="1" ySplit="1" topLeftCell="B2" activePane="bottomRight" state="frozen"/>
      <selection pane="topRight" activeCell="B1" sqref="B1"/>
      <selection pane="bottomLeft" activeCell="A2" sqref="A2"/>
      <selection pane="bottomRight" activeCell="B46" sqref="B46"/>
    </sheetView>
  </sheetViews>
  <sheetFormatPr baseColWidth="10" defaultColWidth="10.86328125" defaultRowHeight="23.25"/>
  <cols>
    <col min="1" max="1" width="69.86328125" style="181" customWidth="1"/>
    <col min="2" max="2" width="16.53125" style="161" customWidth="1"/>
    <col min="3" max="3" width="144.46484375" style="181" customWidth="1"/>
    <col min="4" max="4" width="4.19921875" style="220" customWidth="1"/>
    <col min="5" max="5" width="15.796875" style="152" customWidth="1"/>
    <col min="6" max="6" width="15.53125" style="152" customWidth="1"/>
    <col min="7" max="7" width="17.1328125" style="152" customWidth="1"/>
    <col min="8" max="16384" width="10.86328125" style="220"/>
  </cols>
  <sheetData>
    <row r="1" spans="1:8" s="155" customFormat="1" ht="35.75" customHeight="1">
      <c r="A1" s="152" t="s">
        <v>99</v>
      </c>
      <c r="B1" s="153" t="s">
        <v>362</v>
      </c>
      <c r="C1" s="152" t="s">
        <v>302</v>
      </c>
      <c r="D1" s="154"/>
      <c r="E1" s="152"/>
      <c r="F1" s="152" t="s">
        <v>363</v>
      </c>
      <c r="G1" s="152"/>
    </row>
    <row r="2" spans="1:8" s="217" customFormat="1">
      <c r="A2" s="182" t="s">
        <v>293</v>
      </c>
      <c r="B2" s="156"/>
      <c r="C2" s="215"/>
      <c r="D2" s="216"/>
      <c r="E2" s="157" t="s">
        <v>364</v>
      </c>
      <c r="F2" s="158" t="s">
        <v>366</v>
      </c>
      <c r="G2" s="159" t="s">
        <v>365</v>
      </c>
      <c r="H2" s="160" t="s">
        <v>504</v>
      </c>
    </row>
    <row r="3" spans="1:8" s="217" customFormat="1" ht="46.5">
      <c r="A3" s="183" t="s">
        <v>505</v>
      </c>
      <c r="B3" s="156">
        <f>'Import Biologie'!E57</f>
        <v>61.25</v>
      </c>
      <c r="C3" s="218" t="s">
        <v>315</v>
      </c>
      <c r="D3" s="216"/>
      <c r="E3" s="152"/>
      <c r="F3" s="152" t="s">
        <v>367</v>
      </c>
      <c r="G3" s="152"/>
      <c r="H3" s="219"/>
    </row>
    <row r="4" spans="1:8" ht="69.75">
      <c r="A4" s="184" t="s">
        <v>294</v>
      </c>
      <c r="B4" s="161">
        <f>'Import Question'!H77</f>
        <v>0.40036730945821852</v>
      </c>
      <c r="C4" s="181" t="s">
        <v>277</v>
      </c>
      <c r="D4" s="216"/>
      <c r="E4" s="157" t="s">
        <v>370</v>
      </c>
      <c r="F4" s="158" t="s">
        <v>369</v>
      </c>
      <c r="G4" s="159" t="s">
        <v>368</v>
      </c>
      <c r="H4" s="160" t="s">
        <v>504</v>
      </c>
    </row>
    <row r="5" spans="1:8" ht="93">
      <c r="A5" s="184" t="s">
        <v>506</v>
      </c>
      <c r="B5" s="161">
        <f>('Import Question'!F79)*'Import Question'!H3</f>
        <v>150</v>
      </c>
      <c r="C5" s="221" t="s">
        <v>377</v>
      </c>
      <c r="D5" s="216"/>
      <c r="E5" s="157" t="s">
        <v>373</v>
      </c>
      <c r="F5" s="158" t="s">
        <v>372</v>
      </c>
      <c r="G5" s="159" t="s">
        <v>371</v>
      </c>
      <c r="H5" s="160" t="s">
        <v>504</v>
      </c>
    </row>
    <row r="6" spans="1:8" ht="93">
      <c r="A6" s="184" t="s">
        <v>507</v>
      </c>
      <c r="B6" s="162">
        <f>('Import Question'!F79)*'Import Question'!H4</f>
        <v>0</v>
      </c>
      <c r="C6" s="221" t="s">
        <v>378</v>
      </c>
      <c r="D6" s="216"/>
      <c r="E6" s="157" t="s">
        <v>374</v>
      </c>
      <c r="F6" s="158" t="s">
        <v>375</v>
      </c>
      <c r="G6" s="159" t="s">
        <v>376</v>
      </c>
      <c r="H6" s="160" t="s">
        <v>504</v>
      </c>
    </row>
    <row r="7" spans="1:8" ht="46.5">
      <c r="A7" s="182" t="s">
        <v>508</v>
      </c>
      <c r="B7" s="161">
        <f>'Import Question'!F80</f>
        <v>120</v>
      </c>
      <c r="C7" s="221" t="s">
        <v>278</v>
      </c>
      <c r="D7" s="216"/>
      <c r="E7" s="157" t="s">
        <v>379</v>
      </c>
      <c r="F7" s="158" t="s">
        <v>380</v>
      </c>
      <c r="G7" s="159" t="s">
        <v>381</v>
      </c>
      <c r="H7" s="160" t="s">
        <v>504</v>
      </c>
    </row>
    <row r="8" spans="1:8">
      <c r="A8" s="182" t="s">
        <v>509</v>
      </c>
      <c r="B8" s="161">
        <f>'Import Question'!F81</f>
        <v>70</v>
      </c>
      <c r="C8" s="221" t="s">
        <v>279</v>
      </c>
      <c r="D8" s="216"/>
      <c r="E8" s="157" t="s">
        <v>374</v>
      </c>
      <c r="F8" s="158" t="s">
        <v>382</v>
      </c>
      <c r="G8" s="159" t="s">
        <v>383</v>
      </c>
      <c r="H8" s="160" t="s">
        <v>504</v>
      </c>
    </row>
    <row r="9" spans="1:8" s="222" customFormat="1">
      <c r="A9" s="185" t="s">
        <v>234</v>
      </c>
      <c r="B9" s="163"/>
      <c r="C9" s="186"/>
      <c r="D9" s="216"/>
      <c r="E9" s="152"/>
      <c r="F9" s="152"/>
      <c r="G9" s="152"/>
      <c r="H9" s="164"/>
    </row>
    <row r="10" spans="1:8" ht="46.5">
      <c r="A10" s="186" t="s">
        <v>602</v>
      </c>
      <c r="B10" s="161">
        <f>'Import Biologie'!H57</f>
        <v>1.92625</v>
      </c>
      <c r="C10" s="223" t="s">
        <v>280</v>
      </c>
      <c r="D10" s="216"/>
      <c r="F10" s="152" t="s">
        <v>367</v>
      </c>
      <c r="H10" s="160" t="s">
        <v>504</v>
      </c>
    </row>
    <row r="11" spans="1:8" ht="46.5">
      <c r="A11" s="186" t="s">
        <v>606</v>
      </c>
      <c r="B11" s="161">
        <f>B10*0.86</f>
        <v>1.6565749999999999</v>
      </c>
      <c r="C11" s="223" t="s">
        <v>281</v>
      </c>
      <c r="D11" s="216"/>
      <c r="F11" s="152" t="s">
        <v>367</v>
      </c>
      <c r="H11" s="160" t="s">
        <v>504</v>
      </c>
    </row>
    <row r="12" spans="1:8" ht="46.5">
      <c r="A12" s="186" t="s">
        <v>603</v>
      </c>
      <c r="B12" s="161">
        <f>B10*1.14</f>
        <v>2.1959249999999999</v>
      </c>
      <c r="C12" s="223" t="s">
        <v>282</v>
      </c>
      <c r="D12" s="216"/>
      <c r="F12" s="152" t="s">
        <v>367</v>
      </c>
      <c r="H12" s="160" t="s">
        <v>504</v>
      </c>
    </row>
    <row r="13" spans="1:8" ht="116.25">
      <c r="A13" s="187" t="s">
        <v>295</v>
      </c>
      <c r="B13" s="165">
        <f>'Import Biologie'!C41</f>
        <v>1900</v>
      </c>
      <c r="C13" s="181" t="s">
        <v>387</v>
      </c>
      <c r="D13" s="216"/>
      <c r="E13" s="157" t="s">
        <v>384</v>
      </c>
      <c r="F13" s="158" t="s">
        <v>386</v>
      </c>
      <c r="G13" s="159" t="s">
        <v>385</v>
      </c>
      <c r="H13" s="160" t="s">
        <v>504</v>
      </c>
    </row>
    <row r="14" spans="1:8" ht="116.25">
      <c r="A14" s="186" t="s">
        <v>510</v>
      </c>
      <c r="B14" s="165">
        <f>'Import Biologie'!C35</f>
        <v>52</v>
      </c>
      <c r="C14" s="221" t="s">
        <v>391</v>
      </c>
      <c r="D14" s="216"/>
      <c r="E14" s="157" t="s">
        <v>388</v>
      </c>
      <c r="F14" s="158" t="s">
        <v>389</v>
      </c>
      <c r="G14" s="159" t="s">
        <v>390</v>
      </c>
      <c r="H14" s="160" t="s">
        <v>504</v>
      </c>
    </row>
    <row r="15" spans="1:8" s="225" customFormat="1">
      <c r="A15" s="188" t="s">
        <v>296</v>
      </c>
      <c r="B15" s="166"/>
      <c r="C15" s="224"/>
      <c r="D15" s="216"/>
      <c r="E15" s="152"/>
      <c r="F15" s="152"/>
      <c r="G15" s="152"/>
      <c r="H15" s="164"/>
    </row>
    <row r="16" spans="1:8" ht="69.75">
      <c r="A16" s="167" t="s">
        <v>511</v>
      </c>
      <c r="B16" s="161">
        <f>'Import Biologie'!H38/8.5</f>
        <v>0.52941176470588236</v>
      </c>
      <c r="C16" s="226" t="s">
        <v>395</v>
      </c>
      <c r="D16" s="216"/>
      <c r="E16" s="157" t="s">
        <v>394</v>
      </c>
      <c r="F16" s="158" t="s">
        <v>393</v>
      </c>
      <c r="G16" s="159" t="s">
        <v>392</v>
      </c>
      <c r="H16" s="160" t="s">
        <v>504</v>
      </c>
    </row>
    <row r="17" spans="1:8" ht="93">
      <c r="A17" s="167" t="s">
        <v>512</v>
      </c>
      <c r="B17" s="161">
        <f>('Import Question'!H140/12)</f>
        <v>0</v>
      </c>
      <c r="C17" s="227" t="s">
        <v>604</v>
      </c>
      <c r="D17" s="216"/>
      <c r="E17" s="157" t="s">
        <v>397</v>
      </c>
      <c r="F17" s="158" t="s">
        <v>396</v>
      </c>
      <c r="G17" s="159" t="s">
        <v>392</v>
      </c>
      <c r="H17" s="160" t="s">
        <v>504</v>
      </c>
    </row>
    <row r="18" spans="1:8" s="228" customFormat="1">
      <c r="A18" s="189" t="s">
        <v>297</v>
      </c>
      <c r="B18" s="168"/>
      <c r="C18" s="175"/>
      <c r="D18" s="216"/>
      <c r="E18" s="157"/>
      <c r="F18" s="158"/>
      <c r="G18" s="159"/>
      <c r="H18" s="160" t="s">
        <v>504</v>
      </c>
    </row>
    <row r="19" spans="1:8" ht="46.5">
      <c r="A19" s="190" t="s">
        <v>513</v>
      </c>
      <c r="B19" s="162">
        <f>'Import Biologie'!C2</f>
        <v>1.19</v>
      </c>
      <c r="C19" s="229" t="s">
        <v>552</v>
      </c>
      <c r="D19" s="216"/>
      <c r="E19" s="157" t="s">
        <v>555</v>
      </c>
      <c r="F19" s="158" t="s">
        <v>556</v>
      </c>
      <c r="G19" s="159" t="s">
        <v>453</v>
      </c>
      <c r="H19" s="160" t="s">
        <v>504</v>
      </c>
    </row>
    <row r="20" spans="1:8" ht="116.25">
      <c r="A20" s="190" t="s">
        <v>514</v>
      </c>
      <c r="B20" s="169">
        <f>'Import Biologie'!C3</f>
        <v>2</v>
      </c>
      <c r="C20" s="221" t="s">
        <v>399</v>
      </c>
      <c r="D20" s="216"/>
      <c r="E20" s="157" t="s">
        <v>400</v>
      </c>
      <c r="F20" s="158"/>
      <c r="G20" s="159"/>
      <c r="H20" s="160" t="s">
        <v>504</v>
      </c>
    </row>
    <row r="21" spans="1:8" ht="139.5">
      <c r="A21" s="190" t="s">
        <v>515</v>
      </c>
      <c r="B21" s="161">
        <f>'Import Biologie'!C4</f>
        <v>0.56000000000000005</v>
      </c>
      <c r="C21" s="221" t="s">
        <v>407</v>
      </c>
      <c r="D21" s="216"/>
      <c r="E21" s="157" t="s">
        <v>409</v>
      </c>
      <c r="F21" s="158" t="s">
        <v>410</v>
      </c>
      <c r="G21" s="159" t="s">
        <v>408</v>
      </c>
      <c r="H21" s="160" t="s">
        <v>504</v>
      </c>
    </row>
    <row r="22" spans="1:8" ht="69.75">
      <c r="A22" s="190" t="s">
        <v>516</v>
      </c>
      <c r="B22" s="161">
        <f>'Import Biologie'!C5</f>
        <v>0.5</v>
      </c>
      <c r="C22" s="221" t="s">
        <v>283</v>
      </c>
      <c r="D22" s="216"/>
      <c r="E22" s="157" t="s">
        <v>401</v>
      </c>
      <c r="F22" s="158" t="s">
        <v>405</v>
      </c>
      <c r="G22" s="159" t="s">
        <v>406</v>
      </c>
      <c r="H22" s="160" t="s">
        <v>504</v>
      </c>
    </row>
    <row r="23" spans="1:8" ht="186">
      <c r="A23" s="190" t="s">
        <v>517</v>
      </c>
      <c r="B23" s="161">
        <f>'Import Biologie'!C6</f>
        <v>0.64</v>
      </c>
      <c r="C23" s="221" t="s">
        <v>284</v>
      </c>
      <c r="D23" s="216"/>
      <c r="E23" s="157" t="s">
        <v>402</v>
      </c>
      <c r="F23" s="158" t="s">
        <v>403</v>
      </c>
      <c r="G23" s="159" t="s">
        <v>404</v>
      </c>
      <c r="H23" s="160" t="s">
        <v>504</v>
      </c>
    </row>
    <row r="24" spans="1:8" ht="139.5">
      <c r="A24" s="190" t="s">
        <v>518</v>
      </c>
      <c r="B24" s="169">
        <f>'Import Biologie'!C7</f>
        <v>1.1000000000000001</v>
      </c>
      <c r="C24" s="221" t="s">
        <v>285</v>
      </c>
      <c r="D24" s="216"/>
      <c r="E24" s="157" t="s">
        <v>400</v>
      </c>
      <c r="F24" s="170" t="s">
        <v>415</v>
      </c>
      <c r="G24" s="159" t="s">
        <v>411</v>
      </c>
      <c r="H24" s="160" t="s">
        <v>504</v>
      </c>
    </row>
    <row r="25" spans="1:8" ht="69.75">
      <c r="A25" s="190" t="s">
        <v>519</v>
      </c>
      <c r="B25" s="162" t="str">
        <f>'Import Biologie'!H27</f>
        <v>N</v>
      </c>
      <c r="C25" s="226" t="s">
        <v>412</v>
      </c>
      <c r="D25" s="216"/>
      <c r="E25" s="171" t="s">
        <v>414</v>
      </c>
      <c r="F25" s="158" t="s">
        <v>416</v>
      </c>
      <c r="G25" s="159" t="s">
        <v>413</v>
      </c>
      <c r="H25" s="160" t="s">
        <v>504</v>
      </c>
    </row>
    <row r="26" spans="1:8">
      <c r="A26" s="190" t="s">
        <v>520</v>
      </c>
      <c r="B26" s="165">
        <f>'Import Biologie'!H26</f>
        <v>0.7583333333333333</v>
      </c>
      <c r="C26" s="181" t="s">
        <v>417</v>
      </c>
      <c r="D26" s="216"/>
      <c r="E26" s="157" t="s">
        <v>418</v>
      </c>
      <c r="F26" s="158" t="s">
        <v>419</v>
      </c>
      <c r="G26" s="159" t="s">
        <v>420</v>
      </c>
      <c r="H26" s="160" t="s">
        <v>504</v>
      </c>
    </row>
    <row r="27" spans="1:8" ht="69.75">
      <c r="A27" s="190" t="s">
        <v>521</v>
      </c>
      <c r="B27" s="165">
        <f>'Import Biologie'!C10</f>
        <v>5.5</v>
      </c>
      <c r="C27" s="221" t="s">
        <v>286</v>
      </c>
      <c r="D27" s="216"/>
      <c r="E27" s="157" t="s">
        <v>421</v>
      </c>
      <c r="F27" s="158" t="s">
        <v>423</v>
      </c>
      <c r="G27" s="159" t="s">
        <v>422</v>
      </c>
      <c r="H27" s="160" t="s">
        <v>504</v>
      </c>
    </row>
    <row r="28" spans="1:8" ht="69.75">
      <c r="A28" s="187" t="s">
        <v>335</v>
      </c>
      <c r="B28" s="172">
        <f>'Import Biologie'!C9</f>
        <v>0.95</v>
      </c>
      <c r="C28" s="230" t="s">
        <v>427</v>
      </c>
      <c r="D28" s="216"/>
      <c r="E28" s="157" t="s">
        <v>424</v>
      </c>
      <c r="F28" s="158" t="s">
        <v>426</v>
      </c>
      <c r="G28" s="159" t="s">
        <v>425</v>
      </c>
      <c r="H28" s="160" t="s">
        <v>504</v>
      </c>
    </row>
    <row r="29" spans="1:8" ht="116.25">
      <c r="A29" s="191" t="s">
        <v>1</v>
      </c>
      <c r="B29" s="161">
        <f>'Import Biologie'!C11</f>
        <v>1</v>
      </c>
      <c r="C29" s="229" t="s">
        <v>345</v>
      </c>
      <c r="D29" s="216"/>
      <c r="E29" s="157" t="s">
        <v>428</v>
      </c>
      <c r="F29" s="170" t="s">
        <v>430</v>
      </c>
      <c r="G29" s="159" t="s">
        <v>429</v>
      </c>
      <c r="H29" s="160" t="s">
        <v>504</v>
      </c>
    </row>
    <row r="30" spans="1:8" ht="116.25">
      <c r="A30" s="190" t="s">
        <v>522</v>
      </c>
      <c r="B30" s="165">
        <f>'Import Biologie'!C12</f>
        <v>14</v>
      </c>
      <c r="C30" s="221" t="s">
        <v>432</v>
      </c>
      <c r="D30" s="216"/>
      <c r="E30" s="173" t="s">
        <v>431</v>
      </c>
      <c r="F30" s="158" t="s">
        <v>440</v>
      </c>
      <c r="G30" s="159" t="s">
        <v>441</v>
      </c>
      <c r="H30" s="160" t="s">
        <v>504</v>
      </c>
    </row>
    <row r="31" spans="1:8" ht="69.75">
      <c r="A31" s="187" t="s">
        <v>298</v>
      </c>
      <c r="B31" s="172">
        <f>'Import Biologie'!C13</f>
        <v>92</v>
      </c>
      <c r="C31" s="221" t="s">
        <v>435</v>
      </c>
      <c r="D31" s="216"/>
      <c r="E31" s="157" t="s">
        <v>434</v>
      </c>
      <c r="F31" s="158" t="s">
        <v>436</v>
      </c>
      <c r="G31" s="159" t="s">
        <v>433</v>
      </c>
      <c r="H31" s="160" t="s">
        <v>504</v>
      </c>
    </row>
    <row r="32" spans="1:8" ht="46.5">
      <c r="A32" s="187" t="s">
        <v>299</v>
      </c>
      <c r="B32" s="172">
        <f>'Import Biologie'!C14</f>
        <v>5</v>
      </c>
      <c r="C32" s="221" t="s">
        <v>437</v>
      </c>
      <c r="D32" s="216"/>
      <c r="E32" s="157" t="s">
        <v>438</v>
      </c>
      <c r="F32" s="158" t="s">
        <v>439</v>
      </c>
      <c r="G32" s="159"/>
      <c r="H32" s="160" t="s">
        <v>504</v>
      </c>
    </row>
    <row r="33" spans="1:8" ht="46.5">
      <c r="A33" s="190" t="s">
        <v>523</v>
      </c>
      <c r="B33" s="165">
        <f>'Import Biologie'!C15</f>
        <v>6.3</v>
      </c>
      <c r="C33" s="221" t="s">
        <v>443</v>
      </c>
      <c r="D33" s="216"/>
      <c r="E33" s="157" t="s">
        <v>442</v>
      </c>
      <c r="F33" s="158" t="s">
        <v>445</v>
      </c>
      <c r="G33" s="159" t="s">
        <v>444</v>
      </c>
      <c r="H33" s="160" t="s">
        <v>504</v>
      </c>
    </row>
    <row r="34" spans="1:8" ht="46.5">
      <c r="A34" s="190" t="s">
        <v>524</v>
      </c>
      <c r="B34" s="165">
        <f>'Import Biologie'!C16</f>
        <v>3.7</v>
      </c>
      <c r="C34" s="221" t="s">
        <v>446</v>
      </c>
      <c r="D34" s="216"/>
      <c r="E34" s="157" t="s">
        <v>448</v>
      </c>
      <c r="F34" s="158"/>
      <c r="G34" s="159" t="s">
        <v>452</v>
      </c>
      <c r="H34" s="160" t="s">
        <v>504</v>
      </c>
    </row>
    <row r="35" spans="1:8" ht="26.25">
      <c r="A35" s="187" t="s">
        <v>525</v>
      </c>
      <c r="B35" s="172">
        <f>'Import Biologie'!C17</f>
        <v>0.06</v>
      </c>
      <c r="C35" s="221" t="s">
        <v>447</v>
      </c>
      <c r="D35" s="216"/>
      <c r="E35" s="157" t="s">
        <v>449</v>
      </c>
      <c r="F35" s="158"/>
      <c r="G35" s="159" t="s">
        <v>453</v>
      </c>
      <c r="H35" s="160" t="s">
        <v>504</v>
      </c>
    </row>
    <row r="36" spans="1:8" ht="93">
      <c r="A36" s="190" t="s">
        <v>526</v>
      </c>
      <c r="B36" s="165">
        <f>'Import Biologie'!C18</f>
        <v>2</v>
      </c>
      <c r="C36" s="221" t="s">
        <v>454</v>
      </c>
      <c r="D36" s="216"/>
      <c r="E36" s="157" t="s">
        <v>450</v>
      </c>
      <c r="F36" s="158" t="s">
        <v>455</v>
      </c>
      <c r="G36" s="159" t="s">
        <v>456</v>
      </c>
      <c r="H36" s="160" t="s">
        <v>504</v>
      </c>
    </row>
    <row r="37" spans="1:8" ht="69.75">
      <c r="A37" s="190" t="s">
        <v>527</v>
      </c>
      <c r="B37" s="165">
        <f>'Import Biologie'!C19</f>
        <v>267</v>
      </c>
      <c r="C37" s="221" t="s">
        <v>457</v>
      </c>
      <c r="D37" s="216"/>
      <c r="E37" s="157" t="s">
        <v>451</v>
      </c>
      <c r="F37" s="158" t="s">
        <v>459</v>
      </c>
      <c r="G37" s="159" t="s">
        <v>458</v>
      </c>
      <c r="H37" s="160" t="s">
        <v>504</v>
      </c>
    </row>
    <row r="38" spans="1:8" ht="162.75">
      <c r="A38" s="190" t="s">
        <v>8</v>
      </c>
      <c r="B38" s="165">
        <f>'Import Biologie'!C21</f>
        <v>250</v>
      </c>
      <c r="C38" s="221" t="s">
        <v>528</v>
      </c>
      <c r="D38" s="216"/>
      <c r="E38" s="157" t="s">
        <v>461</v>
      </c>
      <c r="F38" s="158" t="s">
        <v>462</v>
      </c>
      <c r="G38" s="159" t="s">
        <v>463</v>
      </c>
      <c r="H38" s="160" t="s">
        <v>504</v>
      </c>
    </row>
    <row r="39" spans="1:8" ht="139.5">
      <c r="A39" s="192" t="s">
        <v>17</v>
      </c>
      <c r="B39" s="162">
        <f>'Import Biologie'!C23</f>
        <v>23</v>
      </c>
      <c r="C39" s="221" t="s">
        <v>287</v>
      </c>
      <c r="D39" s="216"/>
      <c r="E39" s="173" t="s">
        <v>466</v>
      </c>
      <c r="F39" s="158" t="s">
        <v>468</v>
      </c>
      <c r="G39" s="159" t="s">
        <v>467</v>
      </c>
      <c r="H39" s="160" t="s">
        <v>504</v>
      </c>
    </row>
    <row r="40" spans="1:8" ht="139.5">
      <c r="A40" s="192" t="s">
        <v>18</v>
      </c>
      <c r="B40" s="162">
        <f>'Import Biologie'!C24</f>
        <v>44</v>
      </c>
      <c r="C40" s="221" t="s">
        <v>288</v>
      </c>
      <c r="D40" s="216"/>
      <c r="E40" s="173" t="s">
        <v>466</v>
      </c>
      <c r="F40" s="158" t="s">
        <v>465</v>
      </c>
      <c r="G40" s="159" t="s">
        <v>464</v>
      </c>
      <c r="H40" s="160" t="s">
        <v>504</v>
      </c>
    </row>
    <row r="41" spans="1:8" ht="46.5">
      <c r="A41" s="192" t="s">
        <v>529</v>
      </c>
      <c r="B41" s="162">
        <f>'Import Biologie'!C25</f>
        <v>60</v>
      </c>
      <c r="C41" s="231" t="s">
        <v>289</v>
      </c>
      <c r="D41" s="216"/>
      <c r="E41" s="157" t="s">
        <v>469</v>
      </c>
      <c r="F41" s="158" t="s">
        <v>470</v>
      </c>
      <c r="G41" s="159" t="s">
        <v>471</v>
      </c>
      <c r="H41" s="160" t="s">
        <v>504</v>
      </c>
    </row>
    <row r="42" spans="1:8" ht="46.5">
      <c r="A42" s="192" t="s">
        <v>601</v>
      </c>
      <c r="B42" s="162">
        <f>B39/B40</f>
        <v>0.52272727272727271</v>
      </c>
      <c r="C42" s="218" t="s">
        <v>330</v>
      </c>
      <c r="D42" s="216"/>
      <c r="E42" s="157" t="s">
        <v>474</v>
      </c>
      <c r="F42" s="158" t="s">
        <v>472</v>
      </c>
      <c r="G42" s="159" t="s">
        <v>473</v>
      </c>
      <c r="H42" s="160" t="s">
        <v>504</v>
      </c>
    </row>
    <row r="43" spans="1:8" ht="46.5">
      <c r="A43" s="192" t="s">
        <v>241</v>
      </c>
      <c r="B43" s="162">
        <f>'Import Biologie'!H30</f>
        <v>1.3744770364810921</v>
      </c>
      <c r="C43" s="181" t="s">
        <v>331</v>
      </c>
      <c r="D43" s="216"/>
      <c r="E43" s="157" t="s">
        <v>475</v>
      </c>
      <c r="F43" s="158" t="s">
        <v>476</v>
      </c>
      <c r="G43" s="159" t="s">
        <v>477</v>
      </c>
      <c r="H43" s="160" t="s">
        <v>504</v>
      </c>
    </row>
    <row r="44" spans="1:8" ht="46.5">
      <c r="A44" s="193" t="s">
        <v>530</v>
      </c>
      <c r="B44" s="165">
        <f>'Import Biologie'!C31</f>
        <v>0.65</v>
      </c>
      <c r="C44" s="230" t="s">
        <v>548</v>
      </c>
      <c r="D44" s="216"/>
      <c r="E44" s="157" t="s">
        <v>478</v>
      </c>
      <c r="F44" s="158"/>
      <c r="G44" s="159" t="s">
        <v>479</v>
      </c>
      <c r="H44" s="160" t="s">
        <v>504</v>
      </c>
    </row>
    <row r="45" spans="1:8" ht="186">
      <c r="A45" s="189" t="s">
        <v>531</v>
      </c>
      <c r="B45" s="169">
        <f>'Import Biologie'!C33</f>
        <v>510</v>
      </c>
      <c r="C45" s="221" t="s">
        <v>346</v>
      </c>
      <c r="D45" s="216"/>
      <c r="E45" s="157" t="s">
        <v>480</v>
      </c>
      <c r="F45" s="158" t="s">
        <v>481</v>
      </c>
      <c r="G45" s="159" t="s">
        <v>482</v>
      </c>
      <c r="H45" s="160" t="s">
        <v>504</v>
      </c>
    </row>
    <row r="46" spans="1:8" ht="93">
      <c r="A46" s="193" t="s">
        <v>532</v>
      </c>
      <c r="B46" s="162">
        <f>'Import Biologie'!C36</f>
        <v>10</v>
      </c>
      <c r="C46" s="221" t="s">
        <v>290</v>
      </c>
      <c r="D46" s="216"/>
      <c r="E46" s="157" t="s">
        <v>483</v>
      </c>
      <c r="F46" s="174" t="s">
        <v>577</v>
      </c>
      <c r="G46" s="159" t="s">
        <v>484</v>
      </c>
      <c r="H46" s="160" t="s">
        <v>504</v>
      </c>
    </row>
    <row r="47" spans="1:8" ht="46.5">
      <c r="A47" s="193" t="s">
        <v>533</v>
      </c>
      <c r="B47" s="161">
        <f>'Import Biologie'!C37</f>
        <v>81</v>
      </c>
      <c r="C47" s="221" t="s">
        <v>291</v>
      </c>
      <c r="D47" s="216"/>
      <c r="E47" s="157" t="s">
        <v>485</v>
      </c>
      <c r="F47" s="158" t="s">
        <v>486</v>
      </c>
      <c r="G47" s="159" t="s">
        <v>398</v>
      </c>
      <c r="H47" s="160" t="s">
        <v>504</v>
      </c>
    </row>
    <row r="48" spans="1:8">
      <c r="A48" s="175" t="s">
        <v>534</v>
      </c>
      <c r="B48" s="176">
        <f>'Import Biologie'!H35</f>
        <v>2</v>
      </c>
      <c r="C48" s="232" t="s">
        <v>314</v>
      </c>
      <c r="D48" s="216"/>
      <c r="E48" s="157" t="s">
        <v>402</v>
      </c>
      <c r="F48" s="158" t="s">
        <v>487</v>
      </c>
      <c r="G48" s="159" t="s">
        <v>473</v>
      </c>
      <c r="H48" s="160" t="s">
        <v>504</v>
      </c>
    </row>
    <row r="49" spans="1:8" ht="46.5">
      <c r="A49" s="191" t="s">
        <v>535</v>
      </c>
      <c r="B49" s="162" t="e">
        <f>'Import Biologie'!J29</f>
        <v>#DIV/0!</v>
      </c>
      <c r="C49" s="221" t="s">
        <v>334</v>
      </c>
      <c r="D49" s="216"/>
      <c r="E49" s="157" t="s">
        <v>494</v>
      </c>
      <c r="F49" s="158" t="s">
        <v>495</v>
      </c>
      <c r="G49" s="159" t="s">
        <v>496</v>
      </c>
      <c r="H49" s="160" t="s">
        <v>504</v>
      </c>
    </row>
    <row r="50" spans="1:8" ht="46.5">
      <c r="A50" s="191" t="s">
        <v>536</v>
      </c>
      <c r="B50" s="162">
        <f>'Import Biologie'!H32</f>
        <v>1.5</v>
      </c>
      <c r="C50" s="221" t="s">
        <v>503</v>
      </c>
      <c r="D50" s="216"/>
      <c r="E50" s="157" t="s">
        <v>428</v>
      </c>
      <c r="F50" s="170" t="s">
        <v>430</v>
      </c>
      <c r="G50" s="159" t="s">
        <v>429</v>
      </c>
      <c r="H50" s="160" t="s">
        <v>504</v>
      </c>
    </row>
    <row r="51" spans="1:8" ht="69.75">
      <c r="A51" s="193" t="s">
        <v>537</v>
      </c>
      <c r="B51" s="162">
        <f>'Import Biologie'!C60</f>
        <v>1.85</v>
      </c>
      <c r="C51" s="221" t="s">
        <v>292</v>
      </c>
      <c r="D51" s="216"/>
      <c r="E51" s="157" t="s">
        <v>497</v>
      </c>
      <c r="F51" s="158" t="s">
        <v>498</v>
      </c>
      <c r="G51" s="159"/>
      <c r="H51" s="160" t="s">
        <v>504</v>
      </c>
    </row>
    <row r="52" spans="1:8" ht="69.75">
      <c r="A52" s="175" t="s">
        <v>538</v>
      </c>
      <c r="B52" s="169">
        <f>'Import Biologie'!C30</f>
        <v>150</v>
      </c>
      <c r="C52" s="181" t="s">
        <v>500</v>
      </c>
      <c r="D52" s="216"/>
      <c r="E52" s="157" t="s">
        <v>501</v>
      </c>
      <c r="F52" s="158" t="s">
        <v>502</v>
      </c>
      <c r="G52" s="159" t="s">
        <v>460</v>
      </c>
      <c r="H52" s="160" t="s">
        <v>504</v>
      </c>
    </row>
    <row r="53" spans="1:8" s="233" customFormat="1">
      <c r="A53" s="194"/>
      <c r="B53" s="177"/>
      <c r="C53" s="180"/>
      <c r="E53" s="157"/>
      <c r="F53" s="158"/>
      <c r="G53" s="159"/>
      <c r="H53" s="179"/>
    </row>
    <row r="54" spans="1:8" s="233" customFormat="1" ht="116.25">
      <c r="A54" s="194" t="s">
        <v>353</v>
      </c>
      <c r="B54" s="177">
        <f>'Import Biologie'!C38</f>
        <v>0</v>
      </c>
      <c r="C54" s="180" t="s">
        <v>355</v>
      </c>
      <c r="E54" s="157" t="s">
        <v>349</v>
      </c>
      <c r="F54" s="178"/>
      <c r="G54" s="159" t="s">
        <v>348</v>
      </c>
      <c r="H54" s="179" t="s">
        <v>504</v>
      </c>
    </row>
    <row r="55" spans="1:8" s="233" customFormat="1" ht="69.75">
      <c r="A55" s="194" t="s">
        <v>300</v>
      </c>
      <c r="B55" s="177" t="str">
        <f>'Import Biologie'!C39</f>
        <v>Positive</v>
      </c>
      <c r="C55" s="180" t="s">
        <v>354</v>
      </c>
      <c r="E55" s="157" t="s">
        <v>349</v>
      </c>
      <c r="F55" s="178"/>
      <c r="G55" s="159" t="s">
        <v>348</v>
      </c>
      <c r="H55" s="179" t="s">
        <v>504</v>
      </c>
    </row>
    <row r="56" spans="1:8" s="233" customFormat="1" ht="116.25">
      <c r="A56" s="194" t="s">
        <v>356</v>
      </c>
      <c r="B56" s="177">
        <f>'Import Biologie'!C40</f>
        <v>0</v>
      </c>
      <c r="C56" s="180" t="s">
        <v>357</v>
      </c>
      <c r="E56" s="157" t="s">
        <v>349</v>
      </c>
      <c r="F56" s="178"/>
      <c r="G56" s="159" t="s">
        <v>348</v>
      </c>
      <c r="H56" s="179" t="s">
        <v>504</v>
      </c>
    </row>
    <row r="57" spans="1:8" s="233" customFormat="1" ht="93">
      <c r="A57" s="194" t="s">
        <v>301</v>
      </c>
      <c r="B57" s="177">
        <f>'Import Biologie'!C45</f>
        <v>0</v>
      </c>
      <c r="C57" s="180" t="s">
        <v>347</v>
      </c>
      <c r="E57" s="157" t="s">
        <v>488</v>
      </c>
      <c r="F57" s="178"/>
      <c r="G57" s="159" t="s">
        <v>489</v>
      </c>
      <c r="H57" s="179" t="s">
        <v>504</v>
      </c>
    </row>
    <row r="58" spans="1:8" s="233" customFormat="1" ht="116.25">
      <c r="A58" s="194" t="s">
        <v>307</v>
      </c>
      <c r="B58" s="177">
        <f>'Import Biologie'!C46</f>
        <v>0</v>
      </c>
      <c r="C58" s="180" t="s">
        <v>493</v>
      </c>
      <c r="E58" s="157" t="s">
        <v>492</v>
      </c>
      <c r="F58" s="158" t="s">
        <v>491</v>
      </c>
      <c r="G58" s="159"/>
      <c r="H58" s="179" t="s">
        <v>504</v>
      </c>
    </row>
    <row r="59" spans="1:8" s="233" customFormat="1" ht="93">
      <c r="A59" s="194" t="s">
        <v>358</v>
      </c>
      <c r="B59" s="177">
        <f>'Import Biologie'!C51</f>
        <v>0</v>
      </c>
      <c r="C59" s="180" t="s">
        <v>569</v>
      </c>
      <c r="E59" s="157" t="s">
        <v>571</v>
      </c>
      <c r="F59" s="178"/>
      <c r="G59" s="159" t="s">
        <v>573</v>
      </c>
      <c r="H59" s="179" t="s">
        <v>504</v>
      </c>
    </row>
    <row r="60" spans="1:8" s="233" customFormat="1" ht="69.75">
      <c r="A60" s="194" t="s">
        <v>359</v>
      </c>
      <c r="B60" s="177">
        <f>'Import Biologie'!C52</f>
        <v>0</v>
      </c>
      <c r="C60" s="180" t="s">
        <v>570</v>
      </c>
      <c r="E60" s="157" t="s">
        <v>572</v>
      </c>
      <c r="F60" s="178"/>
      <c r="G60" s="159" t="s">
        <v>573</v>
      </c>
      <c r="H60" s="179" t="s">
        <v>504</v>
      </c>
    </row>
    <row r="61" spans="1:8" s="233" customFormat="1" ht="69.75">
      <c r="A61" s="180" t="s">
        <v>360</v>
      </c>
      <c r="B61" s="177">
        <f>'Import Biologie'!C50</f>
        <v>0</v>
      </c>
      <c r="C61" s="234" t="s">
        <v>361</v>
      </c>
      <c r="E61" s="157" t="s">
        <v>572</v>
      </c>
      <c r="F61" s="178"/>
      <c r="G61" s="159" t="s">
        <v>573</v>
      </c>
      <c r="H61" s="179" t="s">
        <v>504</v>
      </c>
    </row>
    <row r="62" spans="1:8" s="233" customFormat="1" ht="209.25">
      <c r="A62" s="180" t="s">
        <v>539</v>
      </c>
      <c r="B62" s="177">
        <f>'Import Biologie'!C42</f>
        <v>2.39</v>
      </c>
      <c r="C62" s="180" t="s">
        <v>605</v>
      </c>
      <c r="E62" s="235" t="s">
        <v>560</v>
      </c>
      <c r="G62" s="236" t="s">
        <v>559</v>
      </c>
    </row>
    <row r="63" spans="1:8" s="233" customFormat="1" ht="93">
      <c r="A63" s="180" t="s">
        <v>551</v>
      </c>
      <c r="B63" s="177">
        <f>'Import Biologie'!C44</f>
        <v>367</v>
      </c>
      <c r="C63" s="237" t="s">
        <v>554</v>
      </c>
      <c r="E63" s="235"/>
      <c r="G63" s="236" t="s">
        <v>561</v>
      </c>
    </row>
    <row r="64" spans="1:8" s="233" customFormat="1" ht="116.25">
      <c r="A64" s="194" t="s">
        <v>549</v>
      </c>
      <c r="B64" s="177">
        <f>'Import Biologie'!C76</f>
        <v>0</v>
      </c>
      <c r="C64" s="237" t="s">
        <v>599</v>
      </c>
      <c r="E64" s="235"/>
      <c r="G64" s="236"/>
    </row>
    <row r="65" spans="1:7" s="233" customFormat="1" ht="116.25">
      <c r="A65" s="194" t="s">
        <v>550</v>
      </c>
      <c r="B65" s="195">
        <f>'Import Biologie'!C75</f>
        <v>0.81325145442792501</v>
      </c>
      <c r="C65" s="237" t="s">
        <v>600</v>
      </c>
      <c r="E65" s="235"/>
      <c r="G65" s="236"/>
    </row>
    <row r="66" spans="1:7" s="233" customFormat="1" ht="69.75">
      <c r="A66" s="194" t="s">
        <v>607</v>
      </c>
      <c r="B66" s="177">
        <f>'Import Biologie'!C69</f>
        <v>5.4117647058823533</v>
      </c>
      <c r="C66" s="237" t="s">
        <v>545</v>
      </c>
      <c r="E66" s="235"/>
      <c r="G66" s="236" t="s">
        <v>565</v>
      </c>
    </row>
    <row r="67" spans="1:7" s="233" customFormat="1" ht="93">
      <c r="A67" s="194" t="s">
        <v>575</v>
      </c>
      <c r="B67" s="177">
        <f>'Import Biologie'!C70</f>
        <v>61.878</v>
      </c>
      <c r="C67" s="237" t="s">
        <v>546</v>
      </c>
      <c r="E67" s="235"/>
      <c r="G67" s="236"/>
    </row>
    <row r="68" spans="1:7" s="233" customFormat="1">
      <c r="A68" s="194" t="s">
        <v>576</v>
      </c>
      <c r="B68" s="177">
        <f>'Import Biologie'!E70</f>
        <v>49</v>
      </c>
      <c r="C68" s="237" t="s">
        <v>547</v>
      </c>
      <c r="E68" s="157"/>
      <c r="F68" s="178"/>
      <c r="G68" s="159"/>
    </row>
    <row r="69" spans="1:7" s="233" customFormat="1" ht="93">
      <c r="A69" s="180" t="s">
        <v>574</v>
      </c>
      <c r="B69" s="177">
        <f>'Import Biologie'!C29</f>
        <v>0</v>
      </c>
      <c r="C69" s="237" t="s">
        <v>566</v>
      </c>
      <c r="E69" s="235"/>
      <c r="G69" s="236" t="s">
        <v>564</v>
      </c>
    </row>
    <row r="70" spans="1:7" s="233" customFormat="1">
      <c r="A70" s="180" t="s">
        <v>211</v>
      </c>
      <c r="B70" s="177" t="e">
        <f>'Import Biologie'!C62</f>
        <v>#DIV/0!</v>
      </c>
      <c r="C70" s="237" t="s">
        <v>543</v>
      </c>
      <c r="E70" s="157"/>
      <c r="F70" s="178"/>
      <c r="G70" s="159"/>
    </row>
    <row r="71" spans="1:7" s="233" customFormat="1" ht="46.5">
      <c r="A71" s="180" t="s">
        <v>541</v>
      </c>
      <c r="B71" s="177" t="e">
        <f>'Import Biologie'!C63</f>
        <v>#DIV/0!</v>
      </c>
      <c r="C71" s="237" t="s">
        <v>544</v>
      </c>
      <c r="E71" s="157"/>
      <c r="F71" s="178"/>
      <c r="G71" s="159" t="s">
        <v>563</v>
      </c>
    </row>
    <row r="72" spans="1:7" s="233" customFormat="1">
      <c r="A72" s="180" t="s">
        <v>553</v>
      </c>
      <c r="B72" s="177">
        <f>'Import Biologie'!C88</f>
        <v>3.5714285714285712</v>
      </c>
      <c r="C72" s="180" t="s">
        <v>558</v>
      </c>
      <c r="E72" s="157"/>
      <c r="F72" s="178"/>
      <c r="G72" s="159" t="s">
        <v>562</v>
      </c>
    </row>
    <row r="73" spans="1:7" s="233" customFormat="1" ht="93">
      <c r="A73" s="180" t="s">
        <v>617</v>
      </c>
      <c r="B73" s="177" t="str">
        <f>'Import Biologie'!N52</f>
        <v>Faible</v>
      </c>
      <c r="C73" s="230" t="s">
        <v>660</v>
      </c>
      <c r="E73" s="157" t="s">
        <v>657</v>
      </c>
      <c r="F73" s="158" t="s">
        <v>658</v>
      </c>
      <c r="G73" s="159" t="s">
        <v>659</v>
      </c>
    </row>
    <row r="74" spans="1:7" s="233" customFormat="1">
      <c r="A74" s="121" t="s">
        <v>627</v>
      </c>
      <c r="B74" s="177">
        <f>'Import Question'!F244</f>
        <v>96</v>
      </c>
      <c r="C74" s="238" t="s">
        <v>629</v>
      </c>
      <c r="E74" s="157" t="s">
        <v>643</v>
      </c>
      <c r="F74" s="178"/>
      <c r="G74" s="159" t="s">
        <v>644</v>
      </c>
    </row>
    <row r="75" spans="1:7" s="233" customFormat="1">
      <c r="A75" s="121" t="s">
        <v>628</v>
      </c>
      <c r="B75" s="177">
        <f>'Import Question'!F245</f>
        <v>96</v>
      </c>
      <c r="C75" s="238" t="s">
        <v>629</v>
      </c>
      <c r="E75" s="157" t="s">
        <v>643</v>
      </c>
      <c r="F75" s="178"/>
      <c r="G75" s="159" t="s">
        <v>644</v>
      </c>
    </row>
    <row r="76" spans="1:7" s="233" customFormat="1" ht="46.5">
      <c r="A76" s="215" t="s">
        <v>633</v>
      </c>
      <c r="B76" s="177">
        <f>(('Import Question'!F242-70)+2*('Import Question'!F243-'Import Question'!F240))/10</f>
        <v>2</v>
      </c>
      <c r="C76" s="180" t="s">
        <v>634</v>
      </c>
      <c r="E76" s="157" t="s">
        <v>635</v>
      </c>
      <c r="F76" s="178"/>
      <c r="G76" s="159" t="s">
        <v>636</v>
      </c>
    </row>
    <row r="77" spans="1:7" s="233" customFormat="1" ht="69.75">
      <c r="A77" s="215" t="s">
        <v>638</v>
      </c>
      <c r="B77" s="177">
        <f>'Import Question'!F236-'Import Question'!F80</f>
        <v>5</v>
      </c>
      <c r="C77" s="239" t="s">
        <v>637</v>
      </c>
      <c r="E77" s="157"/>
      <c r="F77" s="178"/>
      <c r="G77" s="159"/>
    </row>
    <row r="78" spans="1:7" s="233" customFormat="1" ht="69.75">
      <c r="A78" s="215" t="s">
        <v>640</v>
      </c>
      <c r="B78" s="177">
        <f>(('Import Question'!F236-'Import Question'!F237)-('Import Question'!F80-'Import Question'!F81))</f>
        <v>0</v>
      </c>
      <c r="C78" s="239" t="s">
        <v>639</v>
      </c>
      <c r="E78" s="157" t="s">
        <v>641</v>
      </c>
      <c r="F78" s="178"/>
      <c r="G78" s="159" t="s">
        <v>642</v>
      </c>
    </row>
    <row r="79" spans="1:7" s="233" customFormat="1" ht="46.5">
      <c r="A79" s="215" t="s">
        <v>632</v>
      </c>
      <c r="B79" s="177">
        <f>'Import Question'!F80-'Import Question'!F235</f>
        <v>0</v>
      </c>
      <c r="C79" s="240" t="s">
        <v>645</v>
      </c>
      <c r="E79" s="214" t="s">
        <v>647</v>
      </c>
      <c r="F79" s="158" t="s">
        <v>646</v>
      </c>
      <c r="G79" s="159" t="s">
        <v>648</v>
      </c>
    </row>
    <row r="80" spans="1:7" s="233" customFormat="1" ht="69.75">
      <c r="A80" s="243" t="s">
        <v>650</v>
      </c>
      <c r="B80" s="177" t="str">
        <f>'Import Question'!F246</f>
        <v>Non</v>
      </c>
      <c r="C80" s="241" t="s">
        <v>649</v>
      </c>
      <c r="E80" s="157" t="s">
        <v>654</v>
      </c>
      <c r="F80" s="178"/>
      <c r="G80" s="159" t="s">
        <v>655</v>
      </c>
    </row>
    <row r="81" spans="1:7" s="233" customFormat="1">
      <c r="A81" s="244" t="s">
        <v>651</v>
      </c>
      <c r="B81" s="177" t="str">
        <f>'Import Question'!F247</f>
        <v>Non</v>
      </c>
      <c r="C81" s="242" t="s">
        <v>656</v>
      </c>
      <c r="E81" s="157" t="s">
        <v>654</v>
      </c>
      <c r="F81" s="178"/>
      <c r="G81" s="159" t="s">
        <v>655</v>
      </c>
    </row>
    <row r="82" spans="1:7" s="233" customFormat="1">
      <c r="A82" s="215" t="s">
        <v>762</v>
      </c>
      <c r="B82" s="177">
        <f>'Import Question'!F248</f>
        <v>0</v>
      </c>
      <c r="C82" s="299" t="s">
        <v>766</v>
      </c>
      <c r="E82" s="157" t="s">
        <v>763</v>
      </c>
      <c r="F82" s="178"/>
      <c r="G82" s="159" t="s">
        <v>764</v>
      </c>
    </row>
    <row r="83" spans="1:7" s="233" customFormat="1" ht="69.75">
      <c r="A83" s="302" t="s">
        <v>803</v>
      </c>
      <c r="B83" s="346">
        <f>'Import Question'!J252</f>
        <v>0</v>
      </c>
      <c r="C83" s="344" t="s">
        <v>802</v>
      </c>
      <c r="E83" s="157" t="s">
        <v>806</v>
      </c>
      <c r="F83" s="158" t="s">
        <v>807</v>
      </c>
      <c r="G83" s="159" t="s">
        <v>805</v>
      </c>
    </row>
    <row r="84" spans="1:7" s="233" customFormat="1">
      <c r="A84" s="347" t="s">
        <v>804</v>
      </c>
      <c r="B84" s="346">
        <f>'Import Question'!J254</f>
        <v>0.6</v>
      </c>
      <c r="C84" s="345" t="s">
        <v>801</v>
      </c>
      <c r="E84" s="157" t="s">
        <v>806</v>
      </c>
      <c r="F84" s="158" t="s">
        <v>807</v>
      </c>
      <c r="G84" s="159" t="s">
        <v>805</v>
      </c>
    </row>
    <row r="85" spans="1:7" s="233" customFormat="1">
      <c r="A85" s="180"/>
      <c r="B85" s="177"/>
      <c r="C85" s="180"/>
      <c r="E85" s="178"/>
      <c r="F85" s="178"/>
      <c r="G85" s="178"/>
    </row>
    <row r="86" spans="1:7" s="233" customFormat="1">
      <c r="A86" s="180"/>
      <c r="B86" s="177"/>
      <c r="C86" s="180"/>
      <c r="E86" s="178"/>
      <c r="F86" s="178"/>
      <c r="G86" s="178"/>
    </row>
    <row r="87" spans="1:7" s="233" customFormat="1">
      <c r="A87" s="180"/>
      <c r="B87" s="177"/>
      <c r="C87" s="180"/>
      <c r="E87" s="178"/>
      <c r="F87" s="178"/>
      <c r="G87" s="178"/>
    </row>
    <row r="88" spans="1:7" s="233" customFormat="1">
      <c r="A88" s="180"/>
      <c r="B88" s="177"/>
      <c r="C88" s="180"/>
      <c r="E88" s="178"/>
      <c r="F88" s="178"/>
      <c r="G88" s="178"/>
    </row>
    <row r="89" spans="1:7" s="233" customFormat="1">
      <c r="A89" s="180"/>
      <c r="B89" s="177"/>
      <c r="C89" s="180"/>
      <c r="E89" s="178"/>
      <c r="F89" s="178"/>
      <c r="G89" s="178"/>
    </row>
    <row r="90" spans="1:7" s="233" customFormat="1">
      <c r="A90" s="180"/>
      <c r="B90" s="177"/>
      <c r="C90" s="180"/>
      <c r="E90" s="178"/>
      <c r="F90" s="178"/>
      <c r="G90" s="178"/>
    </row>
    <row r="91" spans="1:7" s="233" customFormat="1">
      <c r="A91" s="180"/>
      <c r="B91" s="177"/>
      <c r="C91" s="180"/>
      <c r="E91" s="178"/>
      <c r="F91" s="178"/>
      <c r="G91" s="178"/>
    </row>
    <row r="92" spans="1:7" s="233" customFormat="1">
      <c r="A92" s="180"/>
      <c r="B92" s="177"/>
      <c r="C92" s="180"/>
      <c r="E92" s="178"/>
      <c r="F92" s="178"/>
      <c r="G92" s="178"/>
    </row>
    <row r="93" spans="1:7" s="233" customFormat="1">
      <c r="A93" s="180"/>
      <c r="B93" s="177"/>
      <c r="C93" s="180"/>
      <c r="E93" s="178"/>
      <c r="F93" s="178"/>
      <c r="G93" s="178"/>
    </row>
    <row r="94" spans="1:7" s="233" customFormat="1">
      <c r="A94" s="180"/>
      <c r="B94" s="177"/>
      <c r="C94" s="180"/>
      <c r="E94" s="178"/>
      <c r="F94" s="178"/>
      <c r="G94" s="178"/>
    </row>
    <row r="95" spans="1:7" s="233" customFormat="1">
      <c r="A95" s="180"/>
      <c r="B95" s="177"/>
      <c r="C95" s="180"/>
      <c r="E95" s="178"/>
      <c r="F95" s="178"/>
      <c r="G95" s="178"/>
    </row>
    <row r="96" spans="1:7" s="233" customFormat="1">
      <c r="A96" s="180"/>
      <c r="B96" s="177"/>
      <c r="C96" s="180"/>
      <c r="E96" s="178"/>
      <c r="F96" s="178"/>
      <c r="G96" s="178"/>
    </row>
    <row r="97" spans="1:7" s="233" customFormat="1">
      <c r="A97" s="180"/>
      <c r="B97" s="177"/>
      <c r="C97" s="180"/>
      <c r="E97" s="178"/>
      <c r="F97" s="178"/>
      <c r="G97" s="178"/>
    </row>
    <row r="98" spans="1:7" s="233" customFormat="1">
      <c r="A98" s="180"/>
      <c r="B98" s="177"/>
      <c r="C98" s="180"/>
      <c r="E98" s="178"/>
      <c r="F98" s="178"/>
      <c r="G98" s="178"/>
    </row>
    <row r="99" spans="1:7" s="233" customFormat="1">
      <c r="A99" s="180"/>
      <c r="B99" s="177"/>
      <c r="C99" s="180"/>
      <c r="E99" s="178"/>
      <c r="F99" s="178"/>
      <c r="G99" s="178"/>
    </row>
    <row r="100" spans="1:7" s="233" customFormat="1">
      <c r="A100" s="180"/>
      <c r="B100" s="177"/>
      <c r="C100" s="180"/>
      <c r="E100" s="178"/>
      <c r="F100" s="178"/>
      <c r="G100" s="178"/>
    </row>
    <row r="101" spans="1:7" s="233" customFormat="1">
      <c r="A101" s="180"/>
      <c r="B101" s="177"/>
      <c r="C101" s="180"/>
      <c r="E101" s="178"/>
      <c r="F101" s="178"/>
      <c r="G101" s="178"/>
    </row>
    <row r="102" spans="1:7" s="233" customFormat="1">
      <c r="A102" s="180"/>
      <c r="B102" s="177"/>
      <c r="C102" s="180"/>
      <c r="E102" s="178"/>
      <c r="F102" s="178"/>
      <c r="G102" s="178"/>
    </row>
    <row r="103" spans="1:7" s="233" customFormat="1">
      <c r="A103" s="180"/>
      <c r="B103" s="177"/>
      <c r="C103" s="180"/>
      <c r="E103" s="178"/>
      <c r="F103" s="178"/>
      <c r="G103" s="178"/>
    </row>
    <row r="104" spans="1:7" s="233" customFormat="1">
      <c r="A104" s="180"/>
      <c r="B104" s="177"/>
      <c r="C104" s="180"/>
      <c r="E104" s="178"/>
      <c r="F104" s="178"/>
      <c r="G104" s="178"/>
    </row>
    <row r="105" spans="1:7" s="233" customFormat="1">
      <c r="A105" s="180"/>
      <c r="B105" s="177"/>
      <c r="C105" s="180"/>
      <c r="E105" s="178"/>
      <c r="F105" s="178"/>
      <c r="G105" s="178"/>
    </row>
    <row r="106" spans="1:7" s="233" customFormat="1">
      <c r="A106" s="180"/>
      <c r="B106" s="177"/>
      <c r="C106" s="180"/>
      <c r="E106" s="178"/>
      <c r="F106" s="178"/>
      <c r="G106" s="178"/>
    </row>
  </sheetData>
  <conditionalFormatting sqref="B4">
    <cfRule type="cellIs" dxfId="59" priority="163" operator="lessThan">
      <formula>0.185</formula>
    </cfRule>
    <cfRule type="cellIs" dxfId="58" priority="162" operator="greaterThan">
      <formula>0.29</formula>
    </cfRule>
    <cfRule type="cellIs" dxfId="57" priority="160" operator="between">
      <formula>0.25</formula>
      <formula>0.3</formula>
    </cfRule>
    <cfRule type="cellIs" dxfId="56" priority="161" operator="between">
      <formula>0.185</formula>
      <formula>0.249</formula>
    </cfRule>
  </conditionalFormatting>
  <conditionalFormatting sqref="B5">
    <cfRule type="colorScale" priority="144">
      <colorScale>
        <cfvo type="num" val="88"/>
        <cfvo type="num" val="100"/>
        <cfvo type="num" val="105"/>
        <color rgb="FF00B050"/>
        <color rgb="FFFFEB84"/>
        <color rgb="FFFF0000"/>
      </colorScale>
    </cfRule>
  </conditionalFormatting>
  <conditionalFormatting sqref="B6">
    <cfRule type="cellIs" dxfId="55" priority="142" operator="greaterThan">
      <formula>93.1</formula>
    </cfRule>
    <cfRule type="cellIs" dxfId="54" priority="145" operator="equal">
      <formula>0</formula>
    </cfRule>
    <cfRule type="cellIs" dxfId="53" priority="143" operator="between">
      <formula>88</formula>
      <formula>93</formula>
    </cfRule>
  </conditionalFormatting>
  <conditionalFormatting sqref="B7">
    <cfRule type="colorScale" priority="141">
      <colorScale>
        <cfvo type="num" val="90"/>
        <cfvo type="num" val="120"/>
        <cfvo type="num" val="140"/>
        <color rgb="FF00B050"/>
        <color rgb="FFFFEB84"/>
        <color rgb="FFFF0000"/>
      </colorScale>
    </cfRule>
  </conditionalFormatting>
  <conditionalFormatting sqref="B7:B8">
    <cfRule type="containsBlanks" dxfId="52" priority="138">
      <formula>LEN(TRIM(B7))=0</formula>
    </cfRule>
  </conditionalFormatting>
  <conditionalFormatting sqref="B8">
    <cfRule type="colorScale" priority="139">
      <colorScale>
        <cfvo type="num" val="60"/>
        <cfvo type="num" val="80"/>
        <cfvo type="num" val="90"/>
        <color rgb="FF00B050"/>
        <color rgb="FFFFEB84"/>
        <color rgb="FFFF0000"/>
      </colorScale>
    </cfRule>
  </conditionalFormatting>
  <conditionalFormatting sqref="B13">
    <cfRule type="cellIs" dxfId="51" priority="124" operator="between">
      <formula>600</formula>
      <formula>3000</formula>
    </cfRule>
    <cfRule type="cellIs" dxfId="50" priority="127" operator="equal">
      <formula>0</formula>
    </cfRule>
  </conditionalFormatting>
  <conditionalFormatting sqref="B14">
    <cfRule type="cellIs" dxfId="49" priority="150" operator="between">
      <formula>30</formula>
      <formula>50</formula>
    </cfRule>
  </conditionalFormatting>
  <conditionalFormatting sqref="B16">
    <cfRule type="colorScale" priority="39">
      <colorScale>
        <cfvo type="num" val="0.1"/>
        <cfvo type="num" val="0.21"/>
        <cfvo type="num" val="0.5"/>
        <color rgb="FF00B050"/>
        <color rgb="FFFFEB84"/>
        <color rgb="FFFF0000"/>
      </colorScale>
    </cfRule>
  </conditionalFormatting>
  <conditionalFormatting sqref="B17">
    <cfRule type="colorScale" priority="46">
      <colorScale>
        <cfvo type="num" val="0.1"/>
        <cfvo type="num" val="0.3"/>
        <cfvo type="num" val="0.5"/>
        <color rgb="FF00B050"/>
        <color rgb="FFFFEB84"/>
        <color rgb="FFFF0000"/>
      </colorScale>
    </cfRule>
  </conditionalFormatting>
  <conditionalFormatting sqref="B19">
    <cfRule type="cellIs" dxfId="48" priority="178" operator="between">
      <formula>0.1</formula>
      <formula>0.3</formula>
    </cfRule>
    <cfRule type="cellIs" dxfId="47" priority="172" operator="equal">
      <formula>0</formula>
    </cfRule>
  </conditionalFormatting>
  <conditionalFormatting sqref="B20">
    <cfRule type="colorScale" priority="45">
      <colorScale>
        <cfvo type="num" val="1"/>
        <cfvo type="num" val="2"/>
        <cfvo type="num" val="2.5"/>
        <color rgb="FF00B050"/>
        <color rgb="FFFFEB84"/>
        <color rgb="FFFF0000"/>
      </colorScale>
    </cfRule>
    <cfRule type="cellIs" dxfId="46" priority="176" operator="between">
      <formula>0.1</formula>
      <formula>2</formula>
    </cfRule>
  </conditionalFormatting>
  <conditionalFormatting sqref="B21">
    <cfRule type="colorScale" priority="175">
      <colorScale>
        <cfvo type="num" val="0.2"/>
        <cfvo type="num" val="0.4"/>
        <cfvo type="num" val="0.6"/>
        <color rgb="FFFF0000"/>
        <color rgb="FFFFEB84"/>
        <color rgb="FF00B050"/>
      </colorScale>
    </cfRule>
  </conditionalFormatting>
  <conditionalFormatting sqref="B22">
    <cfRule type="colorScale" priority="174">
      <colorScale>
        <cfvo type="num" val="0.8"/>
        <cfvo type="num" val="1.3"/>
        <cfvo type="num" val="1.7"/>
        <color rgb="FF00B050"/>
        <color rgb="FFFFEB84"/>
        <color rgb="FFFF0000"/>
      </colorScale>
    </cfRule>
  </conditionalFormatting>
  <conditionalFormatting sqref="B23:B24 B26">
    <cfRule type="cellIs" dxfId="45" priority="170" operator="lessThan">
      <formula>2</formula>
    </cfRule>
  </conditionalFormatting>
  <conditionalFormatting sqref="B24">
    <cfRule type="cellIs" dxfId="44" priority="38" operator="greaterThan">
      <formula>10</formula>
    </cfRule>
  </conditionalFormatting>
  <conditionalFormatting sqref="B25">
    <cfRule type="cellIs" dxfId="43" priority="41" operator="equal">
      <formula>"H"</formula>
    </cfRule>
    <cfRule type="cellIs" dxfId="42" priority="23" operator="equal">
      <formula>"L"</formula>
    </cfRule>
  </conditionalFormatting>
  <conditionalFormatting sqref="B27">
    <cfRule type="cellIs" dxfId="41" priority="114" operator="between">
      <formula>0.01</formula>
      <formula>6.5</formula>
    </cfRule>
  </conditionalFormatting>
  <conditionalFormatting sqref="B29">
    <cfRule type="colorScale" priority="110">
      <colorScale>
        <cfvo type="num" val="3"/>
        <cfvo type="num" val="4"/>
        <cfvo type="num" val="5"/>
        <color rgb="FF00B050"/>
        <color rgb="FFFFEB84"/>
        <color rgb="FFFF0000"/>
      </colorScale>
    </cfRule>
  </conditionalFormatting>
  <conditionalFormatting sqref="B30">
    <cfRule type="cellIs" dxfId="40" priority="94" operator="between">
      <formula>11.6</formula>
      <formula>16.6</formula>
    </cfRule>
  </conditionalFormatting>
  <conditionalFormatting sqref="B33">
    <cfRule type="cellIs" dxfId="39" priority="97" operator="between">
      <formula>3.4</formula>
      <formula>9.6</formula>
    </cfRule>
  </conditionalFormatting>
  <conditionalFormatting sqref="B34">
    <cfRule type="cellIs" dxfId="38" priority="96" operator="between">
      <formula>1.5</formula>
      <formula>6.5</formula>
    </cfRule>
  </conditionalFormatting>
  <conditionalFormatting sqref="B36">
    <cfRule type="cellIs" dxfId="37" priority="93" operator="between">
      <formula>0.95</formula>
      <formula>3.1</formula>
    </cfRule>
  </conditionalFormatting>
  <conditionalFormatting sqref="B37">
    <cfRule type="cellIs" dxfId="36" priority="92" operator="between">
      <formula>135</formula>
      <formula>371</formula>
    </cfRule>
  </conditionalFormatting>
  <conditionalFormatting sqref="B38">
    <cfRule type="cellIs" dxfId="35" priority="90" operator="between">
      <formula>11</formula>
      <formula>340</formula>
    </cfRule>
  </conditionalFormatting>
  <conditionalFormatting sqref="B39:B40">
    <cfRule type="cellIs" dxfId="34" priority="88" operator="greaterThan">
      <formula>60</formula>
    </cfRule>
  </conditionalFormatting>
  <conditionalFormatting sqref="B42">
    <cfRule type="cellIs" dxfId="33" priority="37" operator="greaterThan">
      <formula>2</formula>
    </cfRule>
  </conditionalFormatting>
  <conditionalFormatting sqref="B43">
    <cfRule type="cellIs" dxfId="32" priority="87" operator="greaterThan">
      <formula>70</formula>
    </cfRule>
  </conditionalFormatting>
  <conditionalFormatting sqref="B44">
    <cfRule type="cellIs" dxfId="31" priority="35" operator="between">
      <formula>0.4</formula>
      <formula>4</formula>
    </cfRule>
  </conditionalFormatting>
  <conditionalFormatting sqref="B45">
    <cfRule type="cellIs" dxfId="30" priority="34" operator="lessThan">
      <formula>500</formula>
    </cfRule>
    <cfRule type="cellIs" dxfId="29" priority="60" operator="greaterThan">
      <formula>700</formula>
    </cfRule>
  </conditionalFormatting>
  <conditionalFormatting sqref="B46">
    <cfRule type="cellIs" dxfId="28" priority="59" operator="greaterThan">
      <formula>80</formula>
    </cfRule>
  </conditionalFormatting>
  <conditionalFormatting sqref="B47">
    <cfRule type="cellIs" dxfId="27" priority="57" operator="between">
      <formula>60</formula>
      <formula>80</formula>
    </cfRule>
    <cfRule type="cellIs" dxfId="26" priority="56" operator="lessThan">
      <formula>60</formula>
    </cfRule>
  </conditionalFormatting>
  <conditionalFormatting sqref="B48">
    <cfRule type="cellIs" dxfId="25" priority="55" operator="between">
      <formula>1</formula>
      <formula>2</formula>
    </cfRule>
    <cfRule type="cellIs" dxfId="24" priority="54" operator="between">
      <formula>0.1</formula>
      <formula>1</formula>
    </cfRule>
  </conditionalFormatting>
  <conditionalFormatting sqref="B49">
    <cfRule type="cellIs" dxfId="23" priority="32" operator="greaterThan">
      <formula>0.16</formula>
    </cfRule>
    <cfRule type="cellIs" dxfId="22" priority="33" operator="between">
      <formula>0.12</formula>
      <formula>0.16</formula>
    </cfRule>
  </conditionalFormatting>
  <conditionalFormatting sqref="B50">
    <cfRule type="cellIs" dxfId="21" priority="31" operator="between">
      <formula>3</formula>
      <formula>6</formula>
    </cfRule>
    <cfRule type="cellIs" dxfId="20" priority="159" operator="greaterThan">
      <formula>6</formula>
    </cfRule>
  </conditionalFormatting>
  <conditionalFormatting sqref="B51">
    <cfRule type="cellIs" dxfId="19" priority="158" operator="greaterThan">
      <formula>2.5</formula>
    </cfRule>
  </conditionalFormatting>
  <conditionalFormatting sqref="B52">
    <cfRule type="cellIs" dxfId="18" priority="22" operator="lessThan">
      <formula>200</formula>
    </cfRule>
    <cfRule type="cellIs" dxfId="17" priority="21" operator="greaterThan">
      <formula>1000</formula>
    </cfRule>
  </conditionalFormatting>
  <conditionalFormatting sqref="B53">
    <cfRule type="cellIs" dxfId="16" priority="17" operator="equal">
      <formula>0</formula>
    </cfRule>
    <cfRule type="cellIs" dxfId="15" priority="16" operator="between">
      <formula>600</formula>
      <formula>3000</formula>
    </cfRule>
  </conditionalFormatting>
  <conditionalFormatting sqref="B54:B56">
    <cfRule type="cellIs" dxfId="14" priority="19" operator="equal">
      <formula>"Positive"</formula>
    </cfRule>
  </conditionalFormatting>
  <conditionalFormatting sqref="B59:B61">
    <cfRule type="cellIs" dxfId="13" priority="18" operator="equal">
      <formula>"Positive"</formula>
    </cfRule>
  </conditionalFormatting>
  <conditionalFormatting sqref="B62">
    <cfRule type="cellIs" dxfId="12" priority="14" operator="greaterThan">
      <formula>250</formula>
    </cfRule>
  </conditionalFormatting>
  <conditionalFormatting sqref="B62:B63">
    <cfRule type="cellIs" dxfId="11" priority="15" operator="equal">
      <formula>0</formula>
    </cfRule>
  </conditionalFormatting>
  <conditionalFormatting sqref="B63">
    <cfRule type="cellIs" dxfId="10" priority="13" operator="greaterThan">
      <formula>750</formula>
    </cfRule>
  </conditionalFormatting>
  <conditionalFormatting sqref="B64">
    <cfRule type="containsErrors" dxfId="9" priority="10">
      <formula>ISERROR(B64)</formula>
    </cfRule>
    <cfRule type="cellIs" dxfId="8" priority="11" operator="equal">
      <formula>0</formula>
    </cfRule>
  </conditionalFormatting>
  <conditionalFormatting sqref="B65">
    <cfRule type="containsBlanks" dxfId="7" priority="12">
      <formula>LEN(TRIM(B65))=0</formula>
    </cfRule>
    <cfRule type="colorScale" priority="9">
      <colorScale>
        <cfvo type="num" val="-0.2"/>
        <cfvo type="num" val="-0.1"/>
        <cfvo type="num" val="0"/>
        <color rgb="FFFF0000"/>
        <color rgb="FFFFEB84"/>
        <color rgb="FF00B050"/>
      </colorScale>
    </cfRule>
  </conditionalFormatting>
  <conditionalFormatting sqref="B66">
    <cfRule type="cellIs" dxfId="6" priority="8" operator="greaterThan">
      <formula>6</formula>
    </cfRule>
    <cfRule type="cellIs" dxfId="5" priority="7" operator="equal">
      <formula>0</formula>
    </cfRule>
  </conditionalFormatting>
  <conditionalFormatting sqref="B69">
    <cfRule type="cellIs" dxfId="4" priority="6" operator="equal">
      <formula>0</formula>
    </cfRule>
    <cfRule type="cellIs" dxfId="3" priority="5" operator="between">
      <formula>0.01</formula>
      <formula>0.3</formula>
    </cfRule>
    <cfRule type="cellIs" dxfId="2" priority="4" operator="between">
      <formula>0.31</formula>
      <formula>0.7</formula>
    </cfRule>
  </conditionalFormatting>
  <conditionalFormatting sqref="B70:B71">
    <cfRule type="containsErrors" dxfId="1" priority="1">
      <formula>ISERROR(B70)</formula>
    </cfRule>
    <cfRule type="cellIs" dxfId="0" priority="2" operator="greaterThan">
      <formula>0.1</formula>
    </cfRule>
  </conditionalFormatting>
  <printOptions headings="1"/>
  <pageMargins left="0.70866141732283472" right="0.70866141732283472" top="0.74803149606299213" bottom="0.74803149606299213" header="0.31496062992125984" footer="0.31496062992125984"/>
  <pageSetup paperSize="9" scale="29"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FFACE2-1022-43DA-830A-4A6B9B95D1BC}">
  <sheetPr codeName="Feuil9">
    <pageSetUpPr fitToPage="1"/>
  </sheetPr>
  <dimension ref="A1:C40"/>
  <sheetViews>
    <sheetView showFormulas="1" view="pageBreakPreview" zoomScale="75" zoomScaleNormal="75" zoomScaleSheetLayoutView="75" workbookViewId="0">
      <selection activeCell="B2" sqref="B2"/>
    </sheetView>
  </sheetViews>
  <sheetFormatPr baseColWidth="10" defaultColWidth="10.86328125" defaultRowHeight="25.5"/>
  <cols>
    <col min="1" max="1" width="72.796875" style="323" customWidth="1"/>
    <col min="2" max="2" width="5.53125" style="324" customWidth="1"/>
    <col min="3" max="3" width="255.796875" style="43" bestFit="1" customWidth="1"/>
    <col min="4" max="16384" width="10.86328125" style="312"/>
  </cols>
  <sheetData>
    <row r="1" spans="1:3" ht="139.5">
      <c r="A1" s="44" t="s">
        <v>240</v>
      </c>
      <c r="B1" s="38" t="s">
        <v>246</v>
      </c>
      <c r="C1" s="41" t="s">
        <v>557</v>
      </c>
    </row>
    <row r="2" spans="1:3" ht="93">
      <c r="A2" s="45" t="s">
        <v>54</v>
      </c>
      <c r="B2" s="356">
        <f>calculRISKS!V2</f>
        <v>7.0431250000000001E-2</v>
      </c>
      <c r="C2" s="42" t="s">
        <v>590</v>
      </c>
    </row>
    <row r="3" spans="1:3" ht="93">
      <c r="A3" s="45" t="s">
        <v>35</v>
      </c>
      <c r="B3" s="40">
        <f>calculRISKS!V3</f>
        <v>4.8335664335659785E-2</v>
      </c>
      <c r="C3" s="42" t="s">
        <v>578</v>
      </c>
    </row>
    <row r="4" spans="1:3" ht="46.5">
      <c r="A4" s="45" t="s">
        <v>36</v>
      </c>
      <c r="B4" s="40">
        <f>calculRISKS!V4</f>
        <v>1.4399999999999999E-3</v>
      </c>
      <c r="C4" s="42" t="s">
        <v>591</v>
      </c>
    </row>
    <row r="5" spans="1:3" ht="93">
      <c r="A5" s="45" t="s">
        <v>37</v>
      </c>
      <c r="B5" s="40">
        <f>calculRISKS!V5</f>
        <v>7.7760000000002896E-2</v>
      </c>
      <c r="C5" s="42" t="s">
        <v>589</v>
      </c>
    </row>
    <row r="6" spans="1:3" ht="93">
      <c r="A6" s="45" t="s">
        <v>38</v>
      </c>
      <c r="B6" s="40">
        <f>calculRISKS!V6</f>
        <v>2.0266285714285654E-3</v>
      </c>
      <c r="C6" s="42" t="s">
        <v>579</v>
      </c>
    </row>
    <row r="7" spans="1:3" ht="93">
      <c r="A7" s="45" t="s">
        <v>250</v>
      </c>
      <c r="B7" s="40">
        <f>calculRISKS!V7</f>
        <v>2.7533290748883027E-3</v>
      </c>
      <c r="C7" s="42" t="s">
        <v>592</v>
      </c>
    </row>
    <row r="8" spans="1:3" ht="93">
      <c r="A8" s="45" t="s">
        <v>252</v>
      </c>
      <c r="B8" s="40">
        <f>calculRISKS!V8</f>
        <v>0.29077126162508943</v>
      </c>
      <c r="C8" s="42" t="s">
        <v>580</v>
      </c>
    </row>
    <row r="9" spans="1:3" ht="93">
      <c r="A9" s="45" t="s">
        <v>41</v>
      </c>
      <c r="B9" s="40">
        <f>calculRISKS!V9</f>
        <v>0.03</v>
      </c>
      <c r="C9" s="43" t="s">
        <v>581</v>
      </c>
    </row>
    <row r="10" spans="1:3" ht="69.75">
      <c r="A10" s="45" t="s">
        <v>42</v>
      </c>
      <c r="B10" s="40">
        <f>calculRISKS!V10</f>
        <v>7.1999999999999981E-2</v>
      </c>
      <c r="C10" s="43" t="s">
        <v>584</v>
      </c>
    </row>
    <row r="11" spans="1:3" ht="93">
      <c r="A11" s="45" t="s">
        <v>248</v>
      </c>
      <c r="B11" s="40">
        <f>calculRISKS!V11</f>
        <v>2.17366071428572E-2</v>
      </c>
      <c r="C11" s="43" t="s">
        <v>583</v>
      </c>
    </row>
    <row r="12" spans="1:3" ht="93">
      <c r="A12" s="45" t="s">
        <v>44</v>
      </c>
      <c r="B12" s="40">
        <f>calculRISKS!V12</f>
        <v>0.56651785714285774</v>
      </c>
      <c r="C12" s="313" t="s">
        <v>582</v>
      </c>
    </row>
    <row r="13" spans="1:3" ht="139.5">
      <c r="A13" s="45" t="s">
        <v>45</v>
      </c>
      <c r="B13" s="40">
        <f>calculRISKS!V13</f>
        <v>2.1600000000000001E-2</v>
      </c>
      <c r="C13" s="314" t="s">
        <v>593</v>
      </c>
    </row>
    <row r="14" spans="1:3" ht="116.25">
      <c r="A14" s="45" t="s">
        <v>46</v>
      </c>
      <c r="B14" s="40">
        <f>calculRISKS!V14</f>
        <v>6.9120000000000001E-2</v>
      </c>
      <c r="C14" s="315" t="s">
        <v>594</v>
      </c>
    </row>
    <row r="15" spans="1:3" ht="139.5">
      <c r="A15" s="45" t="s">
        <v>47</v>
      </c>
      <c r="B15" s="40">
        <f>calculRISKS!V15</f>
        <v>3.2174875999999998E-2</v>
      </c>
      <c r="C15" s="313" t="s">
        <v>595</v>
      </c>
    </row>
    <row r="16" spans="1:3" ht="116.25">
      <c r="A16" s="45" t="s">
        <v>48</v>
      </c>
      <c r="B16" s="40">
        <f>calculRISKS!V16</f>
        <v>9.6524627999999987E-2</v>
      </c>
      <c r="C16" s="314" t="s">
        <v>585</v>
      </c>
    </row>
    <row r="17" spans="1:3" ht="69.75">
      <c r="A17" s="45" t="s">
        <v>49</v>
      </c>
      <c r="B17" s="40">
        <f>calculRISKS!V17</f>
        <v>5.3196562278001597E-3</v>
      </c>
      <c r="C17" s="314" t="s">
        <v>596</v>
      </c>
    </row>
    <row r="18" spans="1:3" ht="69.75">
      <c r="A18" s="316" t="s">
        <v>249</v>
      </c>
      <c r="B18" s="40">
        <f>calculRISKS!V18</f>
        <v>9.7334461530599152E-3</v>
      </c>
      <c r="C18" s="314" t="s">
        <v>586</v>
      </c>
    </row>
    <row r="19" spans="1:3" ht="116.25">
      <c r="A19" s="45" t="s">
        <v>51</v>
      </c>
      <c r="B19" s="40">
        <f>calculRISKS!V19</f>
        <v>8.6399999999999991E-2</v>
      </c>
      <c r="C19" s="314" t="s">
        <v>597</v>
      </c>
    </row>
    <row r="20" spans="1:3" ht="93">
      <c r="A20" s="45" t="s">
        <v>52</v>
      </c>
      <c r="B20" s="40">
        <f>calculRISKS!V20</f>
        <v>4.4545970525351969E-3</v>
      </c>
      <c r="C20" s="314" t="s">
        <v>587</v>
      </c>
    </row>
    <row r="21" spans="1:3" ht="162.75">
      <c r="A21" s="45" t="s">
        <v>97</v>
      </c>
      <c r="B21" s="39">
        <f>calculRISKS!V21</f>
        <v>5.8604727272728426E-5</v>
      </c>
      <c r="C21" s="313" t="s">
        <v>598</v>
      </c>
    </row>
    <row r="22" spans="1:3" ht="69.75">
      <c r="A22" s="45" t="s">
        <v>616</v>
      </c>
      <c r="B22" s="40">
        <f>calculRISKS!V22</f>
        <v>1.8000000000000002E-3</v>
      </c>
      <c r="C22" s="208" t="s">
        <v>615</v>
      </c>
    </row>
    <row r="23" spans="1:3" s="319" customFormat="1">
      <c r="A23" s="317" t="s">
        <v>242</v>
      </c>
      <c r="B23" s="46" t="s">
        <v>247</v>
      </c>
      <c r="C23" s="318"/>
    </row>
    <row r="24" spans="1:3">
      <c r="A24" s="45" t="s">
        <v>253</v>
      </c>
      <c r="B24" s="320">
        <f>1-('Import Question'!H125/9)</f>
        <v>0.44444444444444442</v>
      </c>
      <c r="C24" s="321" t="s">
        <v>775</v>
      </c>
    </row>
    <row r="25" spans="1:3">
      <c r="A25" s="342" t="s">
        <v>791</v>
      </c>
      <c r="B25" s="320">
        <f>1-(('Import Question'!F209+'Import Question'!G268)/4)</f>
        <v>1</v>
      </c>
      <c r="C25" s="321" t="s">
        <v>776</v>
      </c>
    </row>
    <row r="26" spans="1:3">
      <c r="A26" s="45" t="s">
        <v>254</v>
      </c>
      <c r="B26" s="320">
        <f>1-('Import Question'!F214/3)</f>
        <v>1</v>
      </c>
      <c r="C26" s="321" t="s">
        <v>777</v>
      </c>
    </row>
    <row r="27" spans="1:3">
      <c r="A27" s="45" t="s">
        <v>255</v>
      </c>
      <c r="B27" s="320">
        <f>1-('Import Question'!F219/3)</f>
        <v>1</v>
      </c>
      <c r="C27" s="321" t="s">
        <v>778</v>
      </c>
    </row>
    <row r="28" spans="1:3">
      <c r="A28" s="45" t="s">
        <v>256</v>
      </c>
      <c r="B28" s="320">
        <f>1-('Import Question'!F224+'Import Question'!G271)/4</f>
        <v>1</v>
      </c>
      <c r="C28" s="321" t="s">
        <v>779</v>
      </c>
    </row>
    <row r="29" spans="1:3">
      <c r="A29" s="342" t="s">
        <v>798</v>
      </c>
      <c r="B29" s="320">
        <f>1-('Import Question'!H140/6)</f>
        <v>1</v>
      </c>
      <c r="C29" s="321" t="s">
        <v>780</v>
      </c>
    </row>
    <row r="30" spans="1:3" ht="46.5">
      <c r="A30" s="322" t="s">
        <v>760</v>
      </c>
      <c r="B30" s="320">
        <f>1-'Import Question'!G262</f>
        <v>1</v>
      </c>
      <c r="C30" s="344" t="s">
        <v>800</v>
      </c>
    </row>
    <row r="31" spans="1:3">
      <c r="A31" s="322" t="s">
        <v>761</v>
      </c>
      <c r="B31" s="320">
        <f>1-'Import Question'!G265</f>
        <v>1</v>
      </c>
      <c r="C31" s="345" t="s">
        <v>799</v>
      </c>
    </row>
    <row r="32" spans="1:3">
      <c r="A32" s="343" t="s">
        <v>790</v>
      </c>
      <c r="B32" s="320">
        <f>1-(('Import Question'!G122+'Import Question'!G259)/2)</f>
        <v>0</v>
      </c>
    </row>
    <row r="33" spans="1:2">
      <c r="A33" s="343" t="s">
        <v>792</v>
      </c>
      <c r="B33" s="320">
        <f>1-('Import Question'!G274+'Import Question'!G122)/2</f>
        <v>0</v>
      </c>
    </row>
    <row r="34" spans="1:2">
      <c r="A34" s="45"/>
      <c r="B34" s="39"/>
    </row>
    <row r="35" spans="1:2">
      <c r="A35" s="45"/>
      <c r="B35" s="39"/>
    </row>
    <row r="36" spans="1:2">
      <c r="A36" s="45"/>
      <c r="B36" s="39"/>
    </row>
    <row r="37" spans="1:2">
      <c r="A37" s="45"/>
      <c r="B37" s="39"/>
    </row>
    <row r="38" spans="1:2">
      <c r="A38" s="45"/>
      <c r="B38" s="39"/>
    </row>
    <row r="39" spans="1:2">
      <c r="A39" s="45"/>
      <c r="B39" s="39"/>
    </row>
    <row r="40" spans="1:2">
      <c r="A40" s="45"/>
      <c r="B40" s="39"/>
    </row>
  </sheetData>
  <conditionalFormatting sqref="A12">
    <cfRule type="colorScale" priority="1131">
      <colorScale>
        <cfvo type="min"/>
        <cfvo type="percentile" val="50"/>
        <cfvo type="max"/>
        <color rgb="FF5A8AC6"/>
        <color rgb="FFFCFCFF"/>
        <color rgb="FFF8696B"/>
      </colorScale>
    </cfRule>
  </conditionalFormatting>
  <conditionalFormatting sqref="A13:A17 A3:A11">
    <cfRule type="colorScale" priority="1132">
      <colorScale>
        <cfvo type="min"/>
        <cfvo type="percentile" val="50"/>
        <cfvo type="max"/>
        <color rgb="FF5A8AC6"/>
        <color rgb="FFFCFCFF"/>
        <color rgb="FFF8696B"/>
      </colorScale>
    </cfRule>
  </conditionalFormatting>
  <conditionalFormatting sqref="A19">
    <cfRule type="colorScale" priority="1134">
      <colorScale>
        <cfvo type="min"/>
        <cfvo type="percentile" val="50"/>
        <cfvo type="max"/>
        <color rgb="FF5A8AC6"/>
        <color rgb="FFFCFCFF"/>
        <color rgb="FFF8696B"/>
      </colorScale>
    </cfRule>
  </conditionalFormatting>
  <conditionalFormatting sqref="A20">
    <cfRule type="colorScale" priority="1135">
      <colorScale>
        <cfvo type="min"/>
        <cfvo type="percentile" val="50"/>
        <cfvo type="max"/>
        <color rgb="FF5A8AC6"/>
        <color rgb="FFFCFCFF"/>
        <color rgb="FFF8696B"/>
      </colorScale>
    </cfRule>
  </conditionalFormatting>
  <conditionalFormatting sqref="B1:B40">
    <cfRule type="colorScale" priority="7">
      <colorScale>
        <cfvo type="num" val="0.08"/>
        <cfvo type="num" val="0.15"/>
        <cfvo type="num" val="0.3"/>
        <color rgb="FF63BE7B"/>
        <color rgb="FFFFEB84"/>
        <color rgb="FFF8696B"/>
      </colorScale>
    </cfRule>
  </conditionalFormatting>
  <conditionalFormatting sqref="B24:B29">
    <cfRule type="colorScale" priority="1">
      <colorScale>
        <cfvo type="min"/>
        <cfvo type="percentile" val="50"/>
        <cfvo type="max"/>
        <color rgb="FFF8696B"/>
        <color rgb="FFFFEB84"/>
        <color rgb="FF63BE7B"/>
      </colorScale>
    </cfRule>
  </conditionalFormatting>
  <pageMargins left="0.7" right="0.7" top="0.75" bottom="0.75" header="0.3" footer="0.3"/>
  <pageSetup paperSize="9" scale="17"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97B367-8C22-48DE-A6CD-A89EA8DC769D}">
  <dimension ref="A1"/>
  <sheetViews>
    <sheetView workbookViewId="0"/>
  </sheetViews>
  <sheetFormatPr baseColWidth="10" defaultColWidth="11.53125" defaultRowHeight="14.2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859E0-AE1C-428B-AD58-31CE54ADB2D1}">
  <sheetPr codeName="Feuil8">
    <pageSetUpPr fitToPage="1"/>
  </sheetPr>
  <dimension ref="E4:H26"/>
  <sheetViews>
    <sheetView showGridLines="0" topLeftCell="E2" zoomScale="75" zoomScaleNormal="75" workbookViewId="0">
      <selection activeCell="I19" sqref="I19"/>
    </sheetView>
  </sheetViews>
  <sheetFormatPr baseColWidth="10" defaultColWidth="11.53125" defaultRowHeight="14.25"/>
  <cols>
    <col min="1" max="3" width="10.86328125" customWidth="1"/>
    <col min="4" max="4" width="13.1328125" customWidth="1"/>
    <col min="5" max="5" width="25.1328125" customWidth="1"/>
    <col min="6" max="6" width="35.46484375" style="21" customWidth="1"/>
    <col min="7" max="7" width="47.1328125" customWidth="1"/>
  </cols>
  <sheetData>
    <row r="4" spans="5:8" ht="23.25">
      <c r="F4" s="28" t="s">
        <v>108</v>
      </c>
      <c r="G4" s="28" t="s">
        <v>109</v>
      </c>
    </row>
    <row r="6" spans="5:8" ht="18">
      <c r="E6" s="18" t="s">
        <v>54</v>
      </c>
      <c r="F6" s="21" t="str">
        <f>IF('Import Question'!F3="F","ND",(IF(RESULTATS!R3&gt;1.2,"Consultation spécialisée","Dépistage usuel")))</f>
        <v>Consultation spécialisée</v>
      </c>
      <c r="G6" s="25" t="s">
        <v>110</v>
      </c>
      <c r="H6" s="16" t="str">
        <f>IF('Import Question'!H77&gt;0.25,"Oui","Non")</f>
        <v>Oui</v>
      </c>
    </row>
    <row r="7" spans="5:8" ht="18">
      <c r="E7" s="19" t="s">
        <v>35</v>
      </c>
      <c r="F7" s="21" t="str">
        <f>IF('Import Question'!F3="F","ND",(IF(RESULTATS!R4&gt;1.2,"Consultation spécialisée", "Dépistage usuel")))</f>
        <v>Consultation spécialisée</v>
      </c>
      <c r="G7" s="25" t="s">
        <v>112</v>
      </c>
      <c r="H7" s="16" t="str">
        <f>IF('Import Question'!F82="Y","Oui","Non")</f>
        <v>Oui</v>
      </c>
    </row>
    <row r="8" spans="5:8" ht="18">
      <c r="E8" s="19" t="s">
        <v>36</v>
      </c>
      <c r="F8" s="21" t="str">
        <f>IF(RESULTATS!R5&gt;1.2,"Consultation spécialisée","Dépistage usuel")</f>
        <v>Consultation spécialisée</v>
      </c>
      <c r="G8" s="25" t="s">
        <v>239</v>
      </c>
      <c r="H8" s="16" t="str">
        <f>IF('Import Question'!F86="Y","Oui","Non")</f>
        <v>Oui</v>
      </c>
    </row>
    <row r="9" spans="5:8" ht="18">
      <c r="E9" s="19" t="s">
        <v>37</v>
      </c>
      <c r="F9" s="21" t="str">
        <f>IF(RESULTATS!R6&gt;1.2,"Echographie rénale", "Dépistage usuel")</f>
        <v>Echographie rénale</v>
      </c>
      <c r="G9" s="25" t="s">
        <v>111</v>
      </c>
      <c r="H9" s="16" t="str">
        <f>IF('Import Question'!F89="Y","Non","Oui")</f>
        <v>Oui</v>
      </c>
    </row>
    <row r="10" spans="5:8" ht="18">
      <c r="E10" s="19" t="s">
        <v>38</v>
      </c>
      <c r="F10" s="21" t="str">
        <f>IF(RESULTATS!R7&gt;1.2,"DXA", "Dépistage usuel")</f>
        <v>Dépistage usuel</v>
      </c>
      <c r="G10" s="25" t="s">
        <v>114</v>
      </c>
      <c r="H10" s="16" t="str">
        <f>IF('Import Question'!F92="Y","Non","Oui")</f>
        <v>Oui</v>
      </c>
    </row>
    <row r="11" spans="5:8" ht="18">
      <c r="E11" s="19" t="s">
        <v>39</v>
      </c>
      <c r="F11" s="21" t="str">
        <f>IF(RESULTATS!R8&gt;1.2,"Consultation spécialisée", "Dépistage usuel")</f>
        <v>Consultation spécialisée</v>
      </c>
      <c r="G11" s="25" t="s">
        <v>126</v>
      </c>
      <c r="H11" s="16" t="str">
        <f>IF('Import Biologie'!H14&lt;30,"Oui","Non")</f>
        <v>Non</v>
      </c>
    </row>
    <row r="12" spans="5:8">
      <c r="E12" s="19" t="s">
        <v>252</v>
      </c>
      <c r="F12" s="21" t="str">
        <f>IF(RESULTATS!R9&gt;1.2,"Echographie hépatobiliaire", "Dépistage usuel")</f>
        <v>Echographie hépatobiliaire</v>
      </c>
    </row>
    <row r="13" spans="5:8">
      <c r="E13" s="19" t="s">
        <v>41</v>
      </c>
      <c r="F13" s="21" t="str">
        <f>IF(RESULTATS!R10&gt;1.2,"Consultation spécialisée", "Dépistage suel")</f>
        <v>Dépistage suel</v>
      </c>
    </row>
    <row r="14" spans="5:8">
      <c r="E14" s="19" t="s">
        <v>42</v>
      </c>
      <c r="F14" s="21" t="e">
        <f>IF(RESULTATS!R11&gt;1.2,"Consultation spécialisée", "Dépistage usuel")</f>
        <v>#DIV/0!</v>
      </c>
    </row>
    <row r="15" spans="5:8">
      <c r="E15" s="19" t="s">
        <v>251</v>
      </c>
      <c r="F15" s="21" t="str">
        <f>IF(RESULTATS!R12&gt;1.2,"Consultation spécialisée", "Dépistage usuel")</f>
        <v>Dépistage usuel</v>
      </c>
    </row>
    <row r="16" spans="5:8">
      <c r="E16" s="19" t="s">
        <v>44</v>
      </c>
      <c r="F16" s="21" t="str">
        <f>IF(RESULTATS!R13&gt;1.2,"Consultation spécialisée", "Dépistage usuel")</f>
        <v>Consultation spécialisée</v>
      </c>
    </row>
    <row r="17" spans="5:6">
      <c r="E17" s="19" t="s">
        <v>45</v>
      </c>
      <c r="F17" s="21" t="str">
        <f>IF(RESULTATS!R14&gt;1.2,"Consultation spécialisée", "Dépistage usuel")</f>
        <v>Dépistage usuel</v>
      </c>
    </row>
    <row r="18" spans="5:6">
      <c r="E18" s="19" t="s">
        <v>46</v>
      </c>
      <c r="F18" s="21" t="str">
        <f>IF(RESULTATS!R15&gt;1.2,"Echo-Doppler", "Dépistage usuel")</f>
        <v>Echo-Doppler</v>
      </c>
    </row>
    <row r="19" spans="5:6">
      <c r="E19" s="19" t="s">
        <v>47</v>
      </c>
      <c r="F19" s="21" t="str">
        <f>IF(RESULTATS!R16&gt;1.2,"Consultation spécialisée", "Dépistage usuel")</f>
        <v>Consultation spécialisée</v>
      </c>
    </row>
    <row r="20" spans="5:6">
      <c r="E20" s="19" t="s">
        <v>48</v>
      </c>
      <c r="F20" s="21" t="str">
        <f>IF(RESULTATS!R17&gt;1.2,"Consultation spécialisée", "Dépistage usuel")</f>
        <v>Consultation spécialisée</v>
      </c>
    </row>
    <row r="21" spans="5:6">
      <c r="E21" s="19" t="s">
        <v>49</v>
      </c>
      <c r="F21" s="21" t="str">
        <f>IF(RESULTATS!R18&gt;1.2,"scanner thoracique", "Dépistage usuel")</f>
        <v>scanner thoracique</v>
      </c>
    </row>
    <row r="22" spans="5:6">
      <c r="E22" s="19" t="s">
        <v>50</v>
      </c>
      <c r="F22" s="21" t="str">
        <f>IF(RESULTATS!R19&gt;1.2,"Consultation spécialisée", "Dépistage usuel")</f>
        <v>Consultation spécialisée</v>
      </c>
    </row>
    <row r="23" spans="5:6">
      <c r="E23" s="19" t="s">
        <v>51</v>
      </c>
      <c r="F23" s="21" t="str">
        <f>IF(RESULTATS!R20&gt;1.2,"Spirométrie", "Dépistage usuel")</f>
        <v>Spirométrie</v>
      </c>
    </row>
    <row r="24" spans="5:6">
      <c r="E24" s="19" t="s">
        <v>52</v>
      </c>
      <c r="F24" s="21" t="str">
        <f>IF(RESULTATS!R21&gt;1.2,"Consultation spécialisée", "Dépistage usuel")</f>
        <v>Consultation spécialisée</v>
      </c>
    </row>
    <row r="25" spans="5:6">
      <c r="E25" s="19" t="s">
        <v>97</v>
      </c>
      <c r="F25" s="21" t="str">
        <f>IF('Import Question'!F3="H","ND",(IF(RESULTATS!R22&gt;1.2,"Consultation spécialisée","Dépistage usuel")))</f>
        <v>ND</v>
      </c>
    </row>
    <row r="26" spans="5:6">
      <c r="E26" s="24" t="s">
        <v>613</v>
      </c>
      <c r="F26" s="21" t="str">
        <f>IF(RESULTATS!R23&gt;1.2,"Consultation spécialisée", "Dépistage usuel")</f>
        <v>Consultation spécialisée</v>
      </c>
    </row>
  </sheetData>
  <conditionalFormatting sqref="E16">
    <cfRule type="colorScale" priority="4">
      <colorScale>
        <cfvo type="min"/>
        <cfvo type="percentile" val="50"/>
        <cfvo type="max"/>
        <color rgb="FF5A8AC6"/>
        <color rgb="FFFCFCFF"/>
        <color rgb="FFF8696B"/>
      </colorScale>
    </cfRule>
  </conditionalFormatting>
  <conditionalFormatting sqref="E17:E22 E7:E15">
    <cfRule type="colorScale" priority="1113">
      <colorScale>
        <cfvo type="min"/>
        <cfvo type="percentile" val="50"/>
        <cfvo type="max"/>
        <color rgb="FF5A8AC6"/>
        <color rgb="FFFCFCFF"/>
        <color rgb="FFF8696B"/>
      </colorScale>
    </cfRule>
  </conditionalFormatting>
  <conditionalFormatting sqref="E23">
    <cfRule type="colorScale" priority="3">
      <colorScale>
        <cfvo type="min"/>
        <cfvo type="percentile" val="50"/>
        <cfvo type="max"/>
        <color rgb="FF5A8AC6"/>
        <color rgb="FFFCFCFF"/>
        <color rgb="FFF8696B"/>
      </colorScale>
    </cfRule>
  </conditionalFormatting>
  <conditionalFormatting sqref="E24">
    <cfRule type="colorScale" priority="2">
      <colorScale>
        <cfvo type="min"/>
        <cfvo type="percentile" val="50"/>
        <cfvo type="max"/>
        <color rgb="FF5A8AC6"/>
        <color rgb="FFFCFCFF"/>
        <color rgb="FFF8696B"/>
      </colorScale>
    </cfRule>
  </conditionalFormatting>
  <conditionalFormatting sqref="E25">
    <cfRule type="iconSet" priority="1">
      <iconSet reverse="1">
        <cfvo type="percent" val="0"/>
        <cfvo type="percent" val="33"/>
        <cfvo type="percent" val="67"/>
      </iconSet>
    </cfRule>
  </conditionalFormatting>
  <pageMargins left="0.7" right="0.7" top="0.75" bottom="0.75" header="0.3" footer="0.3"/>
  <pageSetup paperSize="9" scale="3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11</vt:i4>
      </vt:variant>
      <vt:variant>
        <vt:lpstr>Plages nommées</vt:lpstr>
      </vt:variant>
      <vt:variant>
        <vt:i4>4</vt:i4>
      </vt:variant>
    </vt:vector>
  </HeadingPairs>
  <TitlesOfParts>
    <vt:vector size="15" baseType="lpstr">
      <vt:lpstr>Import Question</vt:lpstr>
      <vt:lpstr>Import Biologie</vt:lpstr>
      <vt:lpstr>Feuil1</vt:lpstr>
      <vt:lpstr>calculRISKS</vt:lpstr>
      <vt:lpstr>RESULTATS</vt:lpstr>
      <vt:lpstr>Commentaires analyses</vt:lpstr>
      <vt:lpstr>Commentaires résultats</vt:lpstr>
      <vt:lpstr>Feuil2</vt:lpstr>
      <vt:lpstr>ACTIONS</vt:lpstr>
      <vt:lpstr>SIMULATEUR</vt:lpstr>
      <vt:lpstr>Feuil3</vt:lpstr>
      <vt:lpstr>'Commentaires analyses'!Zone_d_impression</vt:lpstr>
      <vt:lpstr>'Commentaires résultats'!Zone_d_impression</vt:lpstr>
      <vt:lpstr>RESULTATS!Zone_d_impression</vt:lpstr>
      <vt:lpstr>SIMULATEUR!Zone_d_impression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olivier cussenot</dc:creator>
  <cp:lastModifiedBy>olivier cussenot</cp:lastModifiedBy>
  <cp:lastPrinted>2024-12-13T18:41:51Z</cp:lastPrinted>
  <dcterms:created xsi:type="dcterms:W3CDTF">2019-02-17T19:36:08Z</dcterms:created>
  <dcterms:modified xsi:type="dcterms:W3CDTF">2025-04-24T09:44:18Z</dcterms:modified>
</cp:coreProperties>
</file>